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0.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14.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mydrive.merck.com/personal/rosehar_merck_com/Documents/Documents/Green and Sustainable Science/PMI-LCA/Example Calculation/"/>
    </mc:Choice>
  </mc:AlternateContent>
  <xr:revisionPtr revIDLastSave="156" documentId="8_{920CEC2A-AF08-4909-B256-5DE7363B85CC}" xr6:coauthVersionLast="47" xr6:coauthVersionMax="47" xr10:uidLastSave="{921222A3-690B-405D-8EA9-F6E507F4C22B}"/>
  <bookViews>
    <workbookView xWindow="28680" yWindow="-120" windowWidth="29040" windowHeight="15720" tabRatio="689" xr2:uid="{5051D688-1606-4748-9325-0496CFDCC524}"/>
  </bookViews>
  <sheets>
    <sheet name="Introduction" sheetId="12" r:id="rId1"/>
    <sheet name="1. Define Process Steps" sheetId="11" r:id="rId2"/>
    <sheet name="2. Enter Step Details" sheetId="6" r:id="rId3"/>
    <sheet name="3. Process Metrics Dashboard" sheetId="10" r:id="rId4"/>
    <sheet name="A. Behind-the-scenes" sheetId="3" r:id="rId5"/>
    <sheet name="B. Common Solvent DB" sheetId="2" r:id="rId6"/>
    <sheet name="C. Additional Materials DB" sheetId="4" r:id="rId7"/>
  </sheets>
  <definedNames>
    <definedName name="Arrow_Offset">'3. Process Metrics Dashboard'!$W$14</definedName>
    <definedName name="Collision_Distance">'3. Process Metrics Dashboard'!$W$10</definedName>
    <definedName name="Edge_Length">'3. Process Metrics Dashboard'!$W$12</definedName>
    <definedName name="Network_Graph_Labels">Table_Process_Details[Display Name]</definedName>
    <definedName name="Notifications">_xlfn.CONCAT(IF(1=Messages[Status],"&gt; "&amp;Messages[Messages]&amp;CHAR(10),""))</definedName>
    <definedName name="plotrange_by_material_acidification_labels" localSheetId="2">OFFSET(Table_Process_Details[Labels for '[Acidification (kg SO2 equiv.) per kg API']],0,0,COUNTIF(Table_Process_Details[Total '[Physical Mass per kg API'] of Unique Inputs],"&lt;&gt;0"))</definedName>
    <definedName name="plotrange_by_material_acidification_X" localSheetId="2">OFFSET(Table_Process_Details[Unique Inputs Sorted by '[Acidification (kg SO2 equiv.) per kg API']],0,0,COUNTIF(Table_Process_Details[Total '[Physical Mass per kg API'] of Unique Inputs],"&lt;&gt;0"))</definedName>
    <definedName name="plotrange_by_material_acidification_Y1" localSheetId="2">OFFSET(Table_Process_Details['[Acidification (kg SO2 equiv.) per kg API'] of Unique Inputs Sorted by '[Acidification (kg SO2 equiv.) per kg API']],0,0,COUNTIF(Table_Process_Details[Total '[Physical Mass per kg API'] of Unique Inputs],"&lt;&gt;0"))</definedName>
    <definedName name="plotrange_by_material_acidification_Y1_ENZ_PLNT" localSheetId="2">OFFSET(Table_Process_Details['[Acidification (kg SO2 equiv.) per kg API'] of Unique Inputs Sorted by '[Acidification (kg SO2 equiv.) per kg API'] (ENZ&amp;PLNT)],0,0,COUNTIF(Table_Process_Details[Total '[Physical Mass per kg API'] of Unique Inputs],"&lt;&gt;0"))</definedName>
    <definedName name="plotrange_by_material_acidification_Y1_METAL" localSheetId="2">OFFSET(Table_Process_Details['[Acidification (kg SO2 equiv.) per kg API'] of Unique Inputs Sorted by '[Acidification (kg SO2 equiv.) per kg API'] (METAL)],0,0,COUNTIF(Table_Process_Details[Total '[Physical Mass per kg API'] of Unique Inputs],"&lt;&gt;0"))</definedName>
    <definedName name="plotrange_by_material_acidification_Y1_OTHER" localSheetId="2">OFFSET(Table_Process_Details['[Acidification (kg SO2 equiv.) per kg API'] of Unique Inputs Sorted by '[Acidification (kg SO2 equiv.) per kg API'] (OTHER)],0,0,COUNTIF(Table_Process_Details[Total '[Physical Mass per kg API'] of Unique Inputs],"&lt;&gt;0"))</definedName>
    <definedName name="plotrange_by_material_acidification_Y1_REAGENT" localSheetId="2">OFFSET(Table_Process_Details['[Acidification (kg SO2 equiv.) per kg API'] of Unique Inputs Sorted by '[Acidification (kg SO2 equiv.) per kg API'] (REAGENT)],0,0,COUNTIF(Table_Process_Details[Total '[Physical Mass per kg API'] of Unique Inputs],"&lt;&gt;0"))</definedName>
    <definedName name="plotrange_by_material_acidification_Y1_SOLVENT" localSheetId="2">OFFSET(Table_Process_Details['[Acidification (kg SO2 equiv.) per kg API'] of Unique Inputs Sorted by '[Acidification (kg SO2 equiv.) per kg API'] (SOLVENT)],0,0,COUNTIF(Table_Process_Details[Total '[Physical Mass per kg API'] of Unique Inputs],"&lt;&gt;0"))</definedName>
    <definedName name="plotrange_by_material_acidification_Y1_WATER" localSheetId="2">OFFSET(Table_Process_Details['[Acidification (kg SO2 equiv.) per kg API'] of Unique Inputs Sorted by '[Acidification (kg SO2 equiv.) per kg API'] (WATER)],0,0,COUNTIF(Table_Process_Details[Total '[Physical Mass per kg API'] of Unique Inputs],"&lt;&gt;0"))</definedName>
    <definedName name="plotrange_by_material_acidification_Y2" localSheetId="2">OFFSET(Table_Process_Details[Cumulative Sum of '[Acidification (kg SO2 equiv.) per kg API']],0,0,COUNTIF(Table_Process_Details[Total '[Physical Mass per kg API'] of Unique Inputs],"&lt;&gt;0"))</definedName>
    <definedName name="plotrange_by_material_energy_labels" localSheetId="2">OFFSET(Table_Process_Details[Labels for '[Energy (MJ) per kg API']],0,0,COUNTIF(Table_Process_Details[Total '[Physical Mass per kg API'] of Unique Inputs],"&lt;&gt;0"))</definedName>
    <definedName name="plotrange_by_material_energy_X" localSheetId="2">OFFSET(Table_Process_Details[Unique Inputs Sorted by '[Energy (MJ) per kg API']],0,0,COUNTIF(Table_Process_Details[Total '[Physical Mass per kg API'] of Unique Inputs],"&lt;&gt;0"))</definedName>
    <definedName name="plotrange_by_material_energy_Y1" localSheetId="2">OFFSET(Table_Process_Details['[Energy (MJ) per kg API'] of Unique Inputs Sorted by '[Energy (MJ) per kg API']],0,0,COUNTIF(Table_Process_Details[Total '[Physical Mass per kg API'] of Unique Inputs],"&lt;&gt;0"))</definedName>
    <definedName name="plotrange_by_material_energy_Y1_ENZ_PLNT" localSheetId="2">OFFSET(Table_Process_Details['[Energy (MJ) per kg API'] of Unique Inputs Sorted by '[Energy (MJ) per kg API'] (ENZ&amp;PLNT)],0,0,COUNTIF(Table_Process_Details[Total '[Physical Mass per kg API'] of Unique Inputs],"&lt;&gt;0"))</definedName>
    <definedName name="plotrange_by_material_energy_Y1_METAL" localSheetId="2">OFFSET(Table_Process_Details['[Energy (MJ) per kg API'] of Unique Inputs Sorted by '[Energy (MJ) per kg API'] (METAL)],0,0,COUNTIF(Table_Process_Details[Total '[Physical Mass per kg API'] of Unique Inputs],"&lt;&gt;0"))</definedName>
    <definedName name="plotrange_by_material_energy_Y1_OTHER" localSheetId="2">OFFSET(Table_Process_Details['[Energy (MJ) per kg API'] of Unique Inputs Sorted by '[Energy (MJ) per kg API'] (OTHER)],0,0,COUNTIF(Table_Process_Details[Total '[Physical Mass per kg API'] of Unique Inputs],"&lt;&gt;0"))</definedName>
    <definedName name="plotrange_by_material_energy_Y1_REAGENT" localSheetId="2">OFFSET(Table_Process_Details['[Energy (MJ) per kg API'] of Unique Inputs Sorted by '[Energy (MJ) per kg API'] (REAGENT)],0,0,COUNTIF(Table_Process_Details[Total '[Physical Mass per kg API'] of Unique Inputs],"&lt;&gt;0"))</definedName>
    <definedName name="plotrange_by_material_energy_Y1_SOLVENT" localSheetId="2">OFFSET(Table_Process_Details['[Energy (MJ) per kg API'] of Unique Inputs Sorted by '[Energy (MJ) per kg API'] (SOLVENT)],0,0,COUNTIF(Table_Process_Details[Total '[Physical Mass per kg API'] of Unique Inputs],"&lt;&gt;0"))</definedName>
    <definedName name="plotrange_by_material_energy_Y1_WATER" localSheetId="2">OFFSET(Table_Process_Details['[Energy (MJ) per kg API'] of Unique Inputs Sorted by '[Energy (MJ) per kg API'] (WATER)],0,0,COUNTIF(Table_Process_Details[Total '[Physical Mass per kg API'] of Unique Inputs],"&lt;&gt;0"))</definedName>
    <definedName name="plotrange_by_material_energy_Y2" localSheetId="2">OFFSET(Table_Process_Details[Cumulative Sum of '[Energy (MJ) per kg API']],0,0,COUNTIF(Table_Process_Details[Total '[Physical Mass per kg API'] of Unique Inputs],"&lt;&gt;0"))</definedName>
    <definedName name="plotrange_by_material_eutrophication_labels" localSheetId="2">OFFSET(Table_Process_Details[Labels for '[Eutrophication (kg posphate equiv.) per kg API']],0,0,COUNTIF(Table_Process_Details[Total '[Physical Mass per kg API'] of Unique Inputs],"&lt;&gt;0"))</definedName>
    <definedName name="plotrange_by_material_eutrophication_X" localSheetId="2">OFFSET(Table_Process_Details[Unique Inputs Sorted by '[Eutrophication (kg posphate equiv.) per kg API']],0,0,COUNTIF(Table_Process_Details[Total '[Physical Mass per kg API'] of Unique Inputs],"&lt;&gt;0"))</definedName>
    <definedName name="plotrange_by_material_eutrophication_Y1" localSheetId="2">OFFSET(Table_Process_Details['[Eutrophication (kg posphate equiv.) per kg API'] of Unique Inputs Sorted by '[Eutrophication (kg posphate equiv.) per kg API']],0,0,COUNTIF(Table_Process_Details[Total '[Physical Mass per kg API'] of Unique Inputs],"&lt;&gt;0"))</definedName>
    <definedName name="plotrange_by_material_eutrophication_Y1_ENZ_PLNT" localSheetId="2">OFFSET(Table_Process_Details['[Eutrophication (kg posphate equiv.) per kg API'] of Unique Inputs Sorted by '[Eutrophication (kg posphate equiv.) per kg API'] (ENZ&amp;PLNT)],0,0,COUNTIF(Table_Process_Details[Total '[Physical Mass per kg API'] of Unique Inputs],"&lt;&gt;0"))</definedName>
    <definedName name="plotrange_by_material_eutrophication_Y1_METAL" localSheetId="2">OFFSET(Table_Process_Details['[Eutrophication (kg posphate equiv.) per kg API'] of Unique Inputs Sorted by '[Eutrophication (kg posphate equiv.) per kg API'] (METAL)],0,0,COUNTIF(Table_Process_Details[Total '[Physical Mass per kg API'] of Unique Inputs],"&lt;&gt;0"))</definedName>
    <definedName name="plotrange_by_material_eutrophication_Y1_OTHER" localSheetId="2">OFFSET(Table_Process_Details['[Eutrophication (kg posphate equiv.) per kg API'] of Unique Inputs Sorted by '[Eutrophication (kg posphate equiv.) per kg API'] (OTHER)],0,0,COUNTIF(Table_Process_Details[Total '[Physical Mass per kg API'] of Unique Inputs],"&lt;&gt;0"))</definedName>
    <definedName name="plotrange_by_material_eutrophication_Y1_REAGENT" localSheetId="2">OFFSET(Table_Process_Details['[Eutrophication (kg posphate equiv.) per kg API'] of Unique Inputs Sorted by '[Eutrophication (kg posphate equiv.) per kg API'] (REAGENT)],0,0,COUNTIF(Table_Process_Details[Total '[Physical Mass per kg API'] of Unique Inputs],"&lt;&gt;0"))</definedName>
    <definedName name="plotrange_by_material_eutrophication_Y1_SOLVENT" localSheetId="2">OFFSET(Table_Process_Details['[Eutrophication (kg posphate equiv.) per kg API'] of Unique Inputs Sorted by '[Eutrophication (kg posphate equiv.) per kg API'] (SOLVENT)],0,0,COUNTIF(Table_Process_Details[Total '[Physical Mass per kg API'] of Unique Inputs],"&lt;&gt;0"))</definedName>
    <definedName name="plotrange_by_material_eutrophication_Y1_WATER" localSheetId="2">OFFSET(Table_Process_Details['[Eutrophication (kg posphate equiv.) per kg API'] of Unique Inputs Sorted by '[Eutrophication (kg posphate equiv.) per kg API'] (WATER)],0,0,COUNTIF(Table_Process_Details[Total '[Physical Mass per kg API'] of Unique Inputs],"&lt;&gt;0"))</definedName>
    <definedName name="plotrange_by_material_eutrophication_Y2" localSheetId="2">OFFSET(Table_Process_Details[Cumulative Sum of '[Eutrophication (kg posphate equiv.) per kg API']],0,0,COUNTIF(Table_Process_Details[Total '[Physical Mass per kg API'] of Unique Inputs],"&lt;&gt;0"))</definedName>
    <definedName name="plotrange_by_material_GWP_labels" localSheetId="2">OFFSET(Table_Process_Details[Labels for '[GWP (kg CO2 equiv.) per kg API']],0,0,COUNTIF(Table_Process_Details[Total '[Physical Mass per kg API'] of Unique Inputs],"&lt;&gt;0"))</definedName>
    <definedName name="plotrange_by_material_GWP_X" localSheetId="2">OFFSET(Table_Process_Details[Unique Inputs Sorted by '[GWP (kg CO2 equiv.) per kg API']],0,0,COUNTIF(Table_Process_Details[Total '[Physical Mass per kg API'] of Unique Inputs],"&lt;&gt;0"))</definedName>
    <definedName name="plotrange_by_material_GWP_Y1" localSheetId="2">OFFSET(Table_Process_Details['[GWP (kg CO2 equiv.) per kg API'] of Unique Inputs Sorted by '[GWP (kg CO2 equiv.) per kg API']],0,0,COUNTIF(Table_Process_Details[Total '[Physical Mass per kg API'] of Unique Inputs],"&lt;&gt;0"))</definedName>
    <definedName name="plotrange_by_material_GWP_Y1_ENZ_PLNT" localSheetId="2">OFFSET(Table_Process_Details['[GWP (kg CO2 equiv.) per kg API'] of Unique Inputs Sorted by '[GWP (kg CO2 equiv.) per kg API'] (ENZ&amp;PLNT)],0,0,COUNTIF(Table_Process_Details[Total '[Physical Mass per kg API'] of Unique Inputs],"&lt;&gt;0"))</definedName>
    <definedName name="plotrange_by_material_GWP_Y1_METAL" localSheetId="2">OFFSET(Table_Process_Details['[GWP (kg CO2 equiv.) per kg API'] of Unique Inputs Sorted by '[GWP (kg CO2 equiv.) per kg API'] (METAL)],0,0,COUNTIF(Table_Process_Details[Total '[Physical Mass per kg API'] of Unique Inputs],"&lt;&gt;0"))</definedName>
    <definedName name="plotrange_by_material_GWP_Y1_OTHER" localSheetId="2">OFFSET(Table_Process_Details['[GWP (kg CO2 equiv.) per kg API'] of Unique Inputs Sorted by '[GWP (kg CO2 equiv.) per kg API'] (OTHER)],0,0,COUNTIF(Table_Process_Details[Total '[Physical Mass per kg API'] of Unique Inputs],"&lt;&gt;0"))</definedName>
    <definedName name="plotrange_by_material_GWP_Y1_REAGENT" localSheetId="2">OFFSET(Table_Process_Details['[GWP (kg CO2 equiv.) per kg API'] of Unique Inputs Sorted by '[GWP (kg CO2 equiv.) per kg API'] (REAGENT)],0,0,COUNTIF(Table_Process_Details[Total '[Physical Mass per kg API'] of Unique Inputs],"&lt;&gt;0"))</definedName>
    <definedName name="plotrange_by_material_GWP_Y1_SOLVENT" localSheetId="2">OFFSET(Table_Process_Details['[GWP (kg CO2 equiv.) per kg API'] of Unique Inputs Sorted by '[GWP (kg CO2 equiv.) per kg API'] (SOLVENT)],0,0,COUNTIF(Table_Process_Details[Total '[Physical Mass per kg API'] of Unique Inputs],"&lt;&gt;0"))</definedName>
    <definedName name="plotrange_by_material_GWP_Y1_WATER" localSheetId="2">OFFSET(Table_Process_Details['[GWP (kg CO2 equiv.) per kg API'] of Unique Inputs Sorted by '[GWP (kg CO2 equiv.) per kg API'] (WATER)],0,0,COUNTIF(Table_Process_Details[Total '[Physical Mass per kg API'] of Unique Inputs],"&lt;&gt;0"))</definedName>
    <definedName name="plotrange_by_material_GWP_Y2" localSheetId="2">OFFSET(Table_Process_Details[Cumulative Sum of '[GWP (kg CO2 equiv.) per kg API']],0,0,COUNTIF(Table_Process_Details[Total '[Physical Mass per kg API'] of Unique Inputs],"&lt;&gt;0"))</definedName>
    <definedName name="plotrange_by_material_massnet_labels" localSheetId="2">OFFSET(Table_Process_Details[Labels for '[Mass Net (kg) per kg API']],0,0,COUNTIF(Table_Process_Details[Total '[Physical Mass per kg API'] of Unique Inputs],"&lt;&gt;0"))</definedName>
    <definedName name="plotrange_by_material_massnet_X" localSheetId="2">OFFSET(Table_Process_Details[Unique Inputs Sorted by '[Mass Net (kg) per kg API']],0,0,COUNTIF(Table_Process_Details[Total '[Physical Mass per kg API'] of Unique Inputs],"&lt;&gt;0"))</definedName>
    <definedName name="plotrange_by_material_massnet_Y1" localSheetId="2">OFFSET(Table_Process_Details['[Mass Net (kg) per kg API'] of Unique Inputs Sorted by '[Mass Net (kg) per kg API']],0,0,COUNTIF(Table_Process_Details[Total '[Physical Mass per kg API'] of Unique Inputs],"&lt;&gt;0"))</definedName>
    <definedName name="plotrange_by_material_massnet_Y1_ENZ_PLNT" localSheetId="2">OFFSET(Table_Process_Details['[Mass Net (kg) per kg API'] of Unique Inputs Sorted by '[Mass Net (kg) per kg API'] (ENZ&amp;PLNT)],0,0,COUNTIF(Table_Process_Details[Total '[Physical Mass per kg API'] of Unique Inputs],"&lt;&gt;0"))</definedName>
    <definedName name="plotrange_by_material_massnet_Y1_METAL" localSheetId="2">OFFSET(Table_Process_Details['[Mass Net (kg) per kg API'] of Unique Inputs Sorted by '[Mass Net (kg) per kg API'] (METAL)],0,0,COUNTIF(Table_Process_Details[Total '[Physical Mass per kg API'] of Unique Inputs],"&lt;&gt;0"))</definedName>
    <definedName name="plotrange_by_material_massnet_Y1_OTHER" localSheetId="2">OFFSET(Table_Process_Details['[Mass Net (kg) per kg API'] of Unique Inputs Sorted by '[Mass Net (kg) per kg API'] (OTHER)],0,0,COUNTIF(Table_Process_Details[Total '[Physical Mass per kg API'] of Unique Inputs],"&lt;&gt;0"))</definedName>
    <definedName name="plotrange_by_material_massnet_Y1_REAGENT" localSheetId="2">OFFSET(Table_Process_Details['[Mass Net (kg) per kg API'] of Unique Inputs Sorted by '[Mass Net (kg) per kg API'] (REAGENT)],0,0,COUNTIF(Table_Process_Details[Total '[Physical Mass per kg API'] of Unique Inputs],"&lt;&gt;0"))</definedName>
    <definedName name="plotrange_by_material_massnet_Y1_SOLVENT" localSheetId="2">OFFSET(Table_Process_Details['[Mass Net (kg) per kg API'] of Unique Inputs Sorted by '[Mass Net (kg) per kg API'] (SOLVENT)],0,0,COUNTIF(Table_Process_Details[Total '[Physical Mass per kg API'] of Unique Inputs],"&lt;&gt;0"))</definedName>
    <definedName name="plotrange_by_material_massnet_Y1_WATER" localSheetId="2">OFFSET(Table_Process_Details['[Mass Net (kg) per kg API'] of Unique Inputs Sorted by '[Mass Net (kg) per kg API'] (WATER)],0,0,COUNTIF(Table_Process_Details[Total '[Physical Mass per kg API'] of Unique Inputs],"&lt;&gt;0"))</definedName>
    <definedName name="plotrange_by_material_massnet_Y2" localSheetId="2">OFFSET(Table_Process_Details[Cumulative Sum of '[Mass Net (kg) per kg API']],0,0,COUNTIF(Table_Process_Details[Total '[Physical Mass per kg API'] of Unique Inputs],"&lt;&gt;0"))</definedName>
    <definedName name="plotrange_by_material_physmass_labels" localSheetId="2">OFFSET(Table_Process_Details[Labels for '[Physical Mass per kg API']],0,0,COUNTIF(Table_Process_Details[Total '[Physical Mass per kg API'] of Unique Inputs],"&lt;&gt;0"))</definedName>
    <definedName name="plotrange_by_material_physmass_X" localSheetId="2">OFFSET(Table_Process_Details[Unique Inputs Sorted by '[Physical Mass per kg API']],0,0,COUNTIF(Table_Process_Details[Total '[Physical Mass per kg API'] of Unique Inputs],"&lt;&gt;0"))</definedName>
    <definedName name="plotrange_by_material_physmass_Y1" localSheetId="2">OFFSET(Table_Process_Details['[Physical Mass per kg API'] of Unique Inputs Sorted by '[Physical Mass per kg API']],0,0,COUNTIF(Table_Process_Details[Total '[Physical Mass per kg API'] of Unique Inputs],"&lt;&gt;0"))</definedName>
    <definedName name="plotrange_by_material_physmass_Y1_ENZ_PLNT" localSheetId="2">OFFSET(Table_Process_Details['[Physical Mass per kg API'] of Unique Inputs Sorted by '[Physical Mass per kg API'] (ENZ&amp;PLNT)],0,0,COUNTIF(Table_Process_Details[Total '[Physical Mass per kg API'] of Unique Inputs],"&lt;&gt;0"))</definedName>
    <definedName name="plotrange_by_material_physmass_Y1_METAL" localSheetId="2">OFFSET(Table_Process_Details['[Physical Mass per kg API'] of Unique Inputs Sorted by '[Physical Mass per kg API'] (METAL)],0,0,COUNTIF(Table_Process_Details[Total '[Physical Mass per kg API'] of Unique Inputs],"&lt;&gt;0"))</definedName>
    <definedName name="plotrange_by_material_physmass_Y1_OTHER" localSheetId="2">OFFSET(Table_Process_Details['[Physical Mass per kg API'] of Unique Inputs Sorted by '[Physical Mass per kg API'] (OTHER)],0,0,COUNTIF(Table_Process_Details[Total '[Physical Mass per kg API'] of Unique Inputs],"&lt;&gt;0"))</definedName>
    <definedName name="plotrange_by_material_physmass_Y1_REAGENT" localSheetId="2">OFFSET(Table_Process_Details['[Physical Mass per kg API'] of Unique Inputs Sorted by '[Physical Mass per kg API'] (REAGENT)],0,0,COUNTIF(Table_Process_Details[Total '[Physical Mass per kg API'] of Unique Inputs],"&lt;&gt;0"))</definedName>
    <definedName name="plotrange_by_material_physmass_Y1_SOLVENT" localSheetId="2">OFFSET(Table_Process_Details['[Physical Mass per kg API'] of Unique Inputs Sorted by '[Physical Mass per kg API'] (SOLVENT)],0,0,COUNTIF(Table_Process_Details[Total '[Physical Mass per kg API'] of Unique Inputs],"&lt;&gt;0"))</definedName>
    <definedName name="plotrange_by_material_physmass_Y1_WATER" localSheetId="2">OFFSET(Table_Process_Details['[Physical Mass per kg API'] of Unique Inputs Sorted by '[Physical Mass per kg API'] (WATER)],0,0,COUNTIF(Table_Process_Details[Total '[Physical Mass per kg API'] of Unique Inputs],"&lt;&gt;0"))</definedName>
    <definedName name="plotrange_by_material_physmass_Y2" localSheetId="2">OFFSET(Table_Process_Details[Cumulative Sum of '[Physical Mass per kg API']],0,0,COUNTIF(Table_Process_Details[Total '[Physical Mass per kg API'] of Unique Inputs],"&lt;&gt;0"))</definedName>
    <definedName name="plotrange_by_material_water_labels" localSheetId="2">OFFSET(Table_Process_Details[Labels for '[Water (kg) per kg API']],0,0,COUNTIF(Table_Process_Details[Total '[Physical Mass per kg API'] of Unique Inputs],"&lt;&gt;0"))</definedName>
    <definedName name="plotrange_by_material_water_X" localSheetId="2">OFFSET(Table_Process_Details[Unique Inputs Sorted by '[Water (kg) per kg API']],0,0,COUNTIF(Table_Process_Details[Total '[Physical Mass per kg API'] of Unique Inputs],"&lt;&gt;0"))</definedName>
    <definedName name="plotrange_by_material_water_Y1" localSheetId="2">OFFSET(Table_Process_Details['[Water (kg) per kg API'] of Unique Inputs Sorted by '[Water (kg) per kg API']],0,0,COUNTIF(Table_Process_Details[Total '[Physical Mass per kg API'] of Unique Inputs],"&lt;&gt;0"))</definedName>
    <definedName name="plotrange_by_material_water_Y1_ENZ_PLNT" localSheetId="2">OFFSET(Table_Process_Details['[Water (kg) per kg API'] of Unique Inputs Sorted by '[Water (kg) per kg API'] (ENZ&amp;PLNT)],0,0,COUNTIF(Table_Process_Details[Total '[Physical Mass per kg API'] of Unique Inputs],"&lt;&gt;0"))</definedName>
    <definedName name="plotrange_by_material_water_Y1_METAL" localSheetId="2">OFFSET(Table_Process_Details['[Water (kg) per kg API'] of Unique Inputs Sorted by '[Water (kg) per kg API'] (METAL)],0,0,COUNTIF(Table_Process_Details[Total '[Physical Mass per kg API'] of Unique Inputs],"&lt;&gt;0"))</definedName>
    <definedName name="plotrange_by_material_water_Y1_OTHER" localSheetId="2">OFFSET(Table_Process_Details['[Water (kg) per kg API'] of Unique Inputs Sorted by '[Water (kg) per kg API'] (OTHER)],0,0,COUNTIF(Table_Process_Details[Total '[Physical Mass per kg API'] of Unique Inputs],"&lt;&gt;0"))</definedName>
    <definedName name="plotrange_by_material_water_Y1_REAGENT" localSheetId="2">OFFSET(Table_Process_Details['[Water (kg) per kg API'] of Unique Inputs Sorted by '[Water (kg) per kg API'] (REAGENT)],0,0,COUNTIF(Table_Process_Details[Total '[Physical Mass per kg API'] of Unique Inputs],"&lt;&gt;0"))</definedName>
    <definedName name="plotrange_by_material_water_Y1_SOLVENT" localSheetId="2">OFFSET(Table_Process_Details['[Water (kg) per kg API'] of Unique Inputs Sorted by '[Water (kg) per kg API'] (SOLVENT)],0,0,COUNTIF(Table_Process_Details[Total '[Physical Mass per kg API'] of Unique Inputs],"&lt;&gt;0"))</definedName>
    <definedName name="plotrange_by_material_water_Y1_WATER" localSheetId="2">OFFSET(Table_Process_Details['[Water (kg) per kg API'] of Unique Inputs Sorted by '[Water (kg) per kg API'] (WATER)],0,0,COUNTIF(Table_Process_Details[Total '[Physical Mass per kg API'] of Unique Inputs],"&lt;&gt;0"))</definedName>
    <definedName name="plotrange_by_material_water_Y2" localSheetId="2">OFFSET(Table_Process_Details[Cumulative Sum of '[Water(kg) per kg API']],0,0,COUNTIF(Table_Process_Details[Total '[Physical Mass per kg API'] of Unique Inputs],"&lt;&gt;0"))</definedName>
    <definedName name="plotrange_by_step_acidification_labels" localSheetId="1">OFFSET(Process_Steps[Labels for '[RV Step Acidification (kg SO2 equiv.) per kg API']],0,0,COUNTIF(Process_Steps[Name if Real],"&lt;&gt;#N/A"))</definedName>
    <definedName name="plotrange_by_step_acidification_X" localSheetId="1">OFFSET(Process_Steps[Steps Sorted by '[RV Step Acidification (kg SO2 equiv.) per kg API']],0,0,COUNTIFS(Process_Steps[Name if Real],"&lt;&gt;#N/A",Process_Steps[RV Step PMI per kg API],"&gt;0"))</definedName>
    <definedName name="plotrange_by_step_acidification_Y1" localSheetId="1">OFFSET(Process_Steps['[RV Step Acidification (kg SO2 equiv.) per kg API'] of Each Step Sorted by '[RV Step Acidification (kg SO2 equiv.) per kg API']],0,0,COUNTIF(Process_Steps[Name if Real],"&lt;&gt;#N/A"))</definedName>
    <definedName name="plotrange_by_step_acidification_Y1_ENZ_PLNT" localSheetId="1">OFFSET(Process_Steps['[RV Step Acidification (kg SO2 equiv.) per kg API'] of Each Step Sorted by '[RV Step Acidification (kg SO2 equiv.) per kg API'] (ENZ&amp;PLNT)],0,0,COUNTIF(Process_Steps[Name if Real],"&lt;&gt;#N/A"))</definedName>
    <definedName name="plotrange_by_step_acidification_Y1_METAL" localSheetId="1">OFFSET(Process_Steps['[RV Step Acidification (kg SO2 equiv.) per kg API'] of Each Step Sorted by '[RV Step Acidification (kg SO2 equiv.) per kg API'] (METAL)],0,0,COUNTIF(Process_Steps[Name if Real],"&lt;&gt;#N/A"))</definedName>
    <definedName name="plotrange_by_step_acidification_Y1_OTHER" localSheetId="1">OFFSET(Process_Steps['[RV Step Acidification (kg SO2 equiv.) per kg API'] of Each Step Sorted by '[RV Step Acidification (kg SO2 equiv.) per kg API'] (OTHER)],0,0,COUNTIF(Process_Steps[Name if Real],"&lt;&gt;#N/A"))</definedName>
    <definedName name="plotrange_by_step_acidification_Y1_REAGENT" localSheetId="1">OFFSET(Process_Steps['[RV Step Acidification (kg SO2 equiv.) per kg API'] of Each Step Sorted by '[RV Step Acidification (kg SO2 equiv.) per kg API'] (REAGENT)],0,0,COUNTIF(Process_Steps[Name if Real],"&lt;&gt;#N/A"))</definedName>
    <definedName name="plotrange_by_step_acidification_Y1_SOLVENT" localSheetId="1">OFFSET(Process_Steps['[RV Step Acidification (kg SO2 equiv.) per kg API'] of Each Step Sorted by '[RV Step Acidification (kg SO2 equiv.) per kg API'] (SOLVENT)],0,0,COUNTIF(Process_Steps[Name if Real],"&lt;&gt;#N/A"))</definedName>
    <definedName name="plotrange_by_step_acidification_Y1_WATER" localSheetId="1">OFFSET(Process_Steps['[RV Step Acidification (kg SO2 equiv.) per kg API'] of Each Step Sorted by '[RV Step Acidification (kg SO2 equiv.) per kg API'] (WATER)],0,0,COUNTIF(Process_Steps[Name if Real],"&lt;&gt;#N/A"))</definedName>
    <definedName name="plotrange_by_step_acidification_Y2" localSheetId="1">OFFSET(Process_Steps[Cumulative Sum of '[RV Step Acidification (kg SO2 equiv.) per kg API']],0,0,COUNTIF(Process_Steps[Name if Real],"&lt;&gt;#N/A"))</definedName>
    <definedName name="plotrange_by_step_energy_labels" localSheetId="1">OFFSET(Process_Steps[Labels for '[RV Step Energy (MJ) per kg API']],0,0,COUNTIF(Process_Steps[Name if Real],"&lt;&gt;#N/A"))</definedName>
    <definedName name="plotrange_by_step_energy_X" localSheetId="1">OFFSET(Process_Steps[Steps Sorted by '[RV Step Energy (MJ) per kg API']],0,0,COUNTIFS(Process_Steps[Name if Real],"&lt;&gt;#N/A",Process_Steps[RV Step PMI per kg API],"&gt;0"))</definedName>
    <definedName name="plotrange_by_step_energy_Y1" localSheetId="1">OFFSET(Process_Steps['[RV Step Energy (MJ) per kg API'] of Each Step Sorted by '[RV Step Energy (MJ) per kg API']],0,0,COUNTIF(Process_Steps[Name if Real],"&lt;&gt;#N/A"))</definedName>
    <definedName name="plotrange_by_step_energy_Y1_ENZ_PLNT" localSheetId="1">OFFSET(Process_Steps['[RV Step Energy (MJ) per kg API'] of Each Step Sorted by '[RV Step Energy (MJ) per kg API'] (ENZ&amp;PLNT)],0,0,COUNTIF(Process_Steps[Name if Real],"&lt;&gt;#N/A"))</definedName>
    <definedName name="plotrange_by_step_energy_Y1_METAL" localSheetId="1">OFFSET(Process_Steps['[RV Step Energy (MJ) per kg API'] of Each Step Sorted by '[RV Step Energy (MJ) per kg API'] (METAL)],0,0,COUNTIF(Process_Steps[Name if Real],"&lt;&gt;#N/A"))</definedName>
    <definedName name="plotrange_by_step_energy_Y1_OTHER" localSheetId="1">OFFSET(Process_Steps['[RV Step Energy (MJ) per kg API'] of Each Step Sorted by '[RV Step Energy (MJ) per kg API'] (OTHER)],0,0,COUNTIF(Process_Steps[Name if Real],"&lt;&gt;#N/A"))</definedName>
    <definedName name="plotrange_by_step_energy_Y1_REAGENT" localSheetId="1">OFFSET(Process_Steps['[RV Step Energy (MJ) per kg API'] of Each Step Sorted by '[RV Step Energy (MJ) per kg API'] (REAGENT)],0,0,COUNTIF(Process_Steps[Name if Real],"&lt;&gt;#N/A"))</definedName>
    <definedName name="plotrange_by_step_energy_Y1_SOLVENT" localSheetId="1">OFFSET(Process_Steps['[RV Step Energy (MJ) per kg API'] of Each Step Sorted by '[RV Step Energy (MJ) per kg API'] (SOLVENT)],0,0,COUNTIF(Process_Steps[Name if Real],"&lt;&gt;#N/A"))</definedName>
    <definedName name="plotrange_by_step_energy_Y1_WATER" localSheetId="1">OFFSET(Process_Steps['[RV Step Energy (MJ) per kg API'] of Each Step Sorted by '[RV Step Energy (MJ) per kg API'] (WATER)],0,0,COUNTIF(Process_Steps[Name if Real],"&lt;&gt;#N/A"))</definedName>
    <definedName name="plotrange_by_step_energy_Y2" localSheetId="1">OFFSET(Process_Steps[Cumulative Sum of '[RV Step Energy (MJ) per kg API']],0,0,COUNTIF(Process_Steps[Name if Real],"&lt;&gt;#N/A"))</definedName>
    <definedName name="plotrange_by_step_eutrophication_labels" localSheetId="1">OFFSET(Process_Steps[Labels for '[RV Step Eutrophication (kg phosphate equiv.) per kg API']],0,0,COUNTIF(Process_Steps[Name if Real],"&lt;&gt;#N/A"))</definedName>
    <definedName name="plotrange_by_step_eutrophication_X" localSheetId="1">OFFSET(Process_Steps[Steps Sorted by '[RV Step Eutrophication (kg phosphate equiv.) per kg API']],0,0,COUNTIFS(Process_Steps[Name if Real],"&lt;&gt;#N/A",Process_Steps[RV Step PMI per kg API],"&gt;0"))</definedName>
    <definedName name="plotrange_by_step_eutrophication_Y1" localSheetId="1">OFFSET(Process_Steps['[RV Step Eutrophication (kg phosphate equiv.) per kg API'] of Each Step Sorted by '[RV Step Eutrophication (kg phosphate equiv.) per kg API']],0,0,COUNTIF(Process_Steps[Name if Real],"&lt;&gt;#N/A"))</definedName>
    <definedName name="plotrange_by_step_eutrophication_Y1_ENZ_PLNT" localSheetId="1">OFFSET(Process_Steps['[RV Step Eutrophication (kg phosphate equiv.) per kg API'] of Each Step Sorted by '[RV Step Eutrophication (kg phosphate equiv.) per kg API'] (ENZ&amp;PLNT)],0,0,COUNTIF(Process_Steps[Name if Real],"&lt;&gt;#N/A"))</definedName>
    <definedName name="plotrange_by_step_eutrophication_Y1_METAL" localSheetId="1">OFFSET(Process_Steps['[RV Step Eutrophication (kg phosphate equiv.) per kg API'] of Each Step Sorted by '[RV Step Eutrophication (kg phosphate equiv.) per kg API'] (METAL)],0,0,COUNTIF(Process_Steps[Name if Real],"&lt;&gt;#N/A"))</definedName>
    <definedName name="plotrange_by_step_eutrophication_Y1_OTHER" localSheetId="1">OFFSET(Process_Steps['[RV Step Eutrophication (kg phosphate equiv.) per kg API'] of Each Step Sorted by '[RV Step Eutrophication (kg phosphate equiv.) per kg API'] (OTHER)],0,0,COUNTIF(Process_Steps[Name if Real],"&lt;&gt;#N/A"))</definedName>
    <definedName name="plotrange_by_step_eutrophication_Y1_REAGENT" localSheetId="1">OFFSET(Process_Steps['[RV Step Eutrophication (kg phosphate equiv.) per kg API'] of Each Step Sorted by '[RV Step Eutrophication (kg phosphate equiv.) per kg API'] (REAGENT)],0,0,COUNTIF(Process_Steps[Name if Real],"&lt;&gt;#N/A"))</definedName>
    <definedName name="plotrange_by_step_eutrophication_Y1_SOLVENT" localSheetId="1">OFFSET(Process_Steps['[RV Step Eutrophication (kg phosphate equiv.) per kg API'] of Each Step Sorted by '[RV Step Eutrophication (kg phosphate equiv.) per kg API'] (SOLVENT)],0,0,COUNTIF(Process_Steps[Name if Real],"&lt;&gt;#N/A"))</definedName>
    <definedName name="plotrange_by_step_eutrophication_Y1_WATER" localSheetId="1">OFFSET(Process_Steps['[RV Step Eutrophication (kg phosphate equiv.) per kg API'] of Each Step Sorted by '[RV Step Eutrophication (kg phosphate equiv.) per kg API'] (WATER)],0,0,COUNTIF(Process_Steps[Name if Real],"&lt;&gt;#N/A"))</definedName>
    <definedName name="plotrange_by_step_eutrophication_Y2" localSheetId="1">OFFSET(Process_Steps[Cumulative Sum of '[RV Step Eutrophication (kg phosphate equiv.) per kg API']],0,0,COUNTIF(Process_Steps[Name if Real],"&lt;&gt;#N/A"))</definedName>
    <definedName name="plotrange_by_step_GWP_labels" localSheetId="1">OFFSET(Process_Steps[Labels for '[RV Step GWP (kg CO2 equiv.) per kg API']],0,0,COUNTIF(Process_Steps[Name if Real],"&lt;&gt;#N/A"))</definedName>
    <definedName name="plotrange_by_step_GWP_X" localSheetId="1">OFFSET(Process_Steps[Steps Sorted by '[RV Step GWP (kg CO2 equiv.) per kg API']],0,0,COUNTIFS(Process_Steps[Name if Real],"&lt;&gt;#N/A",Process_Steps[RV Step PMI per kg API],"&gt;0"))</definedName>
    <definedName name="plotrange_by_step_GWP_Y1" localSheetId="1">OFFSET(Process_Steps['[RV Step GWP (kg CO2 equiv.) per kg API'] of Each Step Sorted by '[RV Step GWP (kg CO2 equiv.) per kg API']],0,0,COUNTIF(Process_Steps[Name if Real],"&lt;&gt;#N/A"))</definedName>
    <definedName name="plotrange_by_step_GWP_Y1_ENZ_PLNT" localSheetId="1">OFFSET(Process_Steps['[RV Step GWP (kg CO2 equiv.) per kg API'] of Each Step Sorted by '[RV Step GWP (kg CO2 equiv.) per kg API'] (ENZ&amp;PLNT)],0,0,COUNTIF(Process_Steps[Name if Real],"&lt;&gt;#N/A"))</definedName>
    <definedName name="plotrange_by_step_GWP_Y1_METAL" localSheetId="1">OFFSET(Process_Steps['[RV Step GWP (kg CO2 equiv.) per kg API'] of Each Step Sorted by '[RV Step GWP (kg CO2 equiv.) per kg API'] (METAL)],0,0,COUNTIF(Process_Steps[Name if Real],"&lt;&gt;#N/A"))</definedName>
    <definedName name="plotrange_by_step_GWP_Y1_OTHER" localSheetId="1">OFFSET(Process_Steps['[RV Step GWP (kg CO2 equiv.) per kg API'] of Each Step Sorted by '[RV Step GWP (kg CO2 equiv.) per kg API'] (OTHER)],0,0,COUNTIF(Process_Steps[Name if Real],"&lt;&gt;#N/A"))</definedName>
    <definedName name="plotrange_by_step_GWP_Y1_REAGENT" localSheetId="1">OFFSET(Process_Steps['[RV Step GWP (kg CO2 equiv.) per kg API'] of Each Step Sorted by '[RV Step GWP (kg CO2 equiv.) per kg API'] (REAGENT)],0,0,COUNTIF(Process_Steps[Name if Real],"&lt;&gt;#N/A"))</definedName>
    <definedName name="plotrange_by_step_GWP_Y1_SOLVENT" localSheetId="1">OFFSET(Process_Steps['[RV Step GWP (kg CO2 equiv.) per kg API'] of Each Step Sorted by '[RV Step GWP (kg CO2 equiv.) per kg API'] (SOLVENT)],0,0,COUNTIF(Process_Steps[Name if Real],"&lt;&gt;#N/A"))</definedName>
    <definedName name="plotrange_by_step_GWP_Y1_WATER" localSheetId="1">OFFSET(Process_Steps['[RV Step GWP (kg CO2 equiv.) per kg API'] of Each Step Sorted by '[RV Step GWP (kg CO2 equiv.) per kg API'] (WATER)],0,0,COUNTIF(Process_Steps[Name if Real],"&lt;&gt;#N/A"))</definedName>
    <definedName name="plotrange_by_step_GWP_Y2" localSheetId="1">OFFSET(Process_Steps[Cumulative Sum of '[RV Step GWP (kg CO2 equiv.) per kg API']],0,0,COUNTIF(Process_Steps[Name if Real],"&lt;&gt;#N/A"))</definedName>
    <definedName name="plotrange_by_step_massnet_labels" localSheetId="1">OFFSET(Process_Steps[Labels for '[RV Step Mass Net (kg) per kg API']],0,0,COUNTIF(Process_Steps[Name if Real],"&lt;&gt;#N/A"))</definedName>
    <definedName name="plotrange_by_step_massnet_X" localSheetId="1">OFFSET(Process_Steps[Steps Sorted by '[RV Step Mass Net (kg) per kg API']],0,0,COUNTIFS(Process_Steps[Name if Real],"&lt;&gt;#N/A",Process_Steps[RV Step PMI per kg API],"&gt;0"))</definedName>
    <definedName name="plotrange_by_step_massnet_Y1" localSheetId="1">OFFSET(Process_Steps['[RV Step Mass Net (kg) per kg API'] of Each Step Sorted by '[RV Step Mass Net (kg) per kg API']],0,0,COUNTIF(Process_Steps[Name if Real],"&lt;&gt;#N/A"))</definedName>
    <definedName name="plotrange_by_step_massnet_Y1_ENZ_PLNT" localSheetId="1">OFFSET(Process_Steps['[RV Step Mass Net (kg) per kg API'] of Each Step Sorted by '[RV Step Mass Net (kg) per kg API'] (ENZ&amp;PLNT)],0,0,COUNTIF(Process_Steps[Name if Real],"&lt;&gt;#N/A"))</definedName>
    <definedName name="plotrange_by_step_massnet_Y1_METAL" localSheetId="1">OFFSET(Process_Steps['[RV Step Mass Net (kg) per kg API'] of Each Step Sorted by '[RV Step Mass Net (kg) per kg API'] (METAL)],0,0,COUNTIF(Process_Steps[Name if Real],"&lt;&gt;#N/A"))</definedName>
    <definedName name="plotrange_by_step_massnet_Y1_OTHER" localSheetId="1">OFFSET(Process_Steps['[RV Step Mass Net (kg) per kg API'] of Each Step Sorted by '[RV Step Mass Net (kg) per kg API'] (OTHER)],0,0,COUNTIF(Process_Steps[Name if Real],"&lt;&gt;#N/A"))</definedName>
    <definedName name="plotrange_by_step_massnet_Y1_REAGENT" localSheetId="1">OFFSET(Process_Steps['[RV Step Mass Net (kg) per kg API'] of Each Step Sorted by '[RV Step Mass Net (kg) per kg API'] (REAGENT)],0,0,COUNTIF(Process_Steps[Name if Real],"&lt;&gt;#N/A"))</definedName>
    <definedName name="plotrange_by_step_massnet_Y1_SOLVENT" localSheetId="1">OFFSET(Process_Steps['[RV Step Mass Net (kg) per kg API'] of Each Step Sorted by '[RV Step Mass Net (kg) per kg API'] (SOLVENT)],0,0,COUNTIF(Process_Steps[Name if Real],"&lt;&gt;#N/A"))</definedName>
    <definedName name="plotrange_by_step_massnet_Y1_WATER" localSheetId="1">OFFSET(Process_Steps['[RV Step Mass Net (kg) per kg API'] of Each Step Sorted by '[RV Step Mass Net (kg) per kg API'] (WATER)],0,0,COUNTIF(Process_Steps[Name if Real],"&lt;&gt;#N/A"))</definedName>
    <definedName name="plotrange_by_step_massnet_Y2" localSheetId="1">OFFSET(Process_Steps[Cumulative Sum of '[RV Step Mass Net (kg) per kg API']],0,0,COUNTIF(Process_Steps[Name if Real],"&lt;&gt;#N/A"))</definedName>
    <definedName name="plotrange_by_step_pmi_labels" localSheetId="1">OFFSET(Process_Steps[Labels for '[RV Step PMI per kg API']],0,0,COUNTIF(Process_Steps[Name if Real],"&lt;&gt;#N/A"))</definedName>
    <definedName name="plotrange_by_step_pmi_X" localSheetId="1">OFFSET(Process_Steps[Steps Sorted by '[RV Step PMI per kg API']],0,0,COUNTIFS(Process_Steps[Name if Real],"&lt;&gt;#N/A",Process_Steps[RV Step PMI per kg API],"&gt;0"))</definedName>
    <definedName name="plotrange_by_step_pmi_Y1" localSheetId="1">OFFSET(Process_Steps['[RV Step PMI per kg API'] of Each Step Sorted by '[RV Step PMI per kg API']],0,0,COUNTIF(Process_Steps[Name if Real],"&lt;&gt;#N/A"))</definedName>
    <definedName name="plotrange_by_step_pmi_Y1_ENZ_PLNT" localSheetId="1">OFFSET(Process_Steps['[RV Step PMI per kg API'] of Each Step Sorted by '[RV Step PMI per kg API'] (ENZ&amp;PLNT)],0,0,COUNTIF(Process_Steps[Name if Real],"&lt;&gt;#N/A"))</definedName>
    <definedName name="plotrange_by_step_pmi_Y1_METAL" localSheetId="1">OFFSET(Process_Steps['[RV Step PMI per kg API'] of Each Step Sorted by '[RV Step PMI per kg API'] (METAL)],0,0,COUNTIF(Process_Steps[Name if Real],"&lt;&gt;#N/A"))</definedName>
    <definedName name="plotrange_by_step_pmi_Y1_OTHER" localSheetId="1">OFFSET(Process_Steps['[RV Step PMI per kg API'] of Each Step Sorted by '[RV Step PMI per kg API'] (OTHER)],0,0,COUNTIF(Process_Steps[Name if Real],"&lt;&gt;#N/A"))</definedName>
    <definedName name="plotrange_by_step_pmi_Y1_REAGENT" localSheetId="1">OFFSET(Process_Steps['[RV Step PMI per kg API'] of Each Step Sorted by '[RV Step PMI per kg API'] (REAGENT)],0,0,COUNTIF(Process_Steps[Name if Real],"&lt;&gt;#N/A"))</definedName>
    <definedName name="plotrange_by_step_pmi_Y1_SOLVENT" localSheetId="1">OFFSET(Process_Steps['[RV Step PMI per kg API'] of Each Step Sorted by '[RV Step PMI per kg API'] (SOLVENT)],0,0,COUNTIF(Process_Steps[Name if Real],"&lt;&gt;#N/A"))</definedName>
    <definedName name="plotrange_by_step_pmi_Y1_WATER" localSheetId="1">OFFSET(Process_Steps['[RV Step PMI per kg API'] of Each Step Sorted by '[RV Step PMI per kg API'] (WATER)],0,0,COUNTIF(Process_Steps[Name if Real],"&lt;&gt;#N/A"))</definedName>
    <definedName name="plotrange_by_step_pmi_Y2" localSheetId="1">OFFSET(Process_Steps[Cumulative Sum of '[RV Step PMI per kg API'] ],0,0,COUNTIF(Process_Steps[Name if Real],"&lt;&gt;#N/A"))</definedName>
    <definedName name="plotrange_by_step_water_labels" localSheetId="1">OFFSET(Process_Steps[Labels for '[RV Step Water (kg) per kg API']],0,0,COUNTIF(Process_Steps[Name if Real],"&lt;&gt;#N/A"))</definedName>
    <definedName name="plotrange_by_step_water_X" localSheetId="1">OFFSET(Process_Steps[Steps Sorted by '[RV Step Water (kg) per kg API']],0,0,COUNTIFS(Process_Steps[Name if Real],"&lt;&gt;#N/A",Process_Steps[RV Step PMI per kg API],"&gt;0"))</definedName>
    <definedName name="plotrange_by_step_water_Y1" localSheetId="1">OFFSET(Process_Steps['[RV Step Water (kg) per kg API'] of Each Step Sorted by '[RV Step Water (kg) per kg API']],0,0,COUNTIFS(Process_Steps[Name if Real],"&lt;&gt;#N/A",Process_Steps[RV Step PMI per kg API],"&gt;0"))</definedName>
    <definedName name="plotrange_by_step_water_Y1_ENZ_PLNT" localSheetId="1">OFFSET(Process_Steps['[RV Step Water (kg) per kg API'] of Each Step Sorted by '[RV Step Water (kg) per kg API'] (ENZ&amp;PLNT)],0,0,COUNTIF(Process_Steps[Name if Real],"&lt;&gt;#N/A"))</definedName>
    <definedName name="plotrange_by_step_water_Y1_METAL" localSheetId="1">OFFSET(Process_Steps['[RV Step Water (kg) per kg API'] of Each Step Sorted by '[RV Step Water (kg) per kg API'] (METAL)],0,0,COUNTIF(Process_Steps[Name if Real],"&lt;&gt;#N/A"))</definedName>
    <definedName name="plotrange_by_step_water_Y1_OTHER" localSheetId="1">OFFSET(Process_Steps['[RV Step Water (kg) per kg API'] of Each Step Sorted by '[RV Step Water (kg) per kg API'] (OTHER)],0,0,COUNTIF(Process_Steps[Name if Real],"&lt;&gt;#N/A"))</definedName>
    <definedName name="plotrange_by_step_water_Y1_REAGENT" localSheetId="1">OFFSET(Process_Steps['[RV Step Water (kg) per kg API'] of Each Step Sorted by '[RV Step Water (kg) per kg API'] (REAGENT)],0,0,COUNTIF(Process_Steps[Name if Real],"&lt;&gt;#N/A"))</definedName>
    <definedName name="plotrange_by_step_water_Y1_SOLVENT" localSheetId="1">OFFSET(Process_Steps['[RV Step Water (kg) per kg API'] of Each Step Sorted by '[RV Step Water (kg) per kg API'] (SOLVENT)],0,0,COUNTIF(Process_Steps[Name if Real],"&lt;&gt;#N/A"))</definedName>
    <definedName name="plotrange_by_step_water_Y1_WATER" localSheetId="1">OFFSET(Process_Steps['[RV Step Water (kg) per kg API'] of Each Step Sorted by '[RV Step Water (kg) per kg API'] (WATER)],0,0,COUNTIF(Process_Steps[Name if Real],"&lt;&gt;#N/A"))</definedName>
    <definedName name="plotrange_by_step_water_Y2" localSheetId="1">OFFSET(Process_Steps[Cumulative Sum of '[RV Step Water (kg) per kg API']],0,0,COUNTIF(Process_Steps[Name if Real],"&lt;&gt;#N/A"))</definedName>
    <definedName name="plotrange_PNG_All_X" localSheetId="2">Table_Process_Details[X for Labels]</definedName>
    <definedName name="plotrange_PNG_All_Y" localSheetId="2">Table_Process_Details[Y for Labels]</definedName>
    <definedName name="plotrange_PNG_Arrow_X" localSheetId="4">Table_Arrow_Coords[Arrow_X]</definedName>
    <definedName name="plotrange_PNG_Arrow_Y" localSheetId="4">Table_Arrow_Coords[Arrow_Y]</definedName>
    <definedName name="plotrange_PNG_Display_Name_Labels" localSheetId="2">Table_Process_Details[Display Name]</definedName>
    <definedName name="plotrange_PNG_Real_Step_X" localSheetId="2">Table_Process_Details[X if Real Step]</definedName>
    <definedName name="plotrange_PNG_Real_Step_Y" localSheetId="2">Table_Process_Details[Y if Real Step]</definedName>
    <definedName name="plotrange_PNG_RM_X" localSheetId="2">Table_Process_Details[X if RM]</definedName>
    <definedName name="plotrange_PNG_RM_Y" localSheetId="2">Table_Process_Details[Y if RM]</definedName>
    <definedName name="Run_Reset_PNG">'3. Process Metrics Dashboard'!$W$7</definedName>
    <definedName name="Run_Reset_Recycle_Iteration">'3. Process Metrics Dashboard'!$Y$46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2" i="6" l="1"/>
  <c r="F40" i="6"/>
  <c r="F53" i="6" s="1"/>
  <c r="F61" i="6" s="1"/>
  <c r="F31" i="6"/>
  <c r="F18" i="6"/>
  <c r="D101" i="6"/>
  <c r="E100" i="6"/>
  <c r="A94" i="6"/>
  <c r="E93" i="6"/>
  <c r="A86" i="6"/>
  <c r="A83" i="6"/>
  <c r="A80" i="6"/>
  <c r="A77" i="6"/>
  <c r="A78" i="6" s="1"/>
  <c r="A74" i="6"/>
  <c r="J74" i="6" s="1"/>
  <c r="E85" i="6"/>
  <c r="E82" i="6"/>
  <c r="E79" i="6"/>
  <c r="E76" i="6"/>
  <c r="E73" i="6"/>
  <c r="A65" i="6"/>
  <c r="A62" i="6"/>
  <c r="E64" i="6"/>
  <c r="E66" i="6" s="1"/>
  <c r="E61" i="6"/>
  <c r="A53" i="6"/>
  <c r="A50" i="6"/>
  <c r="A47" i="6"/>
  <c r="A44" i="6"/>
  <c r="A41" i="6"/>
  <c r="E52" i="6"/>
  <c r="E60" i="6" s="1"/>
  <c r="E49" i="6"/>
  <c r="E59" i="6" s="1"/>
  <c r="E46" i="6"/>
  <c r="E43" i="6"/>
  <c r="E40" i="6"/>
  <c r="E22" i="6"/>
  <c r="E19" i="6"/>
  <c r="E16" i="6"/>
  <c r="E13" i="6"/>
  <c r="E10" i="6"/>
  <c r="E29" i="6" s="1"/>
  <c r="E7" i="6"/>
  <c r="E28" i="6" s="1"/>
  <c r="A23" i="6"/>
  <c r="A20" i="6"/>
  <c r="A17" i="6"/>
  <c r="A14" i="6"/>
  <c r="A11" i="6"/>
  <c r="A8" i="6"/>
  <c r="A9" i="6" s="1"/>
  <c r="A5" i="6"/>
  <c r="A6" i="6" s="1"/>
  <c r="E98" i="6"/>
  <c r="A95" i="6"/>
  <c r="A96" i="6" s="1"/>
  <c r="E94" i="6"/>
  <c r="E89" i="6"/>
  <c r="A87" i="6"/>
  <c r="K87" i="6" s="1"/>
  <c r="AG87" i="6" s="1"/>
  <c r="E86" i="6"/>
  <c r="F85" i="6"/>
  <c r="E90" i="6"/>
  <c r="A84" i="6"/>
  <c r="J84" i="6" s="1"/>
  <c r="F82" i="6"/>
  <c r="A81" i="6"/>
  <c r="F79" i="6"/>
  <c r="E88" i="6"/>
  <c r="F76" i="6"/>
  <c r="E87" i="6"/>
  <c r="A66" i="6"/>
  <c r="F64" i="6"/>
  <c r="E65" i="6"/>
  <c r="E58" i="6"/>
  <c r="A54" i="6"/>
  <c r="J54" i="6" s="1"/>
  <c r="F49" i="6"/>
  <c r="A48" i="6"/>
  <c r="F46" i="6"/>
  <c r="A45" i="6"/>
  <c r="F43" i="6"/>
  <c r="E55" i="6"/>
  <c r="A42" i="6"/>
  <c r="E53" i="6"/>
  <c r="A24" i="6"/>
  <c r="A25" i="6" s="1"/>
  <c r="F22" i="6"/>
  <c r="A21" i="6"/>
  <c r="E35" i="6"/>
  <c r="F17" i="6"/>
  <c r="A18" i="6"/>
  <c r="F16" i="6"/>
  <c r="E33" i="6"/>
  <c r="A15" i="6"/>
  <c r="A16" i="6" s="1"/>
  <c r="D33" i="6" s="1"/>
  <c r="F13" i="6"/>
  <c r="E30" i="6"/>
  <c r="A12" i="6"/>
  <c r="F10" i="6"/>
  <c r="F7" i="6"/>
  <c r="J11" i="6"/>
  <c r="J14" i="6"/>
  <c r="J17" i="6"/>
  <c r="J23" i="6"/>
  <c r="J41" i="6"/>
  <c r="J53" i="6"/>
  <c r="J65" i="6"/>
  <c r="J80" i="6"/>
  <c r="J83" i="6"/>
  <c r="J86" i="6"/>
  <c r="J87" i="6"/>
  <c r="J94" i="6"/>
  <c r="J95" i="6"/>
  <c r="K11" i="6"/>
  <c r="K14" i="6"/>
  <c r="AG14" i="6" s="1"/>
  <c r="K15" i="6"/>
  <c r="AG15" i="6" s="1"/>
  <c r="K17" i="6"/>
  <c r="K23" i="6"/>
  <c r="AG23" i="6" s="1"/>
  <c r="K41" i="6"/>
  <c r="AG41" i="6" s="1"/>
  <c r="AY41" i="6" s="1"/>
  <c r="K47" i="6"/>
  <c r="K53" i="6"/>
  <c r="AG53" i="6" s="1"/>
  <c r="K54" i="6"/>
  <c r="AG54" i="6" s="1"/>
  <c r="K65" i="6"/>
  <c r="K80" i="6"/>
  <c r="K83" i="6"/>
  <c r="AG83" i="6" s="1"/>
  <c r="K86" i="6"/>
  <c r="AG86" i="6" s="1"/>
  <c r="AY86" i="6" s="1"/>
  <c r="K94" i="6"/>
  <c r="AG94" i="6" s="1"/>
  <c r="K95" i="6"/>
  <c r="L7" i="6"/>
  <c r="L10" i="6"/>
  <c r="L13" i="6"/>
  <c r="L16" i="6"/>
  <c r="L19" i="6"/>
  <c r="L22" i="6"/>
  <c r="L28" i="6"/>
  <c r="L29" i="6"/>
  <c r="L30" i="6"/>
  <c r="L33" i="6"/>
  <c r="L34" i="6"/>
  <c r="L35" i="6"/>
  <c r="L40" i="6"/>
  <c r="L43" i="6"/>
  <c r="L46" i="6"/>
  <c r="L49" i="6"/>
  <c r="L52" i="6"/>
  <c r="L53" i="6"/>
  <c r="L55" i="6"/>
  <c r="L58" i="6"/>
  <c r="L59" i="6"/>
  <c r="L60" i="6"/>
  <c r="L61" i="6"/>
  <c r="L64" i="6"/>
  <c r="L65" i="6"/>
  <c r="L66" i="6"/>
  <c r="L67" i="6"/>
  <c r="L73" i="6"/>
  <c r="L76" i="6"/>
  <c r="L79" i="6"/>
  <c r="L82" i="6"/>
  <c r="L85" i="6"/>
  <c r="L86" i="6"/>
  <c r="L87" i="6"/>
  <c r="L88" i="6"/>
  <c r="L89" i="6"/>
  <c r="L90" i="6"/>
  <c r="L93" i="6"/>
  <c r="L94" i="6"/>
  <c r="L98" i="6"/>
  <c r="L100"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AA6" i="6"/>
  <c r="AA7" i="6"/>
  <c r="AA8" i="6"/>
  <c r="AA9" i="6"/>
  <c r="AA10" i="6"/>
  <c r="AA11" i="6"/>
  <c r="AA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G11" i="6"/>
  <c r="AN11" i="6" s="1"/>
  <c r="AG17" i="6"/>
  <c r="AO17" i="6" s="1"/>
  <c r="AG47" i="6"/>
  <c r="AN47" i="6" s="1"/>
  <c r="AG65" i="6"/>
  <c r="BB65" i="6" s="1"/>
  <c r="AG80" i="6"/>
  <c r="AO80" i="6" s="1"/>
  <c r="AG95" i="6"/>
  <c r="AY95" i="6" s="1"/>
  <c r="AN80" i="6"/>
  <c r="AO47" i="6"/>
  <c r="AP47" i="6"/>
  <c r="AP80" i="6"/>
  <c r="AQ6" i="6"/>
  <c r="AQ7" i="6"/>
  <c r="AQ8" i="6"/>
  <c r="AQ9" i="6"/>
  <c r="AQ10" i="6"/>
  <c r="AQ11" i="6"/>
  <c r="AQ12" i="6"/>
  <c r="AQ13" i="6"/>
  <c r="AQ14" i="6"/>
  <c r="AQ15" i="6"/>
  <c r="AQ16" i="6"/>
  <c r="AQ17" i="6"/>
  <c r="AQ18" i="6"/>
  <c r="AQ19" i="6"/>
  <c r="AQ20" i="6"/>
  <c r="AQ21" i="6"/>
  <c r="AQ22" i="6"/>
  <c r="AQ23" i="6"/>
  <c r="AQ24" i="6"/>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U17" i="6"/>
  <c r="AU47" i="6"/>
  <c r="AU80" i="6"/>
  <c r="AV17" i="6"/>
  <c r="AV47" i="6"/>
  <c r="AV80" i="6"/>
  <c r="AW17" i="6"/>
  <c r="AW47" i="6"/>
  <c r="AW80"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Y17" i="6"/>
  <c r="AY47" i="6"/>
  <c r="AY80" i="6"/>
  <c r="AZ17" i="6"/>
  <c r="AZ47" i="6"/>
  <c r="AZ80" i="6"/>
  <c r="BA11" i="6"/>
  <c r="BA17" i="6"/>
  <c r="BA47" i="6"/>
  <c r="BA80" i="6"/>
  <c r="BB17" i="6"/>
  <c r="BB47" i="6"/>
  <c r="BB80" i="6"/>
  <c r="BC17" i="6"/>
  <c r="BC47" i="6"/>
  <c r="BC80" i="6"/>
  <c r="BD17" i="6"/>
  <c r="BD47" i="6"/>
  <c r="BD80" i="6"/>
  <c r="BE6" i="6"/>
  <c r="BE7" i="6"/>
  <c r="BE8" i="6"/>
  <c r="BE9" i="6"/>
  <c r="BE10" i="6"/>
  <c r="BE11" i="6"/>
  <c r="BE12" i="6"/>
  <c r="BE13" i="6"/>
  <c r="BE14" i="6"/>
  <c r="BE15" i="6"/>
  <c r="BE16" i="6"/>
  <c r="BE17" i="6"/>
  <c r="BE18" i="6"/>
  <c r="BE19" i="6"/>
  <c r="BE20" i="6"/>
  <c r="BE21" i="6"/>
  <c r="BE22" i="6"/>
  <c r="BE23" i="6"/>
  <c r="BE24" i="6"/>
  <c r="BE25" i="6"/>
  <c r="BE26" i="6"/>
  <c r="BE27" i="6"/>
  <c r="BE28" i="6"/>
  <c r="BE29" i="6"/>
  <c r="BE30" i="6"/>
  <c r="BE31" i="6"/>
  <c r="BE32" i="6"/>
  <c r="BE33" i="6"/>
  <c r="BE34" i="6"/>
  <c r="BE35" i="6"/>
  <c r="BE36" i="6"/>
  <c r="BE37" i="6"/>
  <c r="BE38" i="6"/>
  <c r="BE39" i="6"/>
  <c r="BE40" i="6"/>
  <c r="BE41" i="6"/>
  <c r="BE42" i="6"/>
  <c r="BE43" i="6"/>
  <c r="BE44" i="6"/>
  <c r="BE45" i="6"/>
  <c r="BE46" i="6"/>
  <c r="BE47" i="6"/>
  <c r="BE48" i="6"/>
  <c r="BE49" i="6"/>
  <c r="BE50" i="6"/>
  <c r="BE51" i="6"/>
  <c r="BE52" i="6"/>
  <c r="BE53" i="6"/>
  <c r="BE54" i="6"/>
  <c r="BE55" i="6"/>
  <c r="BE56" i="6"/>
  <c r="BE57" i="6"/>
  <c r="BE58" i="6"/>
  <c r="BE59" i="6"/>
  <c r="BE60" i="6"/>
  <c r="BE61" i="6"/>
  <c r="BE62" i="6"/>
  <c r="BE63" i="6"/>
  <c r="BE64" i="6"/>
  <c r="BE65" i="6"/>
  <c r="BE66" i="6"/>
  <c r="BE67" i="6"/>
  <c r="BE68" i="6"/>
  <c r="BE69" i="6"/>
  <c r="BE70" i="6"/>
  <c r="BE71" i="6"/>
  <c r="BE72" i="6"/>
  <c r="BE73" i="6"/>
  <c r="BE74" i="6"/>
  <c r="BE75" i="6"/>
  <c r="BE76" i="6"/>
  <c r="BE77" i="6"/>
  <c r="BE78" i="6"/>
  <c r="BE79" i="6"/>
  <c r="BE80" i="6"/>
  <c r="BE81" i="6"/>
  <c r="BE82" i="6"/>
  <c r="BE83" i="6"/>
  <c r="BE84" i="6"/>
  <c r="BE85" i="6"/>
  <c r="BE86" i="6"/>
  <c r="BE87" i="6"/>
  <c r="BE88" i="6"/>
  <c r="BE89" i="6"/>
  <c r="BE90" i="6"/>
  <c r="BE91" i="6"/>
  <c r="BE92" i="6"/>
  <c r="BE93" i="6"/>
  <c r="BE94" i="6"/>
  <c r="BE95" i="6"/>
  <c r="BE96" i="6"/>
  <c r="BE97" i="6"/>
  <c r="BE98" i="6"/>
  <c r="BE99" i="6"/>
  <c r="BE100" i="6"/>
  <c r="I8" i="11"/>
  <c r="I9" i="11"/>
  <c r="I10" i="11"/>
  <c r="I11" i="11"/>
  <c r="I12" i="11"/>
  <c r="I13" i="11"/>
  <c r="I14" i="11"/>
  <c r="I15" i="11"/>
  <c r="I16" i="11"/>
  <c r="I17" i="11"/>
  <c r="I18" i="11"/>
  <c r="I19" i="11"/>
  <c r="I20" i="11"/>
  <c r="I21" i="11"/>
  <c r="I22" i="11"/>
  <c r="I23" i="11"/>
  <c r="I24" i="11"/>
  <c r="I25" i="11"/>
  <c r="I26" i="11"/>
  <c r="J8" i="11"/>
  <c r="J9" i="11"/>
  <c r="J10" i="11"/>
  <c r="J11" i="11"/>
  <c r="J12" i="11"/>
  <c r="J13" i="11"/>
  <c r="J14" i="11"/>
  <c r="J15" i="11"/>
  <c r="J16" i="11"/>
  <c r="J17" i="11"/>
  <c r="J18" i="11"/>
  <c r="J19" i="11"/>
  <c r="J20" i="11"/>
  <c r="J21" i="11"/>
  <c r="J22" i="11"/>
  <c r="J23" i="11"/>
  <c r="J24" i="11"/>
  <c r="J25" i="11"/>
  <c r="J26" i="11"/>
  <c r="K8" i="11"/>
  <c r="K9" i="11"/>
  <c r="K10" i="11"/>
  <c r="K11" i="11"/>
  <c r="K12" i="11"/>
  <c r="K14" i="11"/>
  <c r="K15" i="11"/>
  <c r="K16" i="11"/>
  <c r="K17" i="11"/>
  <c r="K19" i="11"/>
  <c r="K21" i="11"/>
  <c r="K22" i="11"/>
  <c r="K23" i="11"/>
  <c r="K24" i="11"/>
  <c r="L8" i="11"/>
  <c r="L9" i="11"/>
  <c r="L10" i="11"/>
  <c r="L11" i="11"/>
  <c r="L14" i="11"/>
  <c r="L15" i="11"/>
  <c r="L16" i="11"/>
  <c r="L17" i="11"/>
  <c r="L19" i="11"/>
  <c r="L21" i="11"/>
  <c r="L22" i="11"/>
  <c r="L23" i="11"/>
  <c r="L24" i="11"/>
  <c r="M8" i="11"/>
  <c r="M9" i="11"/>
  <c r="M10" i="11"/>
  <c r="M11" i="11"/>
  <c r="M14" i="11"/>
  <c r="M15" i="11"/>
  <c r="M16" i="11"/>
  <c r="M17" i="11"/>
  <c r="M19" i="11"/>
  <c r="M21" i="11"/>
  <c r="M22" i="11"/>
  <c r="M23" i="11"/>
  <c r="M24" i="11"/>
  <c r="N8" i="11"/>
  <c r="N9" i="11"/>
  <c r="N10" i="11"/>
  <c r="N11" i="11"/>
  <c r="N14" i="11"/>
  <c r="N15" i="11"/>
  <c r="N16" i="11"/>
  <c r="N17" i="11"/>
  <c r="N19" i="11"/>
  <c r="N21" i="11"/>
  <c r="N22" i="11"/>
  <c r="N23" i="11"/>
  <c r="N24" i="11"/>
  <c r="O8" i="11"/>
  <c r="O9" i="11"/>
  <c r="O10" i="11"/>
  <c r="O11" i="11"/>
  <c r="O14" i="11"/>
  <c r="O15" i="11"/>
  <c r="O16" i="11"/>
  <c r="O17" i="11"/>
  <c r="O19" i="11"/>
  <c r="O21" i="11"/>
  <c r="O22" i="11"/>
  <c r="O23" i="11"/>
  <c r="O24" i="11"/>
  <c r="P8" i="11"/>
  <c r="P9" i="11"/>
  <c r="P10" i="11"/>
  <c r="P11" i="11"/>
  <c r="P14" i="11"/>
  <c r="P15" i="11"/>
  <c r="P16" i="11"/>
  <c r="P17" i="11"/>
  <c r="P19" i="11"/>
  <c r="P21" i="11"/>
  <c r="P22" i="11"/>
  <c r="P23" i="11"/>
  <c r="P24" i="11"/>
  <c r="Q8" i="11"/>
  <c r="Q9" i="11"/>
  <c r="Q10" i="11"/>
  <c r="Q11" i="11"/>
  <c r="Q14" i="11"/>
  <c r="Q15" i="11"/>
  <c r="Q16" i="11"/>
  <c r="Q17" i="11"/>
  <c r="Q19" i="11"/>
  <c r="Q21" i="11"/>
  <c r="Q22" i="11"/>
  <c r="Q23" i="11"/>
  <c r="Q24" i="11"/>
  <c r="R8" i="11"/>
  <c r="R9" i="11"/>
  <c r="R10" i="11"/>
  <c r="R11" i="11"/>
  <c r="R14" i="11"/>
  <c r="R15" i="11"/>
  <c r="R16" i="11"/>
  <c r="R17" i="11"/>
  <c r="R19" i="11"/>
  <c r="R21" i="11"/>
  <c r="R22" i="11"/>
  <c r="R23" i="11"/>
  <c r="R24" i="11"/>
  <c r="AC8" i="11"/>
  <c r="AC9" i="11"/>
  <c r="AC10" i="11"/>
  <c r="AC11" i="11"/>
  <c r="AC14" i="11"/>
  <c r="AC15" i="11"/>
  <c r="AC16" i="11"/>
  <c r="AC17" i="11"/>
  <c r="AC19" i="11"/>
  <c r="AC21" i="11"/>
  <c r="AC22" i="11"/>
  <c r="AC23" i="11"/>
  <c r="AC24" i="11"/>
  <c r="AD8" i="11"/>
  <c r="AD9" i="11"/>
  <c r="AD10" i="11"/>
  <c r="AD11" i="11"/>
  <c r="AD14" i="11"/>
  <c r="AD15" i="11"/>
  <c r="AD16" i="11"/>
  <c r="AD17" i="11"/>
  <c r="AD19" i="11"/>
  <c r="AD21" i="11"/>
  <c r="AD22" i="11"/>
  <c r="AD23" i="11"/>
  <c r="AD24" i="11"/>
  <c r="AE8" i="11"/>
  <c r="AE9" i="11"/>
  <c r="AE10" i="11"/>
  <c r="AE11" i="11"/>
  <c r="AE14" i="11"/>
  <c r="AE15" i="11"/>
  <c r="AE16" i="11"/>
  <c r="AE17" i="11"/>
  <c r="AE19" i="11"/>
  <c r="AE21" i="11"/>
  <c r="AE22" i="11"/>
  <c r="AE23" i="11"/>
  <c r="AE24" i="11"/>
  <c r="AF8" i="11"/>
  <c r="AF9" i="11"/>
  <c r="AF10" i="11"/>
  <c r="AF11" i="11"/>
  <c r="AF14" i="11"/>
  <c r="AF15" i="11"/>
  <c r="AF16" i="11"/>
  <c r="AF17" i="11"/>
  <c r="AF19" i="11"/>
  <c r="AF21" i="11"/>
  <c r="AF22" i="11"/>
  <c r="AF23" i="11"/>
  <c r="AF24" i="11"/>
  <c r="AG8" i="11"/>
  <c r="AG9" i="11"/>
  <c r="AG10" i="11"/>
  <c r="AG11" i="11"/>
  <c r="AG14" i="11"/>
  <c r="AG15" i="11"/>
  <c r="AG16" i="11"/>
  <c r="AG17" i="11"/>
  <c r="AG19" i="11"/>
  <c r="AG21" i="11"/>
  <c r="AG22" i="11"/>
  <c r="AG23" i="11"/>
  <c r="AG24" i="11"/>
  <c r="AH8" i="11"/>
  <c r="AH9" i="11"/>
  <c r="AH10" i="11"/>
  <c r="AH11" i="11"/>
  <c r="AH14" i="11"/>
  <c r="AH15" i="11"/>
  <c r="AH16" i="11"/>
  <c r="AH17" i="11"/>
  <c r="AH19" i="11"/>
  <c r="AH21" i="11"/>
  <c r="AH22" i="11"/>
  <c r="AH23" i="11"/>
  <c r="AH24" i="11"/>
  <c r="AI8" i="11"/>
  <c r="AI9" i="11"/>
  <c r="AI10" i="11"/>
  <c r="AI11" i="11"/>
  <c r="AI14" i="11"/>
  <c r="AI15" i="11"/>
  <c r="AI16" i="11"/>
  <c r="AI17" i="11"/>
  <c r="AI19" i="11"/>
  <c r="AI21" i="11"/>
  <c r="AI22" i="11"/>
  <c r="AI23" i="11"/>
  <c r="AI24" i="11"/>
  <c r="AT8" i="11"/>
  <c r="AT9" i="11"/>
  <c r="AT10" i="11"/>
  <c r="AT11" i="11"/>
  <c r="AT14" i="11"/>
  <c r="AT15" i="11"/>
  <c r="AT16" i="11"/>
  <c r="AT17" i="11"/>
  <c r="AT19" i="11"/>
  <c r="AT21" i="11"/>
  <c r="AT22" i="11"/>
  <c r="AT23" i="11"/>
  <c r="AT24" i="11"/>
  <c r="AU8" i="11"/>
  <c r="AU9" i="11"/>
  <c r="AU10" i="11"/>
  <c r="AU11" i="11"/>
  <c r="AU14" i="11"/>
  <c r="AU15" i="11"/>
  <c r="AU16" i="11"/>
  <c r="AU17" i="11"/>
  <c r="AU19" i="11"/>
  <c r="AU21" i="11"/>
  <c r="AU22" i="11"/>
  <c r="AU23" i="11"/>
  <c r="AU24" i="11"/>
  <c r="AV8" i="11"/>
  <c r="AV9" i="11"/>
  <c r="AV10" i="11"/>
  <c r="AV11" i="11"/>
  <c r="AV14" i="11"/>
  <c r="AV15" i="11"/>
  <c r="AV16" i="11"/>
  <c r="AV17" i="11"/>
  <c r="AV19" i="11"/>
  <c r="AV21" i="11"/>
  <c r="AV22" i="11"/>
  <c r="AV23" i="11"/>
  <c r="AV24" i="11"/>
  <c r="AW8" i="11"/>
  <c r="AW9" i="11"/>
  <c r="AW10" i="11"/>
  <c r="AW11" i="11"/>
  <c r="AW14" i="11"/>
  <c r="AW15" i="11"/>
  <c r="AW16" i="11"/>
  <c r="AW17" i="11"/>
  <c r="AW19" i="11"/>
  <c r="AW21" i="11"/>
  <c r="AW22" i="11"/>
  <c r="AW23" i="11"/>
  <c r="AW24" i="11"/>
  <c r="AX8" i="11"/>
  <c r="AX9" i="11"/>
  <c r="AX10" i="11"/>
  <c r="AX11" i="11"/>
  <c r="AX14" i="11"/>
  <c r="AX15" i="11"/>
  <c r="AX16" i="11"/>
  <c r="AX17" i="11"/>
  <c r="AX19" i="11"/>
  <c r="AX21" i="11"/>
  <c r="AX22" i="11"/>
  <c r="AX23" i="11"/>
  <c r="AX24" i="11"/>
  <c r="AY8" i="11"/>
  <c r="AY9" i="11"/>
  <c r="AY10" i="11"/>
  <c r="AY11" i="11"/>
  <c r="AY14" i="11"/>
  <c r="AY15" i="11"/>
  <c r="AY16" i="11"/>
  <c r="AY17" i="11"/>
  <c r="AY19" i="11"/>
  <c r="AY21" i="11"/>
  <c r="AY22" i="11"/>
  <c r="AY23" i="11"/>
  <c r="AY24" i="11"/>
  <c r="AZ8" i="11"/>
  <c r="AZ9" i="11"/>
  <c r="AZ10" i="11"/>
  <c r="AZ11" i="11"/>
  <c r="AZ14" i="11"/>
  <c r="AZ15" i="11"/>
  <c r="AZ16" i="11"/>
  <c r="AZ17" i="11"/>
  <c r="AZ19" i="11"/>
  <c r="AZ21" i="11"/>
  <c r="AZ22" i="11"/>
  <c r="AZ23" i="11"/>
  <c r="AZ24" i="11"/>
  <c r="BK8" i="11"/>
  <c r="BK9" i="11"/>
  <c r="BK10" i="11"/>
  <c r="BK11" i="11"/>
  <c r="BK14" i="11"/>
  <c r="BK15" i="11"/>
  <c r="BK16" i="11"/>
  <c r="BK17" i="11"/>
  <c r="BK19" i="11"/>
  <c r="BK21" i="11"/>
  <c r="BK22" i="11"/>
  <c r="BK23" i="11"/>
  <c r="BK24" i="11"/>
  <c r="BL8" i="11"/>
  <c r="BL9" i="11"/>
  <c r="BL10" i="11"/>
  <c r="BL11" i="11"/>
  <c r="BL14" i="11"/>
  <c r="BL15" i="11"/>
  <c r="BL16" i="11"/>
  <c r="BL17" i="11"/>
  <c r="BL19" i="11"/>
  <c r="BL21" i="11"/>
  <c r="BL22" i="11"/>
  <c r="BL23" i="11"/>
  <c r="BL24" i="11"/>
  <c r="BM8" i="11"/>
  <c r="BM9" i="11"/>
  <c r="BM10" i="11"/>
  <c r="BM11" i="11"/>
  <c r="BM14" i="11"/>
  <c r="BM15" i="11"/>
  <c r="BM16" i="11"/>
  <c r="BM17" i="11"/>
  <c r="BM19" i="11"/>
  <c r="BM21" i="11"/>
  <c r="BM22" i="11"/>
  <c r="BM23" i="11"/>
  <c r="BM24" i="11"/>
  <c r="BN8" i="11"/>
  <c r="BN9" i="11"/>
  <c r="BN10" i="11"/>
  <c r="BN11" i="11"/>
  <c r="BN14" i="11"/>
  <c r="BN15" i="11"/>
  <c r="BN16" i="11"/>
  <c r="BN17" i="11"/>
  <c r="BN19" i="11"/>
  <c r="BN21" i="11"/>
  <c r="BN22" i="11"/>
  <c r="BN23" i="11"/>
  <c r="BN24" i="11"/>
  <c r="BO8" i="11"/>
  <c r="BO9" i="11"/>
  <c r="BO10" i="11"/>
  <c r="BO11" i="11"/>
  <c r="BO14" i="11"/>
  <c r="BO15" i="11"/>
  <c r="BO16" i="11"/>
  <c r="BO17" i="11"/>
  <c r="BO19" i="11"/>
  <c r="BO21" i="11"/>
  <c r="BO22" i="11"/>
  <c r="BO23" i="11"/>
  <c r="BO24" i="11"/>
  <c r="BP8" i="11"/>
  <c r="BP9" i="11"/>
  <c r="BP10" i="11"/>
  <c r="BP11" i="11"/>
  <c r="BP14" i="11"/>
  <c r="BP15" i="11"/>
  <c r="BP16" i="11"/>
  <c r="BP17" i="11"/>
  <c r="BP19" i="11"/>
  <c r="BP21" i="11"/>
  <c r="BP22" i="11"/>
  <c r="BP23" i="11"/>
  <c r="BP24" i="11"/>
  <c r="BQ8" i="11"/>
  <c r="BQ9" i="11"/>
  <c r="BQ10" i="11"/>
  <c r="BQ11" i="11"/>
  <c r="BQ14" i="11"/>
  <c r="BQ15" i="11"/>
  <c r="BQ16" i="11"/>
  <c r="BQ17" i="11"/>
  <c r="BQ19" i="11"/>
  <c r="BQ21" i="11"/>
  <c r="BQ22" i="11"/>
  <c r="BQ23" i="11"/>
  <c r="BQ24" i="11"/>
  <c r="CB8" i="11"/>
  <c r="CB9" i="11"/>
  <c r="CB10" i="11"/>
  <c r="CB11" i="11"/>
  <c r="CB14" i="11"/>
  <c r="CB15" i="11"/>
  <c r="CB16" i="11"/>
  <c r="CB17" i="11"/>
  <c r="CB19" i="11"/>
  <c r="CB21" i="11"/>
  <c r="CB22" i="11"/>
  <c r="CB23" i="11"/>
  <c r="CB24" i="11"/>
  <c r="CC8" i="11"/>
  <c r="CC9" i="11"/>
  <c r="CC10" i="11"/>
  <c r="CC11" i="11"/>
  <c r="CC14" i="11"/>
  <c r="CC15" i="11"/>
  <c r="CC16" i="11"/>
  <c r="CC17" i="11"/>
  <c r="CC19" i="11"/>
  <c r="CC21" i="11"/>
  <c r="CC22" i="11"/>
  <c r="CC23" i="11"/>
  <c r="CC24" i="11"/>
  <c r="CD8" i="11"/>
  <c r="CD9" i="11"/>
  <c r="CD10" i="11"/>
  <c r="CD11" i="11"/>
  <c r="CD14" i="11"/>
  <c r="CD15" i="11"/>
  <c r="CD16" i="11"/>
  <c r="CD17" i="11"/>
  <c r="CD19" i="11"/>
  <c r="CD21" i="11"/>
  <c r="CD22" i="11"/>
  <c r="CD23" i="11"/>
  <c r="CD24" i="11"/>
  <c r="CE8" i="11"/>
  <c r="CE9" i="11"/>
  <c r="CE10" i="11"/>
  <c r="CE11" i="11"/>
  <c r="CE14" i="11"/>
  <c r="CE15" i="11"/>
  <c r="CE16" i="11"/>
  <c r="CE17" i="11"/>
  <c r="CE19" i="11"/>
  <c r="CE21" i="11"/>
  <c r="CE22" i="11"/>
  <c r="CE23" i="11"/>
  <c r="CE24" i="11"/>
  <c r="CF8" i="11"/>
  <c r="CF9" i="11"/>
  <c r="CF10" i="11"/>
  <c r="CF11" i="11"/>
  <c r="CF14" i="11"/>
  <c r="CF15" i="11"/>
  <c r="CF16" i="11"/>
  <c r="CF17" i="11"/>
  <c r="CF19" i="11"/>
  <c r="CF21" i="11"/>
  <c r="CF22" i="11"/>
  <c r="CF23" i="11"/>
  <c r="CF24" i="11"/>
  <c r="CG8" i="11"/>
  <c r="CG9" i="11"/>
  <c r="CG10" i="11"/>
  <c r="CG11" i="11"/>
  <c r="CG14" i="11"/>
  <c r="CG15" i="11"/>
  <c r="CG16" i="11"/>
  <c r="CG17" i="11"/>
  <c r="CG19" i="11"/>
  <c r="CG21" i="11"/>
  <c r="CG22" i="11"/>
  <c r="CG23" i="11"/>
  <c r="CG24" i="11"/>
  <c r="CH8" i="11"/>
  <c r="CH9" i="11"/>
  <c r="CH10" i="11"/>
  <c r="CH11" i="11"/>
  <c r="CH14" i="11"/>
  <c r="CH15" i="11"/>
  <c r="CH16" i="11"/>
  <c r="CH17" i="11"/>
  <c r="CH19" i="11"/>
  <c r="CH21" i="11"/>
  <c r="CH22" i="11"/>
  <c r="CH23" i="11"/>
  <c r="CH24" i="11"/>
  <c r="CS8" i="11"/>
  <c r="CS9" i="11"/>
  <c r="CS10" i="11"/>
  <c r="CS11" i="11"/>
  <c r="CS14" i="11"/>
  <c r="CS15" i="11"/>
  <c r="CS16" i="11"/>
  <c r="CS17" i="11"/>
  <c r="CS19" i="11"/>
  <c r="CS21" i="11"/>
  <c r="CS22" i="11"/>
  <c r="CS23" i="11"/>
  <c r="CS24" i="11"/>
  <c r="CT8" i="11"/>
  <c r="CT9" i="11"/>
  <c r="CT10" i="11"/>
  <c r="CT11" i="11"/>
  <c r="CT14" i="11"/>
  <c r="CT15" i="11"/>
  <c r="CT16" i="11"/>
  <c r="CT17" i="11"/>
  <c r="CT19" i="11"/>
  <c r="CT21" i="11"/>
  <c r="CT22" i="11"/>
  <c r="CT23" i="11"/>
  <c r="CT24" i="11"/>
  <c r="CU8" i="11"/>
  <c r="CU9" i="11"/>
  <c r="CU10" i="11"/>
  <c r="CU11" i="11"/>
  <c r="CU14" i="11"/>
  <c r="CU15" i="11"/>
  <c r="CU16" i="11"/>
  <c r="CU17" i="11"/>
  <c r="CU19" i="11"/>
  <c r="CU21" i="11"/>
  <c r="CU22" i="11"/>
  <c r="CU23" i="11"/>
  <c r="CU24" i="11"/>
  <c r="CV8" i="11"/>
  <c r="CV9" i="11"/>
  <c r="CV10" i="11"/>
  <c r="CV11" i="11"/>
  <c r="CV14" i="11"/>
  <c r="CV15" i="11"/>
  <c r="CV16" i="11"/>
  <c r="CV17" i="11"/>
  <c r="CV19" i="11"/>
  <c r="CV21" i="11"/>
  <c r="CV22" i="11"/>
  <c r="CV23" i="11"/>
  <c r="CV24" i="11"/>
  <c r="CW8" i="11"/>
  <c r="CW9" i="11"/>
  <c r="CW10" i="11"/>
  <c r="CW11" i="11"/>
  <c r="CW14" i="11"/>
  <c r="CW15" i="11"/>
  <c r="CW16" i="11"/>
  <c r="CW17" i="11"/>
  <c r="CW19" i="11"/>
  <c r="CW21" i="11"/>
  <c r="CW22" i="11"/>
  <c r="CW23" i="11"/>
  <c r="CW24" i="11"/>
  <c r="CX8" i="11"/>
  <c r="CX9" i="11"/>
  <c r="CX10" i="11"/>
  <c r="CX11" i="11"/>
  <c r="CX14" i="11"/>
  <c r="CX15" i="11"/>
  <c r="CX16" i="11"/>
  <c r="CX17" i="11"/>
  <c r="CX19" i="11"/>
  <c r="CX21" i="11"/>
  <c r="CX22" i="11"/>
  <c r="CX23" i="11"/>
  <c r="CX24" i="11"/>
  <c r="CY8" i="11"/>
  <c r="CY9" i="11"/>
  <c r="CY10" i="11"/>
  <c r="CY11" i="11"/>
  <c r="CY14" i="11"/>
  <c r="CY15" i="11"/>
  <c r="CY16" i="11"/>
  <c r="CY17" i="11"/>
  <c r="CY19" i="11"/>
  <c r="CY21" i="11"/>
  <c r="CY22" i="11"/>
  <c r="CY23" i="11"/>
  <c r="CY24" i="11"/>
  <c r="DJ8" i="11"/>
  <c r="DJ9" i="11"/>
  <c r="DJ10" i="11"/>
  <c r="DJ11" i="11"/>
  <c r="DJ14" i="11"/>
  <c r="DJ15" i="11"/>
  <c r="DJ16" i="11"/>
  <c r="DJ17" i="11"/>
  <c r="DJ19" i="11"/>
  <c r="DJ21" i="11"/>
  <c r="DJ22" i="11"/>
  <c r="DJ23" i="11"/>
  <c r="DJ24" i="11"/>
  <c r="DK8" i="11"/>
  <c r="DK9" i="11"/>
  <c r="DK10" i="11"/>
  <c r="DK11" i="11"/>
  <c r="DK14" i="11"/>
  <c r="DK15" i="11"/>
  <c r="DK16" i="11"/>
  <c r="DK17" i="11"/>
  <c r="DK19" i="11"/>
  <c r="DK21" i="11"/>
  <c r="DK22" i="11"/>
  <c r="DK23" i="11"/>
  <c r="DK24" i="11"/>
  <c r="DL8" i="11"/>
  <c r="DL9" i="11"/>
  <c r="DL10" i="11"/>
  <c r="DL11" i="11"/>
  <c r="DL14" i="11"/>
  <c r="DL15" i="11"/>
  <c r="DL16" i="11"/>
  <c r="DL17" i="11"/>
  <c r="DL19" i="11"/>
  <c r="DL21" i="11"/>
  <c r="DL22" i="11"/>
  <c r="DL23" i="11"/>
  <c r="DL24" i="11"/>
  <c r="DM8" i="11"/>
  <c r="DM9" i="11"/>
  <c r="DM10" i="11"/>
  <c r="DM11" i="11"/>
  <c r="DM14" i="11"/>
  <c r="DM15" i="11"/>
  <c r="DM16" i="11"/>
  <c r="DM17" i="11"/>
  <c r="DM19" i="11"/>
  <c r="DM21" i="11"/>
  <c r="DM22" i="11"/>
  <c r="DM23" i="11"/>
  <c r="DM24" i="11"/>
  <c r="DN8" i="11"/>
  <c r="DN9" i="11"/>
  <c r="DN10" i="11"/>
  <c r="DN11" i="11"/>
  <c r="DN14" i="11"/>
  <c r="DN15" i="11"/>
  <c r="DN16" i="11"/>
  <c r="DN17" i="11"/>
  <c r="DN19" i="11"/>
  <c r="DN21" i="11"/>
  <c r="DN22" i="11"/>
  <c r="DN23" i="11"/>
  <c r="DN24" i="11"/>
  <c r="DO8" i="11"/>
  <c r="DO9" i="11"/>
  <c r="DO10" i="11"/>
  <c r="DO11" i="11"/>
  <c r="DO14" i="11"/>
  <c r="DO15" i="11"/>
  <c r="DO16" i="11"/>
  <c r="DO17" i="11"/>
  <c r="DO19" i="11"/>
  <c r="DO21" i="11"/>
  <c r="DO22" i="11"/>
  <c r="DO23" i="11"/>
  <c r="DO24" i="11"/>
  <c r="DP8" i="11"/>
  <c r="DP9" i="11"/>
  <c r="DP10" i="11"/>
  <c r="DP11" i="11"/>
  <c r="DP14" i="11"/>
  <c r="DP15" i="11"/>
  <c r="DP16" i="11"/>
  <c r="DP17" i="11"/>
  <c r="DP19" i="11"/>
  <c r="DP21" i="11"/>
  <c r="DP22" i="11"/>
  <c r="DP23" i="11"/>
  <c r="DP24" i="11"/>
  <c r="O29" i="4"/>
  <c r="O30" i="4"/>
  <c r="O31" i="4"/>
  <c r="O32" i="4"/>
  <c r="O33" i="4"/>
  <c r="O34" i="4"/>
  <c r="O35" i="4"/>
  <c r="O36" i="4"/>
  <c r="O37" i="4"/>
  <c r="O38" i="4"/>
  <c r="L57" i="6"/>
  <c r="L11" i="6"/>
  <c r="L20" i="6"/>
  <c r="L45" i="6"/>
  <c r="L70" i="6"/>
  <c r="L71" i="6"/>
  <c r="L8" i="6"/>
  <c r="BI59" i="6"/>
  <c r="BJ27" i="6"/>
  <c r="BK19" i="6"/>
  <c r="BL11" i="6"/>
  <c r="BL99" i="6"/>
  <c r="BI45" i="6"/>
  <c r="BJ21" i="6"/>
  <c r="BK13" i="6"/>
  <c r="BK93" i="6"/>
  <c r="BL85" i="6"/>
  <c r="BM77" i="6"/>
  <c r="BN69" i="6"/>
  <c r="BO61" i="6"/>
  <c r="BP45" i="6"/>
  <c r="BI23" i="6"/>
  <c r="BI87" i="6"/>
  <c r="BJ63" i="6"/>
  <c r="BK39" i="6"/>
  <c r="BL23" i="6"/>
  <c r="BM7" i="6"/>
  <c r="BM79" i="6"/>
  <c r="BI65" i="6"/>
  <c r="BJ33" i="6"/>
  <c r="BK17" i="6"/>
  <c r="BI48" i="6"/>
  <c r="BJ80" i="6"/>
  <c r="BL20" i="6"/>
  <c r="BM40" i="6"/>
  <c r="BN32" i="6"/>
  <c r="BO27" i="6"/>
  <c r="BP14" i="6"/>
  <c r="BI18" i="6"/>
  <c r="BJ82" i="6"/>
  <c r="BL73" i="6"/>
  <c r="BN6" i="6"/>
  <c r="BN97" i="6"/>
  <c r="BO92" i="6"/>
  <c r="BP79" i="6"/>
  <c r="BJ20" i="6"/>
  <c r="BK52" i="6"/>
  <c r="BL74" i="6"/>
  <c r="BN7" i="6"/>
  <c r="BO11" i="6"/>
  <c r="BP16" i="6"/>
  <c r="BI22" i="6"/>
  <c r="BJ54" i="6"/>
  <c r="BK96" i="6"/>
  <c r="BM18" i="6"/>
  <c r="BN26" i="6"/>
  <c r="BO22" i="6"/>
  <c r="BP26" i="6"/>
  <c r="BI24" i="6"/>
  <c r="BJ56" i="6"/>
  <c r="BK97" i="6"/>
  <c r="BM33" i="6"/>
  <c r="BN36" i="6"/>
  <c r="BO23" i="6"/>
  <c r="BP18" i="6"/>
  <c r="BP100" i="6"/>
  <c r="BJ44" i="6"/>
  <c r="BL42" i="6"/>
  <c r="BM68" i="6"/>
  <c r="BN84" i="6"/>
  <c r="BO80" i="6"/>
  <c r="BI14" i="6"/>
  <c r="BJ62" i="6"/>
  <c r="BL32" i="6"/>
  <c r="BM38" i="6"/>
  <c r="BN40" i="6"/>
  <c r="BO54" i="6"/>
  <c r="BP40" i="6"/>
  <c r="BN38" i="6"/>
  <c r="BJ42" i="6"/>
  <c r="BI26" i="6"/>
  <c r="BM97" i="6"/>
  <c r="BP38" i="6"/>
  <c r="BO79" i="6"/>
  <c r="L81" i="6"/>
  <c r="L27" i="6"/>
  <c r="L36" i="6"/>
  <c r="L69" i="6"/>
  <c r="L78" i="6"/>
  <c r="L95" i="6"/>
  <c r="L48" i="6"/>
  <c r="BI67" i="6"/>
  <c r="BJ43" i="6"/>
  <c r="BK27" i="6"/>
  <c r="BL19" i="6"/>
  <c r="BM11" i="6"/>
  <c r="BI53" i="6"/>
  <c r="BJ37" i="6"/>
  <c r="BK21" i="6"/>
  <c r="BL13" i="6"/>
  <c r="BL93" i="6"/>
  <c r="BM85" i="6"/>
  <c r="BN77" i="6"/>
  <c r="BO69" i="6"/>
  <c r="BP61" i="6"/>
  <c r="BI31" i="6"/>
  <c r="BI95" i="6"/>
  <c r="BJ71" i="6"/>
  <c r="BK47" i="6"/>
  <c r="BL31" i="6"/>
  <c r="BM15" i="6"/>
  <c r="BI9" i="6"/>
  <c r="BI73" i="6"/>
  <c r="BJ41" i="6"/>
  <c r="BK25" i="6"/>
  <c r="BI64" i="6"/>
  <c r="BJ96" i="6"/>
  <c r="BL33" i="6"/>
  <c r="BM50" i="6"/>
  <c r="BN41" i="6"/>
  <c r="BO36" i="6"/>
  <c r="BP23" i="6"/>
  <c r="BI34" i="6"/>
  <c r="BK18" i="6"/>
  <c r="BM16" i="6"/>
  <c r="BN15" i="6"/>
  <c r="BO10" i="6"/>
  <c r="L26" i="6"/>
  <c r="L99" i="6"/>
  <c r="L77" i="6"/>
  <c r="L31" i="6"/>
  <c r="L56" i="6"/>
  <c r="BI75" i="6"/>
  <c r="BJ83" i="6"/>
  <c r="BK91" i="6"/>
  <c r="BM19" i="6"/>
  <c r="BI77" i="6"/>
  <c r="BJ85" i="6"/>
  <c r="BL21" i="6"/>
  <c r="BM37" i="6"/>
  <c r="BN45" i="6"/>
  <c r="BO77" i="6"/>
  <c r="BP85" i="6"/>
  <c r="BI71" i="6"/>
  <c r="BJ79" i="6"/>
  <c r="BK79" i="6"/>
  <c r="BL79" i="6"/>
  <c r="BI17" i="6"/>
  <c r="BI97" i="6"/>
  <c r="BJ97" i="6"/>
  <c r="BI80" i="6"/>
  <c r="BK48" i="6"/>
  <c r="BM14" i="6"/>
  <c r="BN50" i="6"/>
  <c r="BO73" i="6"/>
  <c r="BP78" i="6"/>
  <c r="BK50" i="6"/>
  <c r="BM62" i="6"/>
  <c r="BN70" i="6"/>
  <c r="BP6" i="6"/>
  <c r="BI20" i="6"/>
  <c r="BJ68" i="6"/>
  <c r="BL24" i="6"/>
  <c r="BM64" i="6"/>
  <c r="BN71" i="6"/>
  <c r="BP7" i="6"/>
  <c r="BI38" i="6"/>
  <c r="BK6" i="6"/>
  <c r="BL38" i="6"/>
  <c r="BM75" i="6"/>
  <c r="BN81" i="6"/>
  <c r="BP8" i="6"/>
  <c r="BI8" i="6"/>
  <c r="BJ72" i="6"/>
  <c r="BL26" i="6"/>
  <c r="BM76" i="6"/>
  <c r="BN82" i="6"/>
  <c r="BO78" i="6"/>
  <c r="BP82" i="6"/>
  <c r="BJ12" i="6"/>
  <c r="BL56" i="6"/>
  <c r="BN11" i="6"/>
  <c r="BO25" i="6"/>
  <c r="BP48" i="6"/>
  <c r="BI94" i="6"/>
  <c r="BL6" i="6"/>
  <c r="BM25" i="6"/>
  <c r="BN49" i="6"/>
  <c r="BO72" i="6"/>
  <c r="BP95" i="6"/>
  <c r="BO24" i="6"/>
  <c r="BO33" i="6"/>
  <c r="BJ74" i="6"/>
  <c r="BN83" i="6"/>
  <c r="BP56" i="6"/>
  <c r="BM49" i="6"/>
  <c r="BO81" i="6"/>
  <c r="BO97" i="6"/>
  <c r="BP10" i="6"/>
  <c r="BI74" i="6"/>
  <c r="BI90" i="6"/>
  <c r="L51" i="6"/>
  <c r="BK43" i="6"/>
  <c r="BL69" i="6"/>
  <c r="BI39" i="6"/>
  <c r="BK23" i="6"/>
  <c r="BJ49" i="6"/>
  <c r="BM91" i="6"/>
  <c r="BL22" i="6"/>
  <c r="BI84" i="6"/>
  <c r="BP62" i="6"/>
  <c r="BM6" i="6"/>
  <c r="BP63" i="6"/>
  <c r="BM8" i="6"/>
  <c r="BI44" i="6"/>
  <c r="BN57" i="6"/>
  <c r="BL70" i="6"/>
  <c r="BO17" i="6"/>
  <c r="BK73" i="6"/>
  <c r="BM46" i="6"/>
  <c r="L42" i="6"/>
  <c r="L12" i="6"/>
  <c r="L6" i="6"/>
  <c r="L39" i="6"/>
  <c r="L72" i="6"/>
  <c r="BI83" i="6"/>
  <c r="BJ91" i="6"/>
  <c r="BK99" i="6"/>
  <c r="BM27" i="6"/>
  <c r="BI85" i="6"/>
  <c r="BJ93" i="6"/>
  <c r="BL37" i="6"/>
  <c r="BM45" i="6"/>
  <c r="BN61" i="6"/>
  <c r="BO85" i="6"/>
  <c r="BP93" i="6"/>
  <c r="BI79" i="6"/>
  <c r="BJ95" i="6"/>
  <c r="BK95" i="6"/>
  <c r="BL95" i="6"/>
  <c r="BI25" i="6"/>
  <c r="BJ9" i="6"/>
  <c r="BK9" i="6"/>
  <c r="BI96" i="6"/>
  <c r="BK64" i="6"/>
  <c r="BM26" i="6"/>
  <c r="BN68" i="6"/>
  <c r="BO82" i="6"/>
  <c r="BP96" i="6"/>
  <c r="BK80" i="6"/>
  <c r="BM73" i="6"/>
  <c r="BN79" i="6"/>
  <c r="BP15" i="6"/>
  <c r="BI36" i="6"/>
  <c r="BJ84" i="6"/>
  <c r="BL36" i="6"/>
  <c r="BM74" i="6"/>
  <c r="BN80" i="6"/>
  <c r="BP25" i="6"/>
  <c r="BI54" i="6"/>
  <c r="BK22" i="6"/>
  <c r="BL50" i="6"/>
  <c r="BM95" i="6"/>
  <c r="BN99" i="6"/>
  <c r="BP17" i="6"/>
  <c r="BI40" i="6"/>
  <c r="BK8" i="6"/>
  <c r="BL40" i="6"/>
  <c r="BM96" i="6"/>
  <c r="BN91" i="6"/>
  <c r="BO96" i="6"/>
  <c r="BP91" i="6"/>
  <c r="BJ76" i="6"/>
  <c r="BL68" i="6"/>
  <c r="BN20" i="6"/>
  <c r="BO43" i="6"/>
  <c r="BP57" i="6"/>
  <c r="BJ14" i="6"/>
  <c r="BL18" i="6"/>
  <c r="BN76" i="6"/>
  <c r="BJ10" i="6"/>
  <c r="BM9" i="6"/>
  <c r="L54" i="6"/>
  <c r="BJ45" i="6"/>
  <c r="BP21" i="6"/>
  <c r="BL39" i="6"/>
  <c r="BK49" i="6"/>
  <c r="BO9" i="6"/>
  <c r="BN24" i="6"/>
  <c r="BL100" i="6"/>
  <c r="BJ6" i="6"/>
  <c r="BI88" i="6"/>
  <c r="BO71" i="6"/>
  <c r="BM57" i="6"/>
  <c r="BN92" i="6"/>
  <c r="L9" i="6"/>
  <c r="L50" i="6"/>
  <c r="L44" i="6"/>
  <c r="L14" i="6"/>
  <c r="L47" i="6"/>
  <c r="BI11" i="6"/>
  <c r="BI91" i="6"/>
  <c r="BJ99" i="6"/>
  <c r="BL27" i="6"/>
  <c r="BI13" i="6"/>
  <c r="BI93" i="6"/>
  <c r="BK37" i="6"/>
  <c r="BL45" i="6"/>
  <c r="BM61" i="6"/>
  <c r="BN85" i="6"/>
  <c r="BO93" i="6"/>
  <c r="BI7" i="6"/>
  <c r="BJ7" i="6"/>
  <c r="BK7" i="6"/>
  <c r="BL7" i="6"/>
  <c r="BM23" i="6"/>
  <c r="BI33" i="6"/>
  <c r="BJ17" i="6"/>
  <c r="BK33" i="6"/>
  <c r="BJ16" i="6"/>
  <c r="BK78" i="6"/>
  <c r="BM72" i="6"/>
  <c r="BN78" i="6"/>
  <c r="BO91" i="6"/>
  <c r="BI50" i="6"/>
  <c r="BK92" i="6"/>
  <c r="BM83" i="6"/>
  <c r="BO19" i="6"/>
  <c r="BP24" i="6"/>
  <c r="BI52" i="6"/>
  <c r="BJ100" i="6"/>
  <c r="BL49" i="6"/>
  <c r="BM84" i="6"/>
  <c r="BO20" i="6"/>
  <c r="BP43" i="6"/>
  <c r="BI70" i="6"/>
  <c r="BK38" i="6"/>
  <c r="BL64" i="6"/>
  <c r="BN8" i="6"/>
  <c r="BO12" i="6"/>
  <c r="BP44" i="6"/>
  <c r="BI56" i="6"/>
  <c r="BK24" i="6"/>
  <c r="BL52" i="6"/>
  <c r="BN9" i="6"/>
  <c r="BN100" i="6"/>
  <c r="BP9" i="6"/>
  <c r="BI12" i="6"/>
  <c r="BJ92" i="6"/>
  <c r="BL81" i="6"/>
  <c r="BN39" i="6"/>
  <c r="BO52" i="6"/>
  <c r="BP75" i="6"/>
  <c r="BJ46" i="6"/>
  <c r="BL44" i="6"/>
  <c r="BM70" i="6"/>
  <c r="BN95" i="6"/>
  <c r="BO99" i="6"/>
  <c r="BK42" i="6"/>
  <c r="BP74" i="6"/>
  <c r="BP83" i="6"/>
  <c r="BN74" i="6"/>
  <c r="BK10" i="6"/>
  <c r="BK26" i="6"/>
  <c r="L32" i="6"/>
  <c r="BM93" i="6"/>
  <c r="BM39" i="6"/>
  <c r="BL46" i="6"/>
  <c r="BI82" i="6"/>
  <c r="BP42" i="6"/>
  <c r="BO48" i="6"/>
  <c r="BN44" i="6"/>
  <c r="BK56" i="6"/>
  <c r="BP36" i="6"/>
  <c r="BM24" i="6"/>
  <c r="BK14" i="6"/>
  <c r="BM99" i="6"/>
  <c r="BO42" i="6"/>
  <c r="L17" i="6"/>
  <c r="L74" i="6"/>
  <c r="L68" i="6"/>
  <c r="L38" i="6"/>
  <c r="L63" i="6"/>
  <c r="BI19" i="6"/>
  <c r="BI99" i="6"/>
  <c r="BK11" i="6"/>
  <c r="BL43" i="6"/>
  <c r="BI21" i="6"/>
  <c r="BJ13" i="6"/>
  <c r="BK45" i="6"/>
  <c r="BL61" i="6"/>
  <c r="BM69" i="6"/>
  <c r="BN93" i="6"/>
  <c r="BP13" i="6"/>
  <c r="BI15" i="6"/>
  <c r="BJ15" i="6"/>
  <c r="BK15" i="6"/>
  <c r="BL15" i="6"/>
  <c r="BM31" i="6"/>
  <c r="BI41" i="6"/>
  <c r="BJ25" i="6"/>
  <c r="BK41" i="6"/>
  <c r="BJ32" i="6"/>
  <c r="BL8" i="6"/>
  <c r="BM82" i="6"/>
  <c r="BN96" i="6"/>
  <c r="BO100" i="6"/>
  <c r="BI66" i="6"/>
  <c r="BL9" i="6"/>
  <c r="BM92" i="6"/>
  <c r="BO38" i="6"/>
  <c r="BP33" i="6"/>
  <c r="BI68" i="6"/>
  <c r="BK20" i="6"/>
  <c r="BL62" i="6"/>
  <c r="BN16" i="6"/>
  <c r="BO39" i="6"/>
  <c r="BP52" i="6"/>
  <c r="BI86" i="6"/>
  <c r="BK54" i="6"/>
  <c r="BL76" i="6"/>
  <c r="BN17" i="6"/>
  <c r="BO31" i="6"/>
  <c r="BP54" i="6"/>
  <c r="BI72" i="6"/>
  <c r="BK40" i="6"/>
  <c r="BL78" i="6"/>
  <c r="BN18" i="6"/>
  <c r="BO14" i="6"/>
  <c r="BP27" i="6"/>
  <c r="BI28" i="6"/>
  <c r="BK12" i="6"/>
  <c r="BM10" i="6"/>
  <c r="BN48" i="6"/>
  <c r="BO62" i="6"/>
  <c r="BP84" i="6"/>
  <c r="BJ78" i="6"/>
  <c r="BL57" i="6"/>
  <c r="BM81" i="6"/>
  <c r="BO8" i="6"/>
  <c r="BP12" i="6"/>
  <c r="BL54" i="6"/>
  <c r="BI10" i="6"/>
  <c r="BL92" i="6"/>
  <c r="BO51" i="6"/>
  <c r="BN19" i="6"/>
  <c r="BL41" i="6"/>
  <c r="L25" i="6"/>
  <c r="L84" i="6"/>
  <c r="BI27" i="6"/>
  <c r="BJ11" i="6"/>
  <c r="BL51" i="6"/>
  <c r="BI29" i="6"/>
  <c r="BK61" i="6"/>
  <c r="BO13" i="6"/>
  <c r="BJ23" i="6"/>
  <c r="BI49" i="6"/>
  <c r="BJ48" i="6"/>
  <c r="BP32" i="6"/>
  <c r="BO47" i="6"/>
  <c r="BK36" i="6"/>
  <c r="BN25" i="6"/>
  <c r="BK70" i="6"/>
  <c r="BO40" i="6"/>
  <c r="BN27" i="6"/>
  <c r="BO32" i="6"/>
  <c r="BK44" i="6"/>
  <c r="BI30" i="6"/>
  <c r="BP22" i="6"/>
  <c r="BI58" i="6"/>
  <c r="L97" i="6"/>
  <c r="L83" i="6"/>
  <c r="L21" i="6"/>
  <c r="L15" i="6"/>
  <c r="L96" i="6"/>
  <c r="BI43" i="6"/>
  <c r="BJ51" i="6"/>
  <c r="BK75" i="6"/>
  <c r="BL83" i="6"/>
  <c r="BI61" i="6"/>
  <c r="BJ69" i="6"/>
  <c r="BK77" i="6"/>
  <c r="BM13" i="6"/>
  <c r="BN21" i="6"/>
  <c r="BO37" i="6"/>
  <c r="BP69" i="6"/>
  <c r="BI55" i="6"/>
  <c r="BJ39" i="6"/>
  <c r="BK63" i="6"/>
  <c r="BL63" i="6"/>
  <c r="BM63" i="6"/>
  <c r="BI81" i="6"/>
  <c r="BJ73" i="6"/>
  <c r="BI16" i="6"/>
  <c r="BK16" i="6"/>
  <c r="BL84" i="6"/>
  <c r="BN14" i="6"/>
  <c r="BO46" i="6"/>
  <c r="BP50" i="6"/>
  <c r="BJ18" i="6"/>
  <c r="BM41" i="6"/>
  <c r="BN42" i="6"/>
  <c r="BO74" i="6"/>
  <c r="BP70" i="6"/>
  <c r="BJ36" i="6"/>
  <c r="BK81" i="6"/>
  <c r="BM42" i="6"/>
  <c r="BN52" i="6"/>
  <c r="BO75" i="6"/>
  <c r="BP80" i="6"/>
  <c r="BJ38" i="6"/>
  <c r="BL12" i="6"/>
  <c r="BM43" i="6"/>
  <c r="BN63" i="6"/>
  <c r="BO76" i="6"/>
  <c r="BP81" i="6"/>
  <c r="BJ24" i="6"/>
  <c r="BK84" i="6"/>
  <c r="BM44" i="6"/>
  <c r="BN64" i="6"/>
  <c r="BO50" i="6"/>
  <c r="BP64" i="6"/>
  <c r="BI76" i="6"/>
  <c r="BK100" i="6"/>
  <c r="BM48" i="6"/>
  <c r="BO7" i="6"/>
  <c r="BP20" i="6"/>
  <c r="BI62" i="6"/>
  <c r="BK62" i="6"/>
  <c r="BL96" i="6"/>
  <c r="BN22" i="6"/>
  <c r="BO44" i="6"/>
  <c r="BP49" i="6"/>
  <c r="BJ26" i="6"/>
  <c r="BM78" i="6"/>
  <c r="BP92" i="6"/>
  <c r="BM22" i="6"/>
  <c r="BP47" i="6"/>
  <c r="L18" i="6"/>
  <c r="L91" i="6"/>
  <c r="L37" i="6"/>
  <c r="L23" i="6"/>
  <c r="L24" i="6"/>
  <c r="BI51" i="6"/>
  <c r="BJ75" i="6"/>
  <c r="BK83" i="6"/>
  <c r="BL91" i="6"/>
  <c r="BI69" i="6"/>
  <c r="BJ77" i="6"/>
  <c r="BK85" i="6"/>
  <c r="BM21" i="6"/>
  <c r="BN37" i="6"/>
  <c r="BO45" i="6"/>
  <c r="BP77" i="6"/>
  <c r="BI63" i="6"/>
  <c r="BJ47" i="6"/>
  <c r="BK71" i="6"/>
  <c r="BL71" i="6"/>
  <c r="BM71" i="6"/>
  <c r="BI89" i="6"/>
  <c r="BJ81" i="6"/>
  <c r="BI32" i="6"/>
  <c r="BK32" i="6"/>
  <c r="BL97" i="6"/>
  <c r="BN23" i="6"/>
  <c r="BO64" i="6"/>
  <c r="BP68" i="6"/>
  <c r="BJ50" i="6"/>
  <c r="BM51" i="6"/>
  <c r="BN51" i="6"/>
  <c r="BO83" i="6"/>
  <c r="BP97" i="6"/>
  <c r="BJ52" i="6"/>
  <c r="BL10" i="6"/>
  <c r="BM52" i="6"/>
  <c r="BN62" i="6"/>
  <c r="BO84" i="6"/>
  <c r="BI6" i="6"/>
  <c r="BJ70" i="6"/>
  <c r="BL25" i="6"/>
  <c r="BM54" i="6"/>
  <c r="BN72" i="6"/>
  <c r="BO95" i="6"/>
  <c r="BP99" i="6"/>
  <c r="BJ40" i="6"/>
  <c r="BL14" i="6"/>
  <c r="BM56" i="6"/>
  <c r="BN73" i="6"/>
  <c r="BO68" i="6"/>
  <c r="BP73" i="6"/>
  <c r="BI92" i="6"/>
  <c r="BL17" i="6"/>
  <c r="BM80" i="6"/>
  <c r="BO16" i="6"/>
  <c r="BP39" i="6"/>
  <c r="BI78" i="6"/>
  <c r="BK76" i="6"/>
  <c r="L62" i="6"/>
  <c r="BO18" i="6"/>
  <c r="BO15" i="6"/>
  <c r="BL77" i="6"/>
  <c r="BO6" i="6"/>
  <c r="BI60" i="6"/>
  <c r="BI35" i="6"/>
  <c r="BN13" i="6"/>
  <c r="BI57" i="6"/>
  <c r="BI98" i="6"/>
  <c r="BN43" i="6"/>
  <c r="BP72" i="6"/>
  <c r="BK74" i="6"/>
  <c r="BN12" i="6"/>
  <c r="BL80" i="6"/>
  <c r="BK51" i="6"/>
  <c r="BN33" i="6"/>
  <c r="BK72" i="6"/>
  <c r="BO26" i="6"/>
  <c r="L41" i="6"/>
  <c r="BO56" i="6"/>
  <c r="BM20" i="6"/>
  <c r="BO63" i="6"/>
  <c r="BM17" i="6"/>
  <c r="BN47" i="6"/>
  <c r="BJ19" i="6"/>
  <c r="BO21" i="6"/>
  <c r="BJ57" i="6"/>
  <c r="BL48" i="6"/>
  <c r="BO57" i="6"/>
  <c r="BJ8" i="6"/>
  <c r="BM36" i="6"/>
  <c r="BN31" i="6"/>
  <c r="BN56" i="6"/>
  <c r="BP37" i="6"/>
  <c r="BK57" i="6"/>
  <c r="BP71" i="6"/>
  <c r="BN75" i="6"/>
  <c r="BP19" i="6"/>
  <c r="BL75" i="6"/>
  <c r="BI47" i="6"/>
  <c r="BJ64" i="6"/>
  <c r="BJ22" i="6"/>
  <c r="BP11" i="6"/>
  <c r="BI42" i="6"/>
  <c r="BP41" i="6"/>
  <c r="BM12" i="6"/>
  <c r="L75" i="6"/>
  <c r="BI37" i="6"/>
  <c r="BJ31" i="6"/>
  <c r="BL72" i="6"/>
  <c r="BP51" i="6"/>
  <c r="BK82" i="6"/>
  <c r="BN46" i="6"/>
  <c r="BI46" i="6"/>
  <c r="BP31" i="6"/>
  <c r="BL16" i="6"/>
  <c r="BL47" i="6"/>
  <c r="BN54" i="6"/>
  <c r="BL82" i="6"/>
  <c r="L92" i="6"/>
  <c r="BJ61" i="6"/>
  <c r="BK31" i="6"/>
  <c r="BM100" i="6"/>
  <c r="BI100" i="6"/>
  <c r="BM32" i="6"/>
  <c r="BO41" i="6"/>
  <c r="BK46" i="6"/>
  <c r="BP76" i="6"/>
  <c r="BN10" i="6"/>
  <c r="BK69" i="6"/>
  <c r="BK68" i="6"/>
  <c r="BP46" i="6"/>
  <c r="BO70" i="6"/>
  <c r="L80" i="6"/>
  <c r="BM47" i="6"/>
  <c r="BO49" i="6"/>
  <c r="BB94" i="6" l="1"/>
  <c r="BD94" i="6"/>
  <c r="BA94" i="6"/>
  <c r="AZ94" i="6"/>
  <c r="BC94" i="6"/>
  <c r="AY94" i="6"/>
  <c r="BD11" i="6"/>
  <c r="AP11" i="6"/>
  <c r="BB11" i="6"/>
  <c r="AV11" i="6"/>
  <c r="AY11" i="6"/>
  <c r="AO11" i="6"/>
  <c r="AZ95" i="6"/>
  <c r="BC11" i="6"/>
  <c r="AZ11" i="6"/>
  <c r="AW11" i="6"/>
  <c r="AU11" i="6"/>
  <c r="AZ23" i="6"/>
  <c r="AY23" i="6"/>
  <c r="AO83" i="6"/>
  <c r="AY83" i="6"/>
  <c r="BC65" i="6"/>
  <c r="AP17" i="6"/>
  <c r="AN17" i="6"/>
  <c r="K16" i="6"/>
  <c r="AG16" i="6" s="1"/>
  <c r="J16" i="6"/>
  <c r="BD65" i="6"/>
  <c r="AZ65" i="6"/>
  <c r="BA65" i="6"/>
  <c r="AY65" i="6"/>
  <c r="K24" i="6"/>
  <c r="AG24" i="6" s="1"/>
  <c r="J24" i="6"/>
  <c r="A79" i="6"/>
  <c r="K79" i="6" s="1"/>
  <c r="AG79" i="6" s="1"/>
  <c r="J78" i="6"/>
  <c r="K78" i="6"/>
  <c r="AG78" i="6" s="1"/>
  <c r="AY54" i="6"/>
  <c r="AZ54" i="6"/>
  <c r="AZ15" i="6"/>
  <c r="AO15" i="6"/>
  <c r="AW15" i="6"/>
  <c r="BD15" i="6"/>
  <c r="AN15" i="6"/>
  <c r="AP15" i="6"/>
  <c r="AY15" i="6"/>
  <c r="BC15" i="6"/>
  <c r="BB15" i="6"/>
  <c r="AU15" i="6"/>
  <c r="BA15" i="6"/>
  <c r="AV15" i="6"/>
  <c r="AO14" i="6"/>
  <c r="AW14" i="6"/>
  <c r="BD14" i="6"/>
  <c r="AZ14" i="6"/>
  <c r="AP14" i="6"/>
  <c r="AY14" i="6"/>
  <c r="BC14" i="6"/>
  <c r="BB14" i="6"/>
  <c r="AN14" i="6"/>
  <c r="AV14" i="6"/>
  <c r="AU14" i="6"/>
  <c r="BA14" i="6"/>
  <c r="BB87" i="6"/>
  <c r="AY87" i="6"/>
  <c r="AZ87" i="6"/>
  <c r="BA87" i="6"/>
  <c r="BD87" i="6"/>
  <c r="BC87" i="6"/>
  <c r="A97" i="6"/>
  <c r="J97" i="6" s="1"/>
  <c r="J96" i="6"/>
  <c r="K96" i="6"/>
  <c r="AG96" i="6" s="1"/>
  <c r="BC41" i="6"/>
  <c r="BB86" i="6"/>
  <c r="BA83" i="6"/>
  <c r="AZ86" i="6"/>
  <c r="AZ41" i="6"/>
  <c r="AP41" i="6"/>
  <c r="A88" i="6"/>
  <c r="BB41" i="6"/>
  <c r="BD41" i="6"/>
  <c r="BC86" i="6"/>
  <c r="BB83" i="6"/>
  <c r="AZ83" i="6"/>
  <c r="AU83" i="6"/>
  <c r="BA41" i="6"/>
  <c r="BA86" i="6"/>
  <c r="BD86" i="6"/>
  <c r="BC83" i="6"/>
  <c r="AW41" i="6"/>
  <c r="AO41" i="6"/>
  <c r="A75" i="6"/>
  <c r="AU41" i="6"/>
  <c r="AN83" i="6"/>
  <c r="BD83" i="6"/>
  <c r="AP83" i="6"/>
  <c r="K77" i="6"/>
  <c r="AG77" i="6" s="1"/>
  <c r="A55" i="6"/>
  <c r="A56" i="6" s="1"/>
  <c r="A85" i="6"/>
  <c r="Q85" i="6" s="1"/>
  <c r="AV41" i="6"/>
  <c r="AN41" i="6"/>
  <c r="K74" i="6"/>
  <c r="AG74" i="6" s="1"/>
  <c r="J77" i="6"/>
  <c r="AV83" i="6"/>
  <c r="AW83" i="6"/>
  <c r="A7" i="6"/>
  <c r="J6" i="6"/>
  <c r="K6" i="6"/>
  <c r="AG6" i="6" s="1"/>
  <c r="A22" i="6"/>
  <c r="J21" i="6"/>
  <c r="K21" i="6"/>
  <c r="AG21" i="6" s="1"/>
  <c r="J66" i="6"/>
  <c r="K66" i="6"/>
  <c r="AG66" i="6" s="1"/>
  <c r="A67" i="6"/>
  <c r="A49" i="6"/>
  <c r="P49" i="6" s="1"/>
  <c r="K48" i="6"/>
  <c r="AG48" i="6" s="1"/>
  <c r="J48" i="6"/>
  <c r="E34" i="6"/>
  <c r="E67" i="6"/>
  <c r="J42" i="6"/>
  <c r="K42" i="6"/>
  <c r="AG42" i="6" s="1"/>
  <c r="A43" i="6"/>
  <c r="Q43" i="6" s="1"/>
  <c r="K8" i="6"/>
  <c r="AG8" i="6" s="1"/>
  <c r="J9" i="6"/>
  <c r="K9" i="6"/>
  <c r="AG9" i="6" s="1"/>
  <c r="A10" i="6"/>
  <c r="P10" i="6" s="1"/>
  <c r="J50" i="6"/>
  <c r="K50" i="6"/>
  <c r="AG50" i="6" s="1"/>
  <c r="A51" i="6"/>
  <c r="A76" i="6"/>
  <c r="J75" i="6"/>
  <c r="K75" i="6"/>
  <c r="AG75" i="6" s="1"/>
  <c r="J81" i="6"/>
  <c r="K81" i="6"/>
  <c r="AG81" i="6" s="1"/>
  <c r="A82" i="6"/>
  <c r="J25" i="6"/>
  <c r="K25" i="6"/>
  <c r="AG25" i="6" s="1"/>
  <c r="A26" i="6"/>
  <c r="J45" i="6"/>
  <c r="K45" i="6"/>
  <c r="AG45" i="6" s="1"/>
  <c r="AZ45" i="6" s="1"/>
  <c r="J62" i="6"/>
  <c r="K62" i="6"/>
  <c r="AG62" i="6" s="1"/>
  <c r="A63" i="6"/>
  <c r="J18" i="6"/>
  <c r="K18" i="6"/>
  <c r="AG18" i="6" s="1"/>
  <c r="A19" i="6"/>
  <c r="P19" i="6" s="1"/>
  <c r="A46" i="6"/>
  <c r="P46" i="6" s="1"/>
  <c r="A13" i="6"/>
  <c r="P13" i="6" s="1"/>
  <c r="J12" i="6"/>
  <c r="K12" i="6"/>
  <c r="AG12" i="6" s="1"/>
  <c r="K97" i="6"/>
  <c r="AG97" i="6" s="1"/>
  <c r="A98" i="6"/>
  <c r="J8" i="6"/>
  <c r="K55" i="6"/>
  <c r="AG55" i="6" s="1"/>
  <c r="J79" i="6"/>
  <c r="J47" i="6"/>
  <c r="J15" i="6"/>
  <c r="K84" i="6"/>
  <c r="AG84" i="6" s="1"/>
  <c r="K44" i="6"/>
  <c r="AG44" i="6" s="1"/>
  <c r="K20" i="6"/>
  <c r="AG20" i="6" s="1"/>
  <c r="J44" i="6"/>
  <c r="J20" i="6"/>
  <c r="P82" i="6"/>
  <c r="Q82" i="6"/>
  <c r="Q10" i="6"/>
  <c r="P16" i="6"/>
  <c r="Q16" i="6"/>
  <c r="AN77" i="6"/>
  <c r="AO77" i="6"/>
  <c r="AP77" i="6"/>
  <c r="AU77" i="6"/>
  <c r="AV77" i="6"/>
  <c r="AW77" i="6"/>
  <c r="AY77" i="6"/>
  <c r="AZ77" i="6"/>
  <c r="BA77" i="6"/>
  <c r="BB77" i="6"/>
  <c r="BC77" i="6"/>
  <c r="AY53" i="6"/>
  <c r="AZ53" i="6"/>
  <c r="BA53" i="6"/>
  <c r="BB53" i="6"/>
  <c r="BC53" i="6"/>
  <c r="AN21" i="6"/>
  <c r="AU21" i="6"/>
  <c r="AY21" i="6"/>
  <c r="AZ21" i="6"/>
  <c r="P22" i="6"/>
  <c r="Q22" i="6"/>
  <c r="BD77" i="6"/>
  <c r="BD53" i="6"/>
  <c r="P76" i="6"/>
  <c r="Q76" i="6"/>
  <c r="Q19" i="6"/>
  <c r="Q21" i="3"/>
  <c r="Q20" i="3"/>
  <c r="Q19" i="3"/>
  <c r="Q15" i="3"/>
  <c r="Q14" i="3"/>
  <c r="BK5" i="6"/>
  <c r="BI5" i="6"/>
  <c r="BJ5" i="6"/>
  <c r="BI102" i="6"/>
  <c r="BJ102" i="6"/>
  <c r="BJ101" i="6"/>
  <c r="BI101" i="6"/>
  <c r="BA45" i="6" l="1"/>
  <c r="AV45" i="6"/>
  <c r="AN45" i="6"/>
  <c r="AW45" i="6"/>
  <c r="BD45" i="6"/>
  <c r="AY45" i="6"/>
  <c r="N18" i="6"/>
  <c r="AY16" i="6"/>
  <c r="AZ16" i="6"/>
  <c r="Q46" i="6"/>
  <c r="AU45" i="6"/>
  <c r="AZ24" i="6"/>
  <c r="AY24" i="6"/>
  <c r="Q79" i="6"/>
  <c r="BC45" i="6"/>
  <c r="AP45" i="6"/>
  <c r="Q13" i="6"/>
  <c r="P79" i="6"/>
  <c r="BB45" i="6"/>
  <c r="AO45" i="6"/>
  <c r="Q49" i="6"/>
  <c r="D88" i="6"/>
  <c r="P85" i="6"/>
  <c r="J55" i="6"/>
  <c r="P43" i="6"/>
  <c r="Q7" i="6"/>
  <c r="P7" i="6"/>
  <c r="AZ96" i="6"/>
  <c r="AY96" i="6"/>
  <c r="A89" i="6"/>
  <c r="J88" i="6"/>
  <c r="K88" i="6"/>
  <c r="AG88" i="6" s="1"/>
  <c r="N9" i="6"/>
  <c r="BC74" i="6"/>
  <c r="AU74" i="6"/>
  <c r="AZ74" i="6"/>
  <c r="BB74" i="6"/>
  <c r="BA74" i="6"/>
  <c r="BD74" i="6"/>
  <c r="AN74" i="6"/>
  <c r="AV74" i="6"/>
  <c r="AP74" i="6"/>
  <c r="AY74" i="6"/>
  <c r="AO74" i="6"/>
  <c r="AW74" i="6"/>
  <c r="AP78" i="6"/>
  <c r="BD78" i="6"/>
  <c r="BC78" i="6"/>
  <c r="AU78" i="6"/>
  <c r="AZ78" i="6"/>
  <c r="BB78" i="6"/>
  <c r="AW78" i="6"/>
  <c r="BA78" i="6"/>
  <c r="AN78" i="6"/>
  <c r="AV78" i="6"/>
  <c r="AO78" i="6"/>
  <c r="AY78" i="6"/>
  <c r="D90" i="6"/>
  <c r="K85" i="6"/>
  <c r="AG85" i="6" s="1"/>
  <c r="J85" i="6"/>
  <c r="AO84" i="6"/>
  <c r="AN84" i="6"/>
  <c r="AP84" i="6"/>
  <c r="AY84" i="6"/>
  <c r="AV84" i="6"/>
  <c r="BA84" i="6"/>
  <c r="BC84" i="6"/>
  <c r="AZ84" i="6"/>
  <c r="BB84" i="6"/>
  <c r="AW84" i="6"/>
  <c r="AU84" i="6"/>
  <c r="BD84" i="6"/>
  <c r="AN42" i="6"/>
  <c r="AO42" i="6"/>
  <c r="AP42" i="6"/>
  <c r="BB42" i="6"/>
  <c r="BD42" i="6"/>
  <c r="AU42" i="6"/>
  <c r="AY42" i="6"/>
  <c r="BA42" i="6"/>
  <c r="BC42" i="6"/>
  <c r="AV42" i="6"/>
  <c r="AW42" i="6"/>
  <c r="AZ42" i="6"/>
  <c r="N6" i="6"/>
  <c r="D87" i="6"/>
  <c r="J76" i="6"/>
  <c r="K76" i="6"/>
  <c r="AG76" i="6" s="1"/>
  <c r="AO48" i="6"/>
  <c r="AP48" i="6"/>
  <c r="AN48" i="6"/>
  <c r="AW48" i="6"/>
  <c r="AU48" i="6"/>
  <c r="AV48" i="6"/>
  <c r="BC48" i="6"/>
  <c r="AZ48" i="6"/>
  <c r="BB48" i="6"/>
  <c r="AY48" i="6"/>
  <c r="BA48" i="6"/>
  <c r="BD48" i="6"/>
  <c r="N15" i="6"/>
  <c r="AN6" i="6"/>
  <c r="AO6" i="6"/>
  <c r="AP6" i="6"/>
  <c r="AW6" i="6"/>
  <c r="AU6" i="6"/>
  <c r="AV6" i="6"/>
  <c r="BB6" i="6"/>
  <c r="BD6" i="6"/>
  <c r="AY6" i="6"/>
  <c r="BA6" i="6"/>
  <c r="BC6" i="6"/>
  <c r="AZ6" i="6"/>
  <c r="AZ55" i="6"/>
  <c r="AY55" i="6"/>
  <c r="BA55" i="6"/>
  <c r="BD55" i="6"/>
  <c r="BB55" i="6"/>
  <c r="BC55" i="6"/>
  <c r="AZ97" i="6"/>
  <c r="AY97" i="6"/>
  <c r="N12" i="6"/>
  <c r="AN18" i="6"/>
  <c r="AP18" i="6"/>
  <c r="AU18" i="6"/>
  <c r="AW18" i="6"/>
  <c r="AZ18" i="6"/>
  <c r="AO18" i="6"/>
  <c r="BA18" i="6"/>
  <c r="AV18" i="6"/>
  <c r="BD18" i="6"/>
  <c r="AY18" i="6"/>
  <c r="BB18" i="6"/>
  <c r="BC18" i="6"/>
  <c r="J82" i="6"/>
  <c r="K82" i="6"/>
  <c r="AG82" i="6" s="1"/>
  <c r="D89" i="6"/>
  <c r="J51" i="6"/>
  <c r="K51" i="6"/>
  <c r="AG51" i="6" s="1"/>
  <c r="A52" i="6"/>
  <c r="AN9" i="6"/>
  <c r="AU9" i="6"/>
  <c r="AW9" i="6"/>
  <c r="AZ9" i="6"/>
  <c r="AP9" i="6"/>
  <c r="AO9" i="6"/>
  <c r="BA9" i="6"/>
  <c r="BC9" i="6"/>
  <c r="AV9" i="6"/>
  <c r="BD9" i="6"/>
  <c r="AY9" i="6"/>
  <c r="BB9" i="6"/>
  <c r="J49" i="6"/>
  <c r="K49" i="6"/>
  <c r="AG49" i="6" s="1"/>
  <c r="D59" i="6"/>
  <c r="N20" i="6"/>
  <c r="AP12" i="6"/>
  <c r="AO12" i="6"/>
  <c r="AN12" i="6"/>
  <c r="AU12" i="6"/>
  <c r="BB12" i="6"/>
  <c r="AV12" i="6"/>
  <c r="AY12" i="6"/>
  <c r="AZ12" i="6"/>
  <c r="BA12" i="6"/>
  <c r="BC12" i="6"/>
  <c r="BD12" i="6"/>
  <c r="AW12" i="6"/>
  <c r="A27" i="6"/>
  <c r="J26" i="6"/>
  <c r="K26" i="6"/>
  <c r="AG26" i="6" s="1"/>
  <c r="N21" i="6"/>
  <c r="N11" i="6"/>
  <c r="A57" i="6"/>
  <c r="J56" i="6"/>
  <c r="K56" i="6"/>
  <c r="AG56" i="6" s="1"/>
  <c r="A64" i="6"/>
  <c r="J63" i="6"/>
  <c r="K63" i="6"/>
  <c r="AG63" i="6" s="1"/>
  <c r="AN8" i="6"/>
  <c r="AP8" i="6"/>
  <c r="AO8" i="6"/>
  <c r="AW8" i="6"/>
  <c r="AY8" i="6"/>
  <c r="AZ8" i="6"/>
  <c r="BA8" i="6"/>
  <c r="BC8" i="6"/>
  <c r="BB8" i="6"/>
  <c r="AU8" i="6"/>
  <c r="AV8" i="6"/>
  <c r="BD8" i="6"/>
  <c r="A68" i="6"/>
  <c r="J67" i="6"/>
  <c r="K67" i="6"/>
  <c r="AG67" i="6" s="1"/>
  <c r="N16" i="6"/>
  <c r="J7" i="6"/>
  <c r="K7" i="6"/>
  <c r="AG7" i="6" s="1"/>
  <c r="N7" i="6"/>
  <c r="D28" i="6"/>
  <c r="F12" i="11"/>
  <c r="F8" i="11"/>
  <c r="F9" i="11"/>
  <c r="F10" i="11"/>
  <c r="F11" i="11"/>
  <c r="D30" i="6"/>
  <c r="J13" i="6"/>
  <c r="K13" i="6"/>
  <c r="AG13" i="6" s="1"/>
  <c r="N13" i="6"/>
  <c r="AN81" i="6"/>
  <c r="AO81" i="6"/>
  <c r="AP81" i="6"/>
  <c r="AV81" i="6"/>
  <c r="AW81" i="6"/>
  <c r="AZ81" i="6"/>
  <c r="BD81" i="6"/>
  <c r="AY81" i="6"/>
  <c r="BB81" i="6"/>
  <c r="AU81" i="6"/>
  <c r="BC81" i="6"/>
  <c r="BA81" i="6"/>
  <c r="AO50" i="6"/>
  <c r="AP50" i="6"/>
  <c r="AV50" i="6"/>
  <c r="AY50" i="6"/>
  <c r="AN50" i="6"/>
  <c r="AW50" i="6"/>
  <c r="BB50" i="6"/>
  <c r="AZ50" i="6"/>
  <c r="BD50" i="6"/>
  <c r="AU50" i="6"/>
  <c r="BC50" i="6"/>
  <c r="BA50" i="6"/>
  <c r="J43" i="6"/>
  <c r="K43" i="6"/>
  <c r="AG43" i="6" s="1"/>
  <c r="D55" i="6"/>
  <c r="AN20" i="6"/>
  <c r="AY20" i="6"/>
  <c r="AU20" i="6"/>
  <c r="AZ20" i="6"/>
  <c r="D58" i="6"/>
  <c r="J46" i="6"/>
  <c r="K46" i="6"/>
  <c r="AG46" i="6" s="1"/>
  <c r="AO62" i="6"/>
  <c r="AP62" i="6"/>
  <c r="AN62" i="6"/>
  <c r="AV62" i="6"/>
  <c r="AW62" i="6"/>
  <c r="BD62" i="6"/>
  <c r="BB62" i="6"/>
  <c r="AY62" i="6"/>
  <c r="BC62" i="6"/>
  <c r="AU62" i="6"/>
  <c r="BA62" i="6"/>
  <c r="AZ62" i="6"/>
  <c r="AY25" i="6"/>
  <c r="AZ25" i="6"/>
  <c r="D34" i="6"/>
  <c r="D67" i="6"/>
  <c r="J22" i="6"/>
  <c r="K22" i="6"/>
  <c r="AG22" i="6" s="1"/>
  <c r="N22" i="6"/>
  <c r="N8" i="6"/>
  <c r="N17" i="6"/>
  <c r="AN44" i="6"/>
  <c r="AO44" i="6"/>
  <c r="AU44" i="6"/>
  <c r="AY44" i="6"/>
  <c r="AV44" i="6"/>
  <c r="AW44" i="6"/>
  <c r="BB44" i="6"/>
  <c r="AP44" i="6"/>
  <c r="AZ44" i="6"/>
  <c r="BA44" i="6"/>
  <c r="BD44" i="6"/>
  <c r="BC44" i="6"/>
  <c r="AZ79" i="6"/>
  <c r="AY79" i="6"/>
  <c r="J98" i="6"/>
  <c r="K98" i="6"/>
  <c r="AG98" i="6" s="1"/>
  <c r="A99" i="6"/>
  <c r="J19" i="6"/>
  <c r="K19" i="6"/>
  <c r="AG19" i="6" s="1"/>
  <c r="N19" i="6"/>
  <c r="D35" i="6"/>
  <c r="AO75" i="6"/>
  <c r="AN75" i="6"/>
  <c r="AP75" i="6"/>
  <c r="AY75" i="6"/>
  <c r="AV75" i="6"/>
  <c r="BC75" i="6"/>
  <c r="AU75" i="6"/>
  <c r="BA75" i="6"/>
  <c r="AZ75" i="6"/>
  <c r="BD75" i="6"/>
  <c r="BB75" i="6"/>
  <c r="AW75" i="6"/>
  <c r="J10" i="6"/>
  <c r="K10" i="6"/>
  <c r="AG10" i="6" s="1"/>
  <c r="N10" i="6"/>
  <c r="D29" i="6"/>
  <c r="AY66" i="6"/>
  <c r="BC66" i="6"/>
  <c r="BD66" i="6"/>
  <c r="AZ66" i="6"/>
  <c r="BA66" i="6"/>
  <c r="BB66" i="6"/>
  <c r="N14" i="6"/>
  <c r="Q10" i="3"/>
  <c r="M101" i="6"/>
  <c r="M102" i="6"/>
  <c r="J5" i="6"/>
  <c r="J101" i="6"/>
  <c r="J102" i="6"/>
  <c r="M5" i="6"/>
  <c r="BK88" i="6"/>
  <c r="BN90" i="6"/>
  <c r="BJ59" i="6"/>
  <c r="BJ58" i="6"/>
  <c r="BO29" i="6"/>
  <c r="BP30" i="6"/>
  <c r="BN87" i="6"/>
  <c r="BJ28" i="6"/>
  <c r="BN89" i="6"/>
  <c r="BJ55" i="6"/>
  <c r="BO35" i="6"/>
  <c r="BP102" i="6"/>
  <c r="BL102" i="6"/>
  <c r="BJ90" i="6"/>
  <c r="BO30" i="6"/>
  <c r="BN55" i="6"/>
  <c r="BN5" i="6"/>
  <c r="BP88" i="6"/>
  <c r="BL67" i="6"/>
  <c r="BL28" i="6"/>
  <c r="BK35" i="6"/>
  <c r="BP29" i="6"/>
  <c r="BK28" i="6"/>
  <c r="BM102" i="6"/>
  <c r="BP101" i="6"/>
  <c r="BO88" i="6"/>
  <c r="BK90" i="6"/>
  <c r="BM67" i="6"/>
  <c r="BK58" i="6"/>
  <c r="BN29" i="6"/>
  <c r="BN30" i="6"/>
  <c r="BL87" i="6"/>
  <c r="BO28" i="6"/>
  <c r="BJ89" i="6"/>
  <c r="BM34" i="6"/>
  <c r="BP35" i="6"/>
  <c r="BL5" i="6"/>
  <c r="BP5" i="6"/>
  <c r="BO101" i="6"/>
  <c r="BN67" i="6"/>
  <c r="BL29" i="6"/>
  <c r="BK89" i="6"/>
  <c r="BM35" i="6"/>
  <c r="BM90" i="6"/>
  <c r="BJ29" i="6"/>
  <c r="BM55" i="6"/>
  <c r="BL101" i="6"/>
  <c r="BL88" i="6"/>
  <c r="BL59" i="6"/>
  <c r="BK67" i="6"/>
  <c r="BK30" i="6"/>
  <c r="BP28" i="6"/>
  <c r="BL55" i="6"/>
  <c r="BK34" i="6"/>
  <c r="BK101" i="6"/>
  <c r="BJ88" i="6"/>
  <c r="BJ67" i="6"/>
  <c r="BP87" i="6"/>
  <c r="BJ34" i="6"/>
  <c r="BM88" i="6"/>
  <c r="BM59" i="6"/>
  <c r="BP67" i="6"/>
  <c r="BP58" i="6"/>
  <c r="BM29" i="6"/>
  <c r="BL30" i="6"/>
  <c r="BK87" i="6"/>
  <c r="BM28" i="6"/>
  <c r="BP55" i="6"/>
  <c r="BO34" i="6"/>
  <c r="BN35" i="6"/>
  <c r="BK102" i="6"/>
  <c r="BO59" i="6"/>
  <c r="BN58" i="6"/>
  <c r="BJ87" i="6"/>
  <c r="BP34" i="6"/>
  <c r="BO102" i="6"/>
  <c r="BN59" i="6"/>
  <c r="BO87" i="6"/>
  <c r="BM89" i="6"/>
  <c r="BL34" i="6"/>
  <c r="BN102" i="6"/>
  <c r="BL90" i="6"/>
  <c r="BL58" i="6"/>
  <c r="BM87" i="6"/>
  <c r="BL89" i="6"/>
  <c r="BM5" i="6"/>
  <c r="BP89" i="6"/>
  <c r="BO58" i="6"/>
  <c r="BJ35" i="6"/>
  <c r="BP90" i="6"/>
  <c r="BK59" i="6"/>
  <c r="BJ30" i="6"/>
  <c r="BK55" i="6"/>
  <c r="BO5" i="6"/>
  <c r="BN88" i="6"/>
  <c r="BO90" i="6"/>
  <c r="BP59" i="6"/>
  <c r="BO67" i="6"/>
  <c r="BM58" i="6"/>
  <c r="BK29" i="6"/>
  <c r="BM30" i="6"/>
  <c r="BN28" i="6"/>
  <c r="BO89" i="6"/>
  <c r="BO55" i="6"/>
  <c r="BN34" i="6"/>
  <c r="BL35" i="6"/>
  <c r="BM101" i="6"/>
  <c r="BN101" i="6"/>
  <c r="Q88" i="6" l="1"/>
  <c r="P88" i="6"/>
  <c r="AY85" i="6"/>
  <c r="AZ85" i="6"/>
  <c r="BA88" i="6"/>
  <c r="AY88" i="6"/>
  <c r="AZ88" i="6"/>
  <c r="BB88" i="6"/>
  <c r="BC88" i="6"/>
  <c r="BD88" i="6"/>
  <c r="A90" i="6"/>
  <c r="K89" i="6"/>
  <c r="AG89" i="6" s="1"/>
  <c r="J89" i="6"/>
  <c r="AZ10" i="6"/>
  <c r="AY10" i="6"/>
  <c r="A100" i="6"/>
  <c r="J99" i="6"/>
  <c r="K99" i="6"/>
  <c r="AG99" i="6" s="1"/>
  <c r="P55" i="6"/>
  <c r="Q55" i="6"/>
  <c r="A69" i="6"/>
  <c r="J68" i="6"/>
  <c r="K68" i="6"/>
  <c r="AG68" i="6" s="1"/>
  <c r="AY26" i="6"/>
  <c r="AZ26" i="6"/>
  <c r="P89" i="6"/>
  <c r="Q89" i="6"/>
  <c r="AY76" i="6"/>
  <c r="AZ76" i="6"/>
  <c r="AZ43" i="6"/>
  <c r="AY43" i="6"/>
  <c r="AY13" i="6"/>
  <c r="AZ13" i="6"/>
  <c r="AZ49" i="6"/>
  <c r="AY49" i="6"/>
  <c r="AZ19" i="6"/>
  <c r="AY19" i="6"/>
  <c r="AZ98" i="6"/>
  <c r="BB98" i="6"/>
  <c r="BD98" i="6"/>
  <c r="BC98" i="6"/>
  <c r="BA98" i="6"/>
  <c r="AY98" i="6"/>
  <c r="AN63" i="6"/>
  <c r="AO63" i="6"/>
  <c r="AP63" i="6"/>
  <c r="AW63" i="6"/>
  <c r="BA63" i="6"/>
  <c r="AU63" i="6"/>
  <c r="AZ63" i="6"/>
  <c r="BB63" i="6"/>
  <c r="AY63" i="6"/>
  <c r="BC63" i="6"/>
  <c r="AV63" i="6"/>
  <c r="BD63" i="6"/>
  <c r="J57" i="6"/>
  <c r="K57" i="6"/>
  <c r="AG57" i="6" s="1"/>
  <c r="A58" i="6"/>
  <c r="A28" i="6"/>
  <c r="J27" i="6"/>
  <c r="K27" i="6"/>
  <c r="AG27" i="6" s="1"/>
  <c r="D60" i="6"/>
  <c r="J52" i="6"/>
  <c r="K52" i="6"/>
  <c r="AG52" i="6" s="1"/>
  <c r="P52" i="6"/>
  <c r="Q52" i="6"/>
  <c r="P87" i="6"/>
  <c r="Q87" i="6"/>
  <c r="AZ46" i="6"/>
  <c r="AY46" i="6"/>
  <c r="AZ82" i="6"/>
  <c r="AY82" i="6"/>
  <c r="AY7" i="6"/>
  <c r="AZ7" i="6"/>
  <c r="D66" i="6"/>
  <c r="J64" i="6"/>
  <c r="K64" i="6"/>
  <c r="AG64" i="6" s="1"/>
  <c r="P64" i="6"/>
  <c r="Q64" i="6"/>
  <c r="AO51" i="6"/>
  <c r="AP51" i="6"/>
  <c r="AN51" i="6"/>
  <c r="AV51" i="6"/>
  <c r="AW51" i="6"/>
  <c r="BB51" i="6"/>
  <c r="BD51" i="6"/>
  <c r="BA51" i="6"/>
  <c r="AZ51" i="6"/>
  <c r="BC51" i="6"/>
  <c r="AU51" i="6"/>
  <c r="AY51" i="6"/>
  <c r="AY67" i="6"/>
  <c r="BB67" i="6"/>
  <c r="BC67" i="6"/>
  <c r="BA67" i="6"/>
  <c r="BD67" i="6"/>
  <c r="AZ67" i="6"/>
  <c r="Q67" i="6"/>
  <c r="P67" i="6"/>
  <c r="AY56" i="6"/>
  <c r="AZ56" i="6"/>
  <c r="K101" i="6"/>
  <c r="AG101" i="6" s="1"/>
  <c r="Z101" i="6"/>
  <c r="AA101" i="6"/>
  <c r="AQ101" i="6"/>
  <c r="AX101" i="6"/>
  <c r="BE101" i="6"/>
  <c r="L101" i="6"/>
  <c r="BJ60" i="6"/>
  <c r="BJ66" i="6"/>
  <c r="BP60" i="6"/>
  <c r="BL60" i="6"/>
  <c r="BM60" i="6"/>
  <c r="BK60" i="6"/>
  <c r="BM66" i="6"/>
  <c r="BO66" i="6"/>
  <c r="BL66" i="6"/>
  <c r="BO60" i="6"/>
  <c r="BN60" i="6"/>
  <c r="BP66" i="6"/>
  <c r="BN66" i="6"/>
  <c r="BK66" i="6"/>
  <c r="BC89" i="6" l="1"/>
  <c r="BA89" i="6"/>
  <c r="AY89" i="6"/>
  <c r="BD89" i="6"/>
  <c r="AZ89" i="6"/>
  <c r="BB89" i="6"/>
  <c r="P90" i="6"/>
  <c r="Q90" i="6"/>
  <c r="J90" i="6"/>
  <c r="K90" i="6"/>
  <c r="AG90" i="6" s="1"/>
  <c r="A91" i="6"/>
  <c r="AZ52" i="6"/>
  <c r="AY52" i="6"/>
  <c r="AZ57" i="6"/>
  <c r="AY57" i="6"/>
  <c r="J69" i="6"/>
  <c r="K69" i="6"/>
  <c r="AG69" i="6" s="1"/>
  <c r="A70" i="6"/>
  <c r="Q66" i="6"/>
  <c r="P66" i="6"/>
  <c r="AZ27" i="6"/>
  <c r="AY27" i="6"/>
  <c r="AY99" i="6"/>
  <c r="AZ99" i="6"/>
  <c r="J28" i="6"/>
  <c r="K28" i="6"/>
  <c r="AG28" i="6" s="1"/>
  <c r="A29" i="6"/>
  <c r="P28" i="6"/>
  <c r="Q28" i="6"/>
  <c r="J58" i="6"/>
  <c r="K58" i="6"/>
  <c r="AG58" i="6" s="1"/>
  <c r="A59" i="6"/>
  <c r="Q58" i="6"/>
  <c r="P58" i="6"/>
  <c r="J100" i="6"/>
  <c r="K100" i="6"/>
  <c r="AG100" i="6" s="1"/>
  <c r="D98" i="6"/>
  <c r="P100" i="6"/>
  <c r="Q100" i="6"/>
  <c r="AZ64" i="6"/>
  <c r="AY64" i="6"/>
  <c r="AY68" i="6"/>
  <c r="AZ68" i="6"/>
  <c r="AZ101" i="6"/>
  <c r="AY101" i="6"/>
  <c r="BP98" i="6"/>
  <c r="BL98" i="6"/>
  <c r="BN98" i="6"/>
  <c r="BJ98" i="6"/>
  <c r="BM98" i="6"/>
  <c r="BO98" i="6"/>
  <c r="BK98" i="6"/>
  <c r="J91" i="6" l="1"/>
  <c r="K91" i="6"/>
  <c r="AG91" i="6" s="1"/>
  <c r="A92" i="6"/>
  <c r="BB90" i="6"/>
  <c r="AY90" i="6"/>
  <c r="AZ90" i="6"/>
  <c r="BD90" i="6"/>
  <c r="BC90" i="6"/>
  <c r="BA90" i="6"/>
  <c r="AZ28" i="6"/>
  <c r="BA28" i="6"/>
  <c r="BC28" i="6"/>
  <c r="AY28" i="6"/>
  <c r="BD28" i="6"/>
  <c r="BB28" i="6"/>
  <c r="Q98" i="6"/>
  <c r="P98" i="6"/>
  <c r="J70" i="6"/>
  <c r="K70" i="6"/>
  <c r="AG70" i="6" s="1"/>
  <c r="A71" i="6"/>
  <c r="AZ58" i="6"/>
  <c r="BC58" i="6"/>
  <c r="BA58" i="6"/>
  <c r="BB58" i="6"/>
  <c r="BD58" i="6"/>
  <c r="AY58" i="6"/>
  <c r="BA100" i="6"/>
  <c r="BB100" i="6"/>
  <c r="A30" i="6"/>
  <c r="J29" i="6"/>
  <c r="K29" i="6"/>
  <c r="AG29" i="6" s="1"/>
  <c r="P29" i="6"/>
  <c r="Q29" i="6"/>
  <c r="J59" i="6"/>
  <c r="K59" i="6"/>
  <c r="AG59" i="6" s="1"/>
  <c r="A60" i="6"/>
  <c r="P59" i="6"/>
  <c r="Q59" i="6"/>
  <c r="AY69" i="6"/>
  <c r="AZ69" i="6"/>
  <c r="A93" i="6" l="1"/>
  <c r="J92" i="6"/>
  <c r="K92" i="6"/>
  <c r="AG92" i="6" s="1"/>
  <c r="AY91" i="6"/>
  <c r="AZ91" i="6"/>
  <c r="J30" i="6"/>
  <c r="K30" i="6"/>
  <c r="AG30" i="6" s="1"/>
  <c r="A31" i="6"/>
  <c r="P30" i="6"/>
  <c r="Q30" i="6"/>
  <c r="AZ70" i="6"/>
  <c r="AY70" i="6"/>
  <c r="A61" i="6"/>
  <c r="J60" i="6"/>
  <c r="K60" i="6"/>
  <c r="AG60" i="6" s="1"/>
  <c r="Q60" i="6"/>
  <c r="P60" i="6"/>
  <c r="BC29" i="6"/>
  <c r="BD29" i="6"/>
  <c r="AY29" i="6"/>
  <c r="AZ29" i="6"/>
  <c r="BA29" i="6"/>
  <c r="BB29" i="6"/>
  <c r="A72" i="6"/>
  <c r="J71" i="6"/>
  <c r="K71" i="6"/>
  <c r="AG71" i="6" s="1"/>
  <c r="AY59" i="6"/>
  <c r="AZ59" i="6"/>
  <c r="BB59" i="6"/>
  <c r="BD59" i="6"/>
  <c r="BA59" i="6"/>
  <c r="BC59" i="6"/>
  <c r="AZ92" i="6" l="1"/>
  <c r="AY92" i="6"/>
  <c r="D94" i="6"/>
  <c r="J93" i="6"/>
  <c r="K93" i="6"/>
  <c r="AG93" i="6" s="1"/>
  <c r="P93" i="6"/>
  <c r="Q93" i="6"/>
  <c r="A32" i="6"/>
  <c r="J31" i="6"/>
  <c r="K31" i="6"/>
  <c r="AG31" i="6" s="1"/>
  <c r="AZ71" i="6"/>
  <c r="AY71" i="6"/>
  <c r="AZ60" i="6"/>
  <c r="BB60" i="6"/>
  <c r="BD60" i="6"/>
  <c r="AY60" i="6"/>
  <c r="BA60" i="6"/>
  <c r="BC60" i="6"/>
  <c r="AZ30" i="6"/>
  <c r="BA30" i="6"/>
  <c r="AY30" i="6"/>
  <c r="BD30" i="6"/>
  <c r="BB30" i="6"/>
  <c r="BC30" i="6"/>
  <c r="A73" i="6"/>
  <c r="J72" i="6"/>
  <c r="K72" i="6"/>
  <c r="AG72" i="6" s="1"/>
  <c r="D65" i="6"/>
  <c r="J61" i="6"/>
  <c r="K61" i="6"/>
  <c r="AG61" i="6" s="1"/>
  <c r="Q61" i="6"/>
  <c r="P61" i="6"/>
  <c r="I7" i="11"/>
  <c r="I27" i="11"/>
  <c r="BJ94" i="6"/>
  <c r="BO94" i="6"/>
  <c r="BL94" i="6"/>
  <c r="BN94" i="6"/>
  <c r="BN65" i="6"/>
  <c r="BO65" i="6"/>
  <c r="BK65" i="6"/>
  <c r="BP94" i="6"/>
  <c r="BJ65" i="6"/>
  <c r="BK94" i="6"/>
  <c r="BP65" i="6"/>
  <c r="BM94" i="6"/>
  <c r="BL65" i="6"/>
  <c r="BM65" i="6"/>
  <c r="BA93" i="6" l="1"/>
  <c r="BB93" i="6"/>
  <c r="P94" i="6"/>
  <c r="Q94" i="6"/>
  <c r="J73" i="6"/>
  <c r="K73" i="6"/>
  <c r="AG73" i="6" s="1"/>
  <c r="D86" i="6"/>
  <c r="P73" i="6"/>
  <c r="Q73" i="6"/>
  <c r="BA61" i="6"/>
  <c r="BB61" i="6"/>
  <c r="AZ31" i="6"/>
  <c r="AY31" i="6"/>
  <c r="P65" i="6"/>
  <c r="Q65" i="6"/>
  <c r="AZ72" i="6"/>
  <c r="AY72" i="6"/>
  <c r="A33" i="6"/>
  <c r="K32" i="6"/>
  <c r="AG32" i="6" s="1"/>
  <c r="J32" i="6"/>
  <c r="AA5" i="6"/>
  <c r="AA102" i="6"/>
  <c r="Z5" i="6"/>
  <c r="Z102" i="6"/>
  <c r="BK86" i="6"/>
  <c r="BP86" i="6"/>
  <c r="BN86" i="6"/>
  <c r="BO86" i="6"/>
  <c r="BJ86" i="6"/>
  <c r="BM86" i="6"/>
  <c r="BL86" i="6"/>
  <c r="J33" i="6" l="1"/>
  <c r="K33" i="6"/>
  <c r="AG33" i="6" s="1"/>
  <c r="A34" i="6"/>
  <c r="P33" i="6"/>
  <c r="Q33" i="6"/>
  <c r="P86" i="6"/>
  <c r="Q86" i="6"/>
  <c r="AY32" i="6"/>
  <c r="AZ32" i="6"/>
  <c r="BA73" i="6"/>
  <c r="BB73" i="6"/>
  <c r="T13" i="3"/>
  <c r="AX5" i="6"/>
  <c r="T9" i="3" s="1"/>
  <c r="T17" i="3"/>
  <c r="AX102" i="6"/>
  <c r="T105" i="3" s="1"/>
  <c r="S501" i="3"/>
  <c r="T501" i="3"/>
  <c r="S502" i="3"/>
  <c r="T502" i="3"/>
  <c r="S503" i="3"/>
  <c r="T503" i="3"/>
  <c r="S504" i="3"/>
  <c r="T504" i="3"/>
  <c r="S505" i="3"/>
  <c r="T505" i="3"/>
  <c r="T109" i="3"/>
  <c r="T113" i="3"/>
  <c r="T117" i="3"/>
  <c r="T121" i="3"/>
  <c r="T125" i="3"/>
  <c r="T129" i="3"/>
  <c r="T133" i="3"/>
  <c r="T137" i="3"/>
  <c r="T141" i="3"/>
  <c r="T145" i="3"/>
  <c r="T149" i="3"/>
  <c r="T150" i="3"/>
  <c r="T151" i="3"/>
  <c r="T152" i="3"/>
  <c r="T153" i="3"/>
  <c r="T154" i="3"/>
  <c r="T155" i="3"/>
  <c r="T156" i="3"/>
  <c r="T157" i="3"/>
  <c r="T161" i="3"/>
  <c r="T162" i="3"/>
  <c r="T163" i="3"/>
  <c r="T164" i="3"/>
  <c r="T165" i="3"/>
  <c r="T166" i="3"/>
  <c r="T167" i="3"/>
  <c r="T168" i="3"/>
  <c r="T169" i="3"/>
  <c r="T173" i="3"/>
  <c r="T174" i="3"/>
  <c r="T175" i="3"/>
  <c r="T176" i="3"/>
  <c r="T177" i="3"/>
  <c r="T178" i="3"/>
  <c r="T179" i="3"/>
  <c r="T180" i="3"/>
  <c r="T181" i="3"/>
  <c r="T185" i="3"/>
  <c r="T186" i="3"/>
  <c r="T187" i="3"/>
  <c r="T188" i="3"/>
  <c r="T189" i="3"/>
  <c r="T190" i="3"/>
  <c r="T191" i="3"/>
  <c r="T192" i="3"/>
  <c r="T193" i="3"/>
  <c r="T197" i="3"/>
  <c r="T201" i="3"/>
  <c r="T205" i="3"/>
  <c r="T209" i="3"/>
  <c r="T213" i="3"/>
  <c r="T217" i="3"/>
  <c r="T221" i="3"/>
  <c r="T225" i="3"/>
  <c r="T229" i="3"/>
  <c r="T233" i="3"/>
  <c r="T234" i="3"/>
  <c r="T235" i="3"/>
  <c r="T236" i="3"/>
  <c r="T237" i="3"/>
  <c r="T238" i="3"/>
  <c r="T239" i="3"/>
  <c r="T240" i="3"/>
  <c r="T241" i="3"/>
  <c r="T245" i="3"/>
  <c r="T249" i="3"/>
  <c r="T253" i="3"/>
  <c r="T257" i="3"/>
  <c r="T261" i="3"/>
  <c r="T265" i="3"/>
  <c r="T269" i="3"/>
  <c r="T273" i="3"/>
  <c r="T277" i="3"/>
  <c r="T281" i="3"/>
  <c r="T282" i="3"/>
  <c r="T283" i="3"/>
  <c r="T284" i="3"/>
  <c r="T285" i="3"/>
  <c r="T286" i="3"/>
  <c r="T287" i="3"/>
  <c r="T288" i="3"/>
  <c r="T289" i="3"/>
  <c r="T293" i="3"/>
  <c r="T294" i="3"/>
  <c r="T295" i="3"/>
  <c r="T296" i="3"/>
  <c r="T297" i="3"/>
  <c r="T298" i="3"/>
  <c r="T299" i="3"/>
  <c r="T300" i="3"/>
  <c r="T301" i="3"/>
  <c r="T305" i="3"/>
  <c r="T306" i="3"/>
  <c r="T307" i="3"/>
  <c r="T308" i="3"/>
  <c r="T309" i="3"/>
  <c r="T310" i="3"/>
  <c r="T311" i="3"/>
  <c r="T312" i="3"/>
  <c r="T313" i="3"/>
  <c r="T317" i="3"/>
  <c r="T318" i="3"/>
  <c r="T319" i="3"/>
  <c r="T320" i="3"/>
  <c r="T321" i="3"/>
  <c r="T322" i="3"/>
  <c r="T323" i="3"/>
  <c r="T324" i="3"/>
  <c r="T325" i="3"/>
  <c r="T329" i="3"/>
  <c r="T333" i="3"/>
  <c r="T337" i="3"/>
  <c r="T341" i="3"/>
  <c r="T345" i="3"/>
  <c r="T349" i="3"/>
  <c r="T353" i="3"/>
  <c r="T357" i="3"/>
  <c r="T361" i="3"/>
  <c r="T365" i="3"/>
  <c r="T369" i="3"/>
  <c r="T373" i="3"/>
  <c r="T377" i="3"/>
  <c r="T381" i="3"/>
  <c r="T385" i="3"/>
  <c r="T389" i="3"/>
  <c r="T393" i="3"/>
  <c r="T397" i="3"/>
  <c r="T401"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S109" i="3"/>
  <c r="S113" i="3"/>
  <c r="S117" i="3"/>
  <c r="S121" i="3"/>
  <c r="S125" i="3"/>
  <c r="S129" i="3"/>
  <c r="S133" i="3"/>
  <c r="S137" i="3"/>
  <c r="S141" i="3"/>
  <c r="S145" i="3"/>
  <c r="S149" i="3"/>
  <c r="S150" i="3"/>
  <c r="S151" i="3"/>
  <c r="S152" i="3"/>
  <c r="S153" i="3"/>
  <c r="S154" i="3"/>
  <c r="S155" i="3"/>
  <c r="S156" i="3"/>
  <c r="S157" i="3"/>
  <c r="S161" i="3"/>
  <c r="S162" i="3"/>
  <c r="S163" i="3"/>
  <c r="S164" i="3"/>
  <c r="S165" i="3"/>
  <c r="S166" i="3"/>
  <c r="S167" i="3"/>
  <c r="S168" i="3"/>
  <c r="S169" i="3"/>
  <c r="S173" i="3"/>
  <c r="S174" i="3"/>
  <c r="S175" i="3"/>
  <c r="S176" i="3"/>
  <c r="S177" i="3"/>
  <c r="S178" i="3"/>
  <c r="S179" i="3"/>
  <c r="S180" i="3"/>
  <c r="S181" i="3"/>
  <c r="S185" i="3"/>
  <c r="S186" i="3"/>
  <c r="S187" i="3"/>
  <c r="S188" i="3"/>
  <c r="S189" i="3"/>
  <c r="S190" i="3"/>
  <c r="S191" i="3"/>
  <c r="S192" i="3"/>
  <c r="S193" i="3"/>
  <c r="S197" i="3"/>
  <c r="S201" i="3"/>
  <c r="S205" i="3"/>
  <c r="S209" i="3"/>
  <c r="S213" i="3"/>
  <c r="S217" i="3"/>
  <c r="S221" i="3"/>
  <c r="S225" i="3"/>
  <c r="S229" i="3"/>
  <c r="S233" i="3"/>
  <c r="S234" i="3"/>
  <c r="S235" i="3"/>
  <c r="S236" i="3"/>
  <c r="S237" i="3"/>
  <c r="S238" i="3"/>
  <c r="S239" i="3"/>
  <c r="S240" i="3"/>
  <c r="S241" i="3"/>
  <c r="S245" i="3"/>
  <c r="S249" i="3"/>
  <c r="S253" i="3"/>
  <c r="S257" i="3"/>
  <c r="S261" i="3"/>
  <c r="S265" i="3"/>
  <c r="S269" i="3"/>
  <c r="S273" i="3"/>
  <c r="S277" i="3"/>
  <c r="S281" i="3"/>
  <c r="S282" i="3"/>
  <c r="S283" i="3"/>
  <c r="S284" i="3"/>
  <c r="S285" i="3"/>
  <c r="S286" i="3"/>
  <c r="S287" i="3"/>
  <c r="S288" i="3"/>
  <c r="S289" i="3"/>
  <c r="S293" i="3"/>
  <c r="S294" i="3"/>
  <c r="S295" i="3"/>
  <c r="S296" i="3"/>
  <c r="S297" i="3"/>
  <c r="S298" i="3"/>
  <c r="S299" i="3"/>
  <c r="S300" i="3"/>
  <c r="S301" i="3"/>
  <c r="S305" i="3"/>
  <c r="S306" i="3"/>
  <c r="S307" i="3"/>
  <c r="S308" i="3"/>
  <c r="S309" i="3"/>
  <c r="S310" i="3"/>
  <c r="S311" i="3"/>
  <c r="S312" i="3"/>
  <c r="S313" i="3"/>
  <c r="S317" i="3"/>
  <c r="S318" i="3"/>
  <c r="S319" i="3"/>
  <c r="S320" i="3"/>
  <c r="S321" i="3"/>
  <c r="S322" i="3"/>
  <c r="S323" i="3"/>
  <c r="S324" i="3"/>
  <c r="S325" i="3"/>
  <c r="S329" i="3"/>
  <c r="S333" i="3"/>
  <c r="S337" i="3"/>
  <c r="S341" i="3"/>
  <c r="S345" i="3"/>
  <c r="S349" i="3"/>
  <c r="S353" i="3"/>
  <c r="S357" i="3"/>
  <c r="S361" i="3"/>
  <c r="S365" i="3"/>
  <c r="S369" i="3"/>
  <c r="S373" i="3"/>
  <c r="S377" i="3"/>
  <c r="S381" i="3"/>
  <c r="S385" i="3"/>
  <c r="S389" i="3"/>
  <c r="S393" i="3"/>
  <c r="S401"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BB33" i="6" l="1"/>
  <c r="BD33" i="6"/>
  <c r="AY33" i="6"/>
  <c r="BA33" i="6"/>
  <c r="BC33" i="6"/>
  <c r="AZ33" i="6"/>
  <c r="J34" i="6"/>
  <c r="K34" i="6"/>
  <c r="AG34" i="6" s="1"/>
  <c r="A35" i="6"/>
  <c r="Q34" i="6"/>
  <c r="P34" i="6"/>
  <c r="T97" i="3"/>
  <c r="T101" i="3"/>
  <c r="T41" i="3"/>
  <c r="T81" i="3"/>
  <c r="T65" i="3"/>
  <c r="T49" i="3"/>
  <c r="T33" i="3"/>
  <c r="T93" i="3"/>
  <c r="T77" i="3"/>
  <c r="T61" i="3"/>
  <c r="T45" i="3"/>
  <c r="T29" i="3"/>
  <c r="T85" i="3"/>
  <c r="T69" i="3"/>
  <c r="T53" i="3"/>
  <c r="T37" i="3"/>
  <c r="T21" i="3"/>
  <c r="T57" i="3"/>
  <c r="T73" i="3"/>
  <c r="T89" i="3"/>
  <c r="T25" i="3"/>
  <c r="AQ5" i="6"/>
  <c r="S9" i="3" s="1"/>
  <c r="S13" i="3"/>
  <c r="AQ102" i="6"/>
  <c r="K5" i="6"/>
  <c r="L5" i="6"/>
  <c r="S405" i="3" l="1"/>
  <c r="S397" i="3"/>
  <c r="BB34" i="6"/>
  <c r="AZ34" i="6"/>
  <c r="AY34" i="6"/>
  <c r="BA34" i="6"/>
  <c r="BD34" i="6"/>
  <c r="BC34" i="6"/>
  <c r="J35" i="6"/>
  <c r="K35" i="6"/>
  <c r="AG35" i="6" s="1"/>
  <c r="A36" i="6"/>
  <c r="P35" i="6"/>
  <c r="Q35" i="6"/>
  <c r="S10" i="3"/>
  <c r="T10" i="3"/>
  <c r="S101" i="3"/>
  <c r="S105" i="3"/>
  <c r="S97" i="3"/>
  <c r="AG5" i="6"/>
  <c r="S85" i="3"/>
  <c r="S69" i="3"/>
  <c r="S53" i="3"/>
  <c r="S37" i="3"/>
  <c r="S21" i="3"/>
  <c r="S73" i="3"/>
  <c r="S57" i="3"/>
  <c r="S41" i="3"/>
  <c r="S25" i="3"/>
  <c r="S81" i="3"/>
  <c r="S65" i="3"/>
  <c r="S49" i="3"/>
  <c r="S33" i="3"/>
  <c r="S17" i="3"/>
  <c r="S89" i="3"/>
  <c r="S93" i="3"/>
  <c r="S77" i="3"/>
  <c r="S61" i="3"/>
  <c r="S45" i="3"/>
  <c r="S29" i="3"/>
  <c r="N5" i="6"/>
  <c r="BE5" i="6"/>
  <c r="AY35" i="6" l="1"/>
  <c r="BB35" i="6"/>
  <c r="AZ35" i="6"/>
  <c r="BA35" i="6"/>
  <c r="BD35" i="6"/>
  <c r="BC35" i="6"/>
  <c r="A37" i="6"/>
  <c r="J36" i="6"/>
  <c r="K36" i="6"/>
  <c r="AG36" i="6" s="1"/>
  <c r="AZ5" i="6"/>
  <c r="AY5" i="6"/>
  <c r="AN5" i="6"/>
  <c r="S6" i="3" s="1"/>
  <c r="AU5" i="6"/>
  <c r="T6" i="3" s="1"/>
  <c r="BF5" i="6" a="1"/>
  <c r="BF5" i="6" s="1"/>
  <c r="AZ36" i="6" l="1"/>
  <c r="AY36" i="6"/>
  <c r="A38" i="6"/>
  <c r="J37" i="6"/>
  <c r="K37" i="6"/>
  <c r="AG37" i="6" s="1"/>
  <c r="BF6" i="6" a="1"/>
  <c r="BF6" i="6" s="1"/>
  <c r="BF7" i="6" s="1" a="1"/>
  <c r="BF7" i="6" s="1"/>
  <c r="A39" i="6" l="1"/>
  <c r="J38" i="6"/>
  <c r="K38" i="6"/>
  <c r="AG38" i="6" s="1"/>
  <c r="AY37" i="6"/>
  <c r="AZ37" i="6"/>
  <c r="BF8" i="6" a="1"/>
  <c r="BF8" i="6" s="1"/>
  <c r="K102" i="6"/>
  <c r="F7" i="11"/>
  <c r="L102" i="6"/>
  <c r="BE102" i="6"/>
  <c r="J27" i="11"/>
  <c r="AI102" i="6" l="1" a="1"/>
  <c r="AI102" i="6" s="1"/>
  <c r="P38" i="6"/>
  <c r="AY38" i="6"/>
  <c r="AZ38" i="6"/>
  <c r="A40" i="6"/>
  <c r="J39" i="6"/>
  <c r="K39" i="6"/>
  <c r="AG39" i="6" s="1"/>
  <c r="N39" i="6"/>
  <c r="P39" i="6"/>
  <c r="Q39" i="6"/>
  <c r="N35" i="6"/>
  <c r="AH61" i="6" a="1"/>
  <c r="AH61" i="6" s="1"/>
  <c r="AK72" i="6" a="1"/>
  <c r="AK72" i="6" s="1"/>
  <c r="AN72" i="6" s="1"/>
  <c r="S274" i="3" s="1"/>
  <c r="AR57" i="6" a="1"/>
  <c r="AR57" i="6" s="1"/>
  <c r="AU57" i="6" s="1"/>
  <c r="T214" i="3" s="1"/>
  <c r="AH16" i="6" a="1"/>
  <c r="AH16" i="6" s="1"/>
  <c r="AK64" i="6" a="1"/>
  <c r="AK64" i="6" s="1"/>
  <c r="AN64" i="6" s="1"/>
  <c r="S242" i="3" s="1"/>
  <c r="AD46" i="6"/>
  <c r="AH73" i="6" a="1"/>
  <c r="AH73" i="6" s="1"/>
  <c r="AR61" i="6" a="1"/>
  <c r="AR61" i="6" s="1"/>
  <c r="AU61" i="6" s="1"/>
  <c r="T230" i="3" s="1"/>
  <c r="Q14" i="6"/>
  <c r="AR72" i="6" a="1"/>
  <c r="AR72" i="6" s="1"/>
  <c r="AU72" i="6" s="1"/>
  <c r="T274" i="3" s="1"/>
  <c r="Q57" i="6"/>
  <c r="AD90" i="6"/>
  <c r="AK56" i="6" a="1"/>
  <c r="AK56" i="6" s="1"/>
  <c r="AN56" i="6" s="1"/>
  <c r="S210" i="3" s="1"/>
  <c r="P14" i="6"/>
  <c r="N23" i="6"/>
  <c r="AK47" i="6" a="1"/>
  <c r="AK47" i="6" s="1"/>
  <c r="AD32" i="6"/>
  <c r="N44" i="6"/>
  <c r="AD25" i="6"/>
  <c r="AK41" i="6" a="1"/>
  <c r="AK41" i="6" s="1"/>
  <c r="AD51" i="6"/>
  <c r="AR45" i="6" a="1"/>
  <c r="AR45" i="6" s="1"/>
  <c r="AD43" i="6"/>
  <c r="P20" i="6"/>
  <c r="AK81" i="6" a="1"/>
  <c r="AK81" i="6" s="1"/>
  <c r="AR74" i="6" a="1"/>
  <c r="AR74" i="6" s="1"/>
  <c r="AK9" i="6" a="1"/>
  <c r="AK9" i="6" s="1"/>
  <c r="Q11" i="6"/>
  <c r="P23" i="6"/>
  <c r="AD5" i="6"/>
  <c r="AD33" i="6"/>
  <c r="AR52" i="6" a="1"/>
  <c r="AR52" i="6" s="1"/>
  <c r="AU52" i="6" s="1"/>
  <c r="T194" i="3" s="1"/>
  <c r="AD60" i="6"/>
  <c r="N37" i="6"/>
  <c r="Q25" i="6"/>
  <c r="N72" i="6"/>
  <c r="AI61" i="6" a="1"/>
  <c r="AI61" i="6" s="1"/>
  <c r="N84" i="6"/>
  <c r="Q9" i="6"/>
  <c r="AK48" i="6" a="1"/>
  <c r="AK48" i="6" s="1"/>
  <c r="P9" i="6"/>
  <c r="Q7" i="3" a="1"/>
  <c r="Q7" i="3" s="1"/>
  <c r="AR56" i="6" a="1"/>
  <c r="AR56" i="6" s="1"/>
  <c r="AU56" i="6" s="1"/>
  <c r="T210" i="3" s="1"/>
  <c r="AK91" i="6" a="1"/>
  <c r="AK91" i="6" s="1"/>
  <c r="AN91" i="6" s="1"/>
  <c r="S350" i="3" s="1"/>
  <c r="AD10" i="6"/>
  <c r="AD77" i="6"/>
  <c r="AR48" i="6" a="1"/>
  <c r="AR48" i="6" s="1"/>
  <c r="AK40" i="6" a="1"/>
  <c r="AK40" i="6" s="1"/>
  <c r="AD85" i="6"/>
  <c r="AK36" i="6" a="1"/>
  <c r="AK36" i="6" s="1"/>
  <c r="AN36" i="6" s="1"/>
  <c r="S130" i="3" s="1"/>
  <c r="AK24" i="6" a="1"/>
  <c r="AK24" i="6" s="1"/>
  <c r="AN24" i="6" s="1"/>
  <c r="Q31" i="6"/>
  <c r="AD36" i="6"/>
  <c r="AR7" i="6" a="1"/>
  <c r="AR7" i="6" s="1"/>
  <c r="AU7" i="6" s="1"/>
  <c r="AD16" i="6"/>
  <c r="Q6" i="6"/>
  <c r="AR13" i="6" a="1"/>
  <c r="AR13" i="6" s="1"/>
  <c r="AU13" i="6" s="1"/>
  <c r="AK96" i="6" a="1"/>
  <c r="AK96" i="6" s="1"/>
  <c r="AN96" i="6" s="1"/>
  <c r="S370" i="3" s="1"/>
  <c r="AR82" i="6" a="1"/>
  <c r="AR82" i="6" s="1"/>
  <c r="AU82" i="6" s="1"/>
  <c r="T314" i="3" s="1"/>
  <c r="Q24" i="6"/>
  <c r="AR80" i="6" a="1"/>
  <c r="AR80" i="6" s="1"/>
  <c r="N87" i="6"/>
  <c r="AD67" i="6"/>
  <c r="P24" i="6"/>
  <c r="AR93" i="6" a="1"/>
  <c r="AR93" i="6" s="1"/>
  <c r="AU93" i="6" s="1"/>
  <c r="T358" i="3" s="1"/>
  <c r="AD52" i="6"/>
  <c r="AD59" i="6"/>
  <c r="AD102" i="6"/>
  <c r="AK6" i="6" a="1"/>
  <c r="AK6" i="6" s="1"/>
  <c r="Q15" i="6"/>
  <c r="N80" i="6"/>
  <c r="AR49" i="6" a="1"/>
  <c r="AR49" i="6" s="1"/>
  <c r="AU49" i="6" s="1"/>
  <c r="T182" i="3" s="1"/>
  <c r="P12" i="6"/>
  <c r="N31" i="6"/>
  <c r="AK73" i="6" a="1"/>
  <c r="AK73" i="6" s="1"/>
  <c r="AN73" i="6" s="1"/>
  <c r="S278" i="3" s="1"/>
  <c r="N34" i="6"/>
  <c r="N83" i="6"/>
  <c r="AI73" i="6" a="1"/>
  <c r="AI73" i="6" s="1"/>
  <c r="AR19" i="6" a="1"/>
  <c r="AR19" i="6" s="1"/>
  <c r="AU19" i="6" s="1"/>
  <c r="AD18" i="6"/>
  <c r="AD30" i="6"/>
  <c r="AR62" i="6" a="1"/>
  <c r="AR62" i="6" s="1"/>
  <c r="AD82" i="6"/>
  <c r="AD83" i="6"/>
  <c r="N32" i="6"/>
  <c r="AK70" i="6" a="1"/>
  <c r="AK70" i="6" s="1"/>
  <c r="AN70" i="6" s="1"/>
  <c r="S266" i="3" s="1"/>
  <c r="AK63" i="6" a="1"/>
  <c r="AK63" i="6" s="1"/>
  <c r="AR64" i="6" a="1"/>
  <c r="AR64" i="6" s="1"/>
  <c r="AU64" i="6" s="1"/>
  <c r="T242" i="3" s="1"/>
  <c r="Q18" i="6"/>
  <c r="Q37" i="6"/>
  <c r="AR73" i="6" a="1"/>
  <c r="AR73" i="6" s="1"/>
  <c r="AU73" i="6" s="1"/>
  <c r="T278" i="3" s="1"/>
  <c r="N97" i="6"/>
  <c r="AH79" i="6" a="1"/>
  <c r="AH79" i="6" s="1"/>
  <c r="AK32" i="6" a="1"/>
  <c r="AK32" i="6" s="1"/>
  <c r="AN32" i="6" s="1"/>
  <c r="S114" i="3" s="1"/>
  <c r="AR27" i="6" a="1"/>
  <c r="AR27" i="6" s="1"/>
  <c r="AU27" i="6" s="1"/>
  <c r="P17" i="6"/>
  <c r="AR85" i="6" a="1"/>
  <c r="AR85" i="6" s="1"/>
  <c r="AU85" i="6" s="1"/>
  <c r="T326" i="3" s="1"/>
  <c r="AD74" i="6"/>
  <c r="AK16" i="6" a="1"/>
  <c r="AK16" i="6" s="1"/>
  <c r="AN16" i="6" s="1"/>
  <c r="AK82" i="6" a="1"/>
  <c r="AK82" i="6" s="1"/>
  <c r="AN82" i="6" s="1"/>
  <c r="S314" i="3" s="1"/>
  <c r="P57" i="6"/>
  <c r="N73" i="6"/>
  <c r="P6" i="6"/>
  <c r="AK93" i="6" a="1"/>
  <c r="AK93" i="6" s="1"/>
  <c r="AN93" i="6" s="1"/>
  <c r="S358" i="3" s="1"/>
  <c r="P37" i="6"/>
  <c r="Q12" i="6"/>
  <c r="AR50" i="6" a="1"/>
  <c r="AR50" i="6" s="1"/>
  <c r="Q17" i="6"/>
  <c r="AK68" i="6" a="1"/>
  <c r="AK68" i="6" s="1"/>
  <c r="AN68" i="6" s="1"/>
  <c r="S258" i="3" s="1"/>
  <c r="Q20" i="6"/>
  <c r="N50" i="6"/>
  <c r="AK46" i="6" a="1"/>
  <c r="AK46" i="6" s="1"/>
  <c r="AN46" i="6" s="1"/>
  <c r="S170" i="3" s="1"/>
  <c r="AR44" i="6" a="1"/>
  <c r="AR44" i="6" s="1"/>
  <c r="Q72" i="6"/>
  <c r="AD68" i="6"/>
  <c r="P31" i="6"/>
  <c r="AK62" i="6" a="1"/>
  <c r="AK62" i="6" s="1"/>
  <c r="P15" i="6"/>
  <c r="N61" i="6"/>
  <c r="BF9" i="6" a="1"/>
  <c r="BF9" i="6" s="1"/>
  <c r="AL40" i="6" a="1"/>
  <c r="AL40" i="6" s="1"/>
  <c r="AL73" i="6" a="1"/>
  <c r="AL73" i="6" s="1"/>
  <c r="AO73" i="6" s="1"/>
  <c r="S279" i="3" s="1"/>
  <c r="AL100" i="6" a="1"/>
  <c r="AL100" i="6" s="1"/>
  <c r="AO100" i="6" s="1"/>
  <c r="S387" i="3" s="1"/>
  <c r="AS46" i="6" a="1"/>
  <c r="AS46" i="6" s="1"/>
  <c r="AV46" i="6" s="1"/>
  <c r="AS100" i="6" a="1"/>
  <c r="AS100" i="6" s="1"/>
  <c r="AV100" i="6" s="1"/>
  <c r="AS82" i="6" a="1"/>
  <c r="AS82" i="6" s="1"/>
  <c r="AV82" i="6" s="1"/>
  <c r="AS40" i="6" a="1"/>
  <c r="AS40" i="6" s="1"/>
  <c r="AL22" i="6" a="1"/>
  <c r="AL22" i="6" s="1"/>
  <c r="AO22" i="6" s="1"/>
  <c r="AL43" i="6" a="1"/>
  <c r="AL43" i="6" s="1"/>
  <c r="AO43" i="6" s="1"/>
  <c r="S159" i="3" s="1"/>
  <c r="AL82" i="6" a="1"/>
  <c r="AL82" i="6" s="1"/>
  <c r="AO82" i="6" s="1"/>
  <c r="S315" i="3" s="1"/>
  <c r="AL76" i="6" a="1"/>
  <c r="AL76" i="6" s="1"/>
  <c r="AO76" i="6" s="1"/>
  <c r="S291" i="3" s="1"/>
  <c r="AL13" i="6" a="1"/>
  <c r="AL13" i="6" s="1"/>
  <c r="AO13" i="6" s="1"/>
  <c r="AS16" i="6" a="1"/>
  <c r="AS16" i="6" s="1"/>
  <c r="AV16" i="6" s="1"/>
  <c r="AS49" i="6" a="1"/>
  <c r="AS49" i="6" s="1"/>
  <c r="AV49" i="6" s="1"/>
  <c r="AL49" i="6" a="1"/>
  <c r="AL49" i="6" s="1"/>
  <c r="AO49" i="6" s="1"/>
  <c r="S183" i="3" s="1"/>
  <c r="AL93" i="6" a="1"/>
  <c r="AL93" i="6" s="1"/>
  <c r="AO93" i="6" s="1"/>
  <c r="S359" i="3" s="1"/>
  <c r="AS61" i="6" a="1"/>
  <c r="AS61" i="6" s="1"/>
  <c r="AV61" i="6" s="1"/>
  <c r="AL61" i="6" a="1"/>
  <c r="AL61" i="6" s="1"/>
  <c r="AO61" i="6" s="1"/>
  <c r="S231" i="3" s="1"/>
  <c r="AS52" i="6" a="1"/>
  <c r="AS52" i="6" s="1"/>
  <c r="AV52" i="6" s="1"/>
  <c r="AS85" i="6" a="1"/>
  <c r="AS85" i="6" s="1"/>
  <c r="AV85" i="6" s="1"/>
  <c r="AS22" i="6" a="1"/>
  <c r="AS22" i="6" s="1"/>
  <c r="AV22" i="6" s="1"/>
  <c r="AL64" i="6" a="1"/>
  <c r="AL64" i="6" s="1"/>
  <c r="AO64" i="6" s="1"/>
  <c r="S243" i="3" s="1"/>
  <c r="AL46" i="6" a="1"/>
  <c r="AL46" i="6" s="1"/>
  <c r="AO46" i="6" s="1"/>
  <c r="S171" i="3" s="1"/>
  <c r="AL10" i="6" a="1"/>
  <c r="AL10" i="6" s="1"/>
  <c r="AO10" i="6" s="1"/>
  <c r="AS13" i="6" a="1"/>
  <c r="AS13" i="6" s="1"/>
  <c r="AV13" i="6" s="1"/>
  <c r="AS76" i="6" a="1"/>
  <c r="AS76" i="6" s="1"/>
  <c r="AV76" i="6" s="1"/>
  <c r="AS7" i="6" a="1"/>
  <c r="AS7" i="6" s="1"/>
  <c r="AV7" i="6" s="1"/>
  <c r="AL52" i="6" a="1"/>
  <c r="AL52" i="6" s="1"/>
  <c r="AO52" i="6" s="1"/>
  <c r="S195" i="3" s="1"/>
  <c r="AL79" i="6" a="1"/>
  <c r="AL79" i="6" s="1"/>
  <c r="AO79" i="6" s="1"/>
  <c r="S303" i="3" s="1"/>
  <c r="AS19" i="6" a="1"/>
  <c r="AS19" i="6" s="1"/>
  <c r="AV19" i="6" s="1"/>
  <c r="AS73" i="6" a="1"/>
  <c r="AS73" i="6" s="1"/>
  <c r="AV73" i="6" s="1"/>
  <c r="AS10" i="6" a="1"/>
  <c r="AS10" i="6" s="1"/>
  <c r="AV10" i="6" s="1"/>
  <c r="AL19" i="6" a="1"/>
  <c r="AL19" i="6" s="1"/>
  <c r="AO19" i="6" s="1"/>
  <c r="AS43" i="6" a="1"/>
  <c r="AS43" i="6" s="1"/>
  <c r="AV43" i="6" s="1"/>
  <c r="T159" i="3" s="1"/>
  <c r="AL7" i="6" a="1"/>
  <c r="AL7" i="6" s="1"/>
  <c r="AO7" i="6" s="1"/>
  <c r="AS64" i="6" a="1"/>
  <c r="AS64" i="6" s="1"/>
  <c r="AV64" i="6" s="1"/>
  <c r="AL85" i="6" a="1"/>
  <c r="AL85" i="6" s="1"/>
  <c r="AO85" i="6" s="1"/>
  <c r="S327" i="3" s="1"/>
  <c r="AS93" i="6" a="1"/>
  <c r="AS93" i="6" s="1"/>
  <c r="AV93" i="6" s="1"/>
  <c r="AL16" i="6" a="1"/>
  <c r="AL16" i="6" s="1"/>
  <c r="AO16" i="6" s="1"/>
  <c r="AS79" i="6" a="1"/>
  <c r="AS79" i="6" s="1"/>
  <c r="AV79" i="6" s="1"/>
  <c r="T303" i="3" s="1"/>
  <c r="AG102" i="6"/>
  <c r="Q102" i="6"/>
  <c r="P102" i="6"/>
  <c r="T315" i="3" l="1"/>
  <c r="D53" i="6"/>
  <c r="J40" i="6"/>
  <c r="AI40" i="6" a="1"/>
  <c r="AI40" i="6" s="1"/>
  <c r="N40" i="6"/>
  <c r="AH40" i="6" a="1"/>
  <c r="AH40" i="6" s="1"/>
  <c r="K40" i="6"/>
  <c r="AG40" i="6" s="1"/>
  <c r="P40" i="6"/>
  <c r="Q40" i="6"/>
  <c r="N24" i="6"/>
  <c r="AD26" i="6"/>
  <c r="AK7" i="6" a="1"/>
  <c r="AK7" i="6" s="1"/>
  <c r="AN7" i="6" s="1"/>
  <c r="AR54" i="6" a="1"/>
  <c r="AR54" i="6" s="1"/>
  <c r="AU54" i="6" s="1"/>
  <c r="T202" i="3" s="1"/>
  <c r="AH85" i="6" a="1"/>
  <c r="AH85" i="6" s="1"/>
  <c r="AK78" i="6" a="1"/>
  <c r="AK78" i="6" s="1"/>
  <c r="Q45" i="6"/>
  <c r="AR69" i="6" a="1"/>
  <c r="AR69" i="6" s="1"/>
  <c r="AU69" i="6" s="1"/>
  <c r="T262" i="3" s="1"/>
  <c r="AK76" i="6" a="1"/>
  <c r="AK76" i="6" s="1"/>
  <c r="AN76" i="6" s="1"/>
  <c r="S290" i="3" s="1"/>
  <c r="Q63" i="6"/>
  <c r="AH82" i="6" a="1"/>
  <c r="AH82" i="6" s="1"/>
  <c r="AD41" i="6"/>
  <c r="AD23" i="6"/>
  <c r="AR38" i="6" a="1"/>
  <c r="AR38" i="6" s="1"/>
  <c r="AU38" i="6" s="1"/>
  <c r="T138" i="3" s="1"/>
  <c r="N95" i="6"/>
  <c r="AI16" i="6" a="1"/>
  <c r="AI16" i="6" s="1"/>
  <c r="AD39" i="6"/>
  <c r="AR12" i="6" a="1"/>
  <c r="AR12" i="6" s="1"/>
  <c r="AR22" i="6" a="1"/>
  <c r="AR22" i="6" s="1"/>
  <c r="AU22" i="6" s="1"/>
  <c r="AK15" i="6" a="1"/>
  <c r="AK15" i="6" s="1"/>
  <c r="AD31" i="6"/>
  <c r="Q95" i="6"/>
  <c r="AR41" i="6" a="1"/>
  <c r="AR41" i="6" s="1"/>
  <c r="AD45" i="6"/>
  <c r="AD86" i="6"/>
  <c r="AD44" i="6"/>
  <c r="AD27" i="6"/>
  <c r="AD49" i="6"/>
  <c r="AR95" i="6" a="1"/>
  <c r="AR95" i="6" s="1"/>
  <c r="AU95" i="6" s="1"/>
  <c r="T366" i="3" s="1"/>
  <c r="AI79" i="6" a="1"/>
  <c r="AI79" i="6" s="1"/>
  <c r="AD72" i="6"/>
  <c r="AD13" i="6"/>
  <c r="N77" i="6"/>
  <c r="AR78" i="6" a="1"/>
  <c r="AR78" i="6" s="1"/>
  <c r="AK21" i="6" a="1"/>
  <c r="AK21" i="6" s="1"/>
  <c r="AK71" i="6" a="1"/>
  <c r="AK71" i="6" s="1"/>
  <c r="AN71" i="6" s="1"/>
  <c r="S270" i="3" s="1"/>
  <c r="AR8" i="6" a="1"/>
  <c r="AR8" i="6" s="1"/>
  <c r="AD8" i="6"/>
  <c r="AD79" i="6"/>
  <c r="AR31" i="6" a="1"/>
  <c r="AR31" i="6" s="1"/>
  <c r="AU31" i="6" s="1"/>
  <c r="T110" i="3" s="1"/>
  <c r="AK14" i="6" a="1"/>
  <c r="AK14" i="6" s="1"/>
  <c r="N88" i="6"/>
  <c r="AK95" i="6" a="1"/>
  <c r="AK95" i="6" s="1"/>
  <c r="AN95" i="6" s="1"/>
  <c r="S366" i="3" s="1"/>
  <c r="AK80" i="6" a="1"/>
  <c r="AK80" i="6" s="1"/>
  <c r="AR10" i="6" a="1"/>
  <c r="AR10" i="6" s="1"/>
  <c r="AU10" i="6" s="1"/>
  <c r="AR26" i="6" a="1"/>
  <c r="AR26" i="6" s="1"/>
  <c r="AU26" i="6" s="1"/>
  <c r="AR70" i="6" a="1"/>
  <c r="AR70" i="6" s="1"/>
  <c r="AU70" i="6" s="1"/>
  <c r="T266" i="3" s="1"/>
  <c r="AD50" i="6"/>
  <c r="N75" i="6"/>
  <c r="AD22" i="6"/>
  <c r="AK83" i="6" a="1"/>
  <c r="AK83" i="6" s="1"/>
  <c r="AD15" i="6"/>
  <c r="AD35" i="6"/>
  <c r="AD92" i="6"/>
  <c r="AD21" i="6"/>
  <c r="AD75" i="6"/>
  <c r="AD96" i="6"/>
  <c r="AD47" i="6"/>
  <c r="AD100" i="6"/>
  <c r="AD81" i="6"/>
  <c r="AR84" i="6" a="1"/>
  <c r="AR84" i="6" s="1"/>
  <c r="AD37" i="6"/>
  <c r="AR83" i="6" a="1"/>
  <c r="AR83" i="6" s="1"/>
  <c r="AD20" i="6"/>
  <c r="AR25" i="6" a="1"/>
  <c r="AR25" i="6" s="1"/>
  <c r="AU25" i="6" s="1"/>
  <c r="AD71" i="6"/>
  <c r="AD84" i="6"/>
  <c r="AR92" i="6" a="1"/>
  <c r="AR92" i="6" s="1"/>
  <c r="AU92" i="6" s="1"/>
  <c r="T354" i="3" s="1"/>
  <c r="N81" i="6"/>
  <c r="N25" i="6"/>
  <c r="AD89" i="6"/>
  <c r="AD76" i="6"/>
  <c r="AR15" i="6" a="1"/>
  <c r="AR15" i="6" s="1"/>
  <c r="AK99" i="6" a="1"/>
  <c r="AK99" i="6" s="1"/>
  <c r="AN99" i="6" s="1"/>
  <c r="S382" i="3" s="1"/>
  <c r="AR17" i="6" a="1"/>
  <c r="AR17" i="6" s="1"/>
  <c r="AR99" i="6" a="1"/>
  <c r="AR99" i="6" s="1"/>
  <c r="AU99" i="6" s="1"/>
  <c r="T382" i="3" s="1"/>
  <c r="Q42" i="6"/>
  <c r="AR97" i="6" a="1"/>
  <c r="AR97" i="6" s="1"/>
  <c r="AU97" i="6" s="1"/>
  <c r="T374" i="3" s="1"/>
  <c r="AD54" i="6"/>
  <c r="AK38" i="6" a="1"/>
  <c r="AK38" i="6" s="1"/>
  <c r="AN38" i="6" s="1"/>
  <c r="S138" i="3" s="1"/>
  <c r="AK100" i="6" a="1"/>
  <c r="AK100" i="6" s="1"/>
  <c r="AN100" i="6" s="1"/>
  <c r="S386" i="3" s="1"/>
  <c r="AD55" i="6"/>
  <c r="AD62" i="6"/>
  <c r="AR6" i="6" a="1"/>
  <c r="AR6" i="6" s="1"/>
  <c r="N53" i="6"/>
  <c r="AR91" i="6" a="1"/>
  <c r="AR91" i="6" s="1"/>
  <c r="AU91" i="6" s="1"/>
  <c r="T350" i="3" s="1"/>
  <c r="AK52" i="6" a="1"/>
  <c r="AK52" i="6" s="1"/>
  <c r="AN52" i="6" s="1"/>
  <c r="S194" i="3" s="1"/>
  <c r="AR39" i="6" a="1"/>
  <c r="AR39" i="6" s="1"/>
  <c r="AR42" i="6" a="1"/>
  <c r="AR42" i="6" s="1"/>
  <c r="AD98" i="6"/>
  <c r="N65" i="6"/>
  <c r="N62" i="6"/>
  <c r="AD28" i="6"/>
  <c r="N41" i="6"/>
  <c r="N54" i="6"/>
  <c r="AR96" i="6" a="1"/>
  <c r="AR96" i="6" s="1"/>
  <c r="AU96" i="6" s="1"/>
  <c r="T370" i="3" s="1"/>
  <c r="AR16" i="6" a="1"/>
  <c r="AR16" i="6" s="1"/>
  <c r="AU16" i="6" s="1"/>
  <c r="AD34" i="6"/>
  <c r="P42" i="6"/>
  <c r="N78" i="6"/>
  <c r="AR21" i="6" a="1"/>
  <c r="AR21" i="6" s="1"/>
  <c r="N85" i="6"/>
  <c r="AK49" i="6" a="1"/>
  <c r="AK49" i="6" s="1"/>
  <c r="AN49" i="6" s="1"/>
  <c r="S182" i="3" s="1"/>
  <c r="N74" i="6"/>
  <c r="AD97" i="6"/>
  <c r="N79" i="6"/>
  <c r="AK51" i="6" a="1"/>
  <c r="AK51" i="6" s="1"/>
  <c r="AD57" i="6"/>
  <c r="N76" i="6"/>
  <c r="AD69" i="6"/>
  <c r="AK79" i="6" a="1"/>
  <c r="AK79" i="6" s="1"/>
  <c r="AN79" i="6" s="1"/>
  <c r="S302" i="3" s="1"/>
  <c r="N96" i="6"/>
  <c r="N55" i="6"/>
  <c r="AR20" i="6" a="1"/>
  <c r="AR20" i="6" s="1"/>
  <c r="AR68" i="6" a="1"/>
  <c r="AR68" i="6" s="1"/>
  <c r="AU68" i="6" s="1"/>
  <c r="T258" i="3" s="1"/>
  <c r="AD17" i="6"/>
  <c r="AD95" i="6"/>
  <c r="AK37" i="6" a="1"/>
  <c r="AK37" i="6" s="1"/>
  <c r="AN37" i="6" s="1"/>
  <c r="S134" i="3" s="1"/>
  <c r="AR32" i="6" a="1"/>
  <c r="AR32" i="6" s="1"/>
  <c r="AU32" i="6" s="1"/>
  <c r="T114" i="3" s="1"/>
  <c r="AD7" i="6"/>
  <c r="AK75" i="6" a="1"/>
  <c r="AK75" i="6" s="1"/>
  <c r="AR37" i="6" a="1"/>
  <c r="AR37" i="6" s="1"/>
  <c r="AU37" i="6" s="1"/>
  <c r="T134" i="3" s="1"/>
  <c r="AR36" i="6" a="1"/>
  <c r="AR36" i="6" s="1"/>
  <c r="AU36" i="6" s="1"/>
  <c r="T130" i="3" s="1"/>
  <c r="AD19" i="6"/>
  <c r="AK27" i="6" a="1"/>
  <c r="AK27" i="6" s="1"/>
  <c r="AN27" i="6" s="1"/>
  <c r="N51" i="6"/>
  <c r="AK61" i="6" a="1"/>
  <c r="AK61" i="6" s="1"/>
  <c r="AN61" i="6" s="1"/>
  <c r="S230" i="3" s="1"/>
  <c r="AR77" i="6" a="1"/>
  <c r="AR77" i="6" s="1"/>
  <c r="AD94" i="6"/>
  <c r="AK92" i="6" a="1"/>
  <c r="AK92" i="6" s="1"/>
  <c r="AN92" i="6" s="1"/>
  <c r="S354" i="3" s="1"/>
  <c r="AK85" i="6" a="1"/>
  <c r="AK85" i="6" s="1"/>
  <c r="AN85" i="6" s="1"/>
  <c r="S326" i="3" s="1"/>
  <c r="AK19" i="6" a="1"/>
  <c r="AK19" i="6" s="1"/>
  <c r="AN19" i="6" s="1"/>
  <c r="AD29" i="6"/>
  <c r="AR40" i="6" a="1"/>
  <c r="AR40" i="6" s="1"/>
  <c r="AD14" i="6"/>
  <c r="AD53" i="6"/>
  <c r="AR18" i="6" a="1"/>
  <c r="AR18" i="6" s="1"/>
  <c r="AD42" i="6"/>
  <c r="AD12" i="6"/>
  <c r="AD88" i="6"/>
  <c r="AK18" i="6" a="1"/>
  <c r="AK18" i="6" s="1"/>
  <c r="AD61" i="6"/>
  <c r="AR24" i="6" a="1"/>
  <c r="AR24" i="6" s="1"/>
  <c r="AU24" i="6" s="1"/>
  <c r="N47" i="6"/>
  <c r="AK31" i="6" a="1"/>
  <c r="AK31" i="6" s="1"/>
  <c r="AN31" i="6" s="1"/>
  <c r="S110" i="3" s="1"/>
  <c r="N66" i="6"/>
  <c r="AK84" i="6" a="1"/>
  <c r="AK84" i="6" s="1"/>
  <c r="AR9" i="6" a="1"/>
  <c r="AR9" i="6" s="1"/>
  <c r="AR79" i="6" a="1"/>
  <c r="AR79" i="6" s="1"/>
  <c r="AU79" i="6" s="1"/>
  <c r="T302" i="3" s="1"/>
  <c r="AR23" i="6" a="1"/>
  <c r="AR23" i="6" s="1"/>
  <c r="AU23" i="6" s="1"/>
  <c r="AD56" i="6"/>
  <c r="AR63" i="6" a="1"/>
  <c r="AR63" i="6" s="1"/>
  <c r="AD65" i="6"/>
  <c r="AD80" i="6"/>
  <c r="P69" i="6"/>
  <c r="AR75" i="6" a="1"/>
  <c r="AR75" i="6" s="1"/>
  <c r="AR14" i="6" a="1"/>
  <c r="AR14" i="6" s="1"/>
  <c r="AK97" i="6" a="1"/>
  <c r="AK97" i="6" s="1"/>
  <c r="AN97" i="6" s="1"/>
  <c r="S374" i="3" s="1"/>
  <c r="AK42" i="6" a="1"/>
  <c r="AK42" i="6" s="1"/>
  <c r="AK50" i="6" a="1"/>
  <c r="AK50" i="6" s="1"/>
  <c r="AK26" i="6" a="1"/>
  <c r="AK26" i="6" s="1"/>
  <c r="AN26" i="6" s="1"/>
  <c r="AR76" i="6" a="1"/>
  <c r="AR76" i="6" s="1"/>
  <c r="AU76" i="6" s="1"/>
  <c r="T290" i="3" s="1"/>
  <c r="AD93" i="6"/>
  <c r="AD48" i="6"/>
  <c r="AD63" i="6"/>
  <c r="AK43" i="6" a="1"/>
  <c r="AK43" i="6" s="1"/>
  <c r="AN43" i="6" s="1"/>
  <c r="S158" i="3" s="1"/>
  <c r="AK77" i="6" a="1"/>
  <c r="AK77" i="6" s="1"/>
  <c r="AD73" i="6"/>
  <c r="AR81" i="6" a="1"/>
  <c r="AR81" i="6" s="1"/>
  <c r="AD64" i="6"/>
  <c r="N42" i="6"/>
  <c r="AD99" i="6"/>
  <c r="AD6" i="6"/>
  <c r="AR47" i="6" a="1"/>
  <c r="AR47" i="6" s="1"/>
  <c r="N94" i="6"/>
  <c r="AK10" i="6" a="1"/>
  <c r="AK10" i="6" s="1"/>
  <c r="AN10" i="6" s="1"/>
  <c r="AD40" i="6"/>
  <c r="AR71" i="6" a="1"/>
  <c r="AR71" i="6" s="1"/>
  <c r="AU71" i="6" s="1"/>
  <c r="T270" i="3" s="1"/>
  <c r="AD66" i="6"/>
  <c r="AK12" i="6" a="1"/>
  <c r="AK12" i="6" s="1"/>
  <c r="AD78" i="6"/>
  <c r="AR11" i="6" a="1"/>
  <c r="AR11" i="6" s="1"/>
  <c r="N86" i="6"/>
  <c r="AK25" i="6" a="1"/>
  <c r="AK25" i="6" s="1"/>
  <c r="AN25" i="6" s="1"/>
  <c r="N89" i="6"/>
  <c r="AK54" i="6" a="1"/>
  <c r="AK54" i="6" s="1"/>
  <c r="AN54" i="6" s="1"/>
  <c r="S202" i="3" s="1"/>
  <c r="AD87" i="6"/>
  <c r="AK22" i="6" a="1"/>
  <c r="AK22" i="6" s="1"/>
  <c r="AN22" i="6" s="1"/>
  <c r="AK45" i="6" a="1"/>
  <c r="AK45" i="6" s="1"/>
  <c r="AK74" i="6" a="1"/>
  <c r="AK74" i="6" s="1"/>
  <c r="N48" i="6"/>
  <c r="Q50" i="6"/>
  <c r="Q41" i="6"/>
  <c r="P68" i="6"/>
  <c r="N82" i="6"/>
  <c r="Q51" i="6"/>
  <c r="P99" i="6"/>
  <c r="N99" i="6"/>
  <c r="P41" i="6"/>
  <c r="AH76" i="6" a="1"/>
  <c r="AH76" i="6" s="1"/>
  <c r="N45" i="6"/>
  <c r="P47" i="6"/>
  <c r="P63" i="6"/>
  <c r="K18" i="11"/>
  <c r="AI82" i="6" a="1"/>
  <c r="AI82" i="6" s="1"/>
  <c r="AI49" i="6" a="1"/>
  <c r="AI49" i="6" s="1"/>
  <c r="P97" i="6"/>
  <c r="Q69" i="6"/>
  <c r="AI76" i="6" a="1"/>
  <c r="AI76" i="6" s="1"/>
  <c r="AJ76" i="6" s="1"/>
  <c r="P48" i="6"/>
  <c r="Q48" i="6"/>
  <c r="P96" i="6"/>
  <c r="P51" i="6"/>
  <c r="Q47" i="6"/>
  <c r="P44" i="6"/>
  <c r="P62" i="6"/>
  <c r="AH49" i="6" a="1"/>
  <c r="AH49" i="6" s="1"/>
  <c r="Q80" i="6"/>
  <c r="AI43" i="6" a="1"/>
  <c r="AI43" i="6" s="1"/>
  <c r="F24" i="11"/>
  <c r="AH13" i="6" a="1"/>
  <c r="AH13" i="6" s="1"/>
  <c r="F25" i="11"/>
  <c r="K13" i="11"/>
  <c r="P77" i="6"/>
  <c r="AH22" i="6" a="1"/>
  <c r="AH22" i="6" s="1"/>
  <c r="Q12" i="3"/>
  <c r="F26" i="11"/>
  <c r="AH46" i="6" a="1"/>
  <c r="AH46" i="6" s="1"/>
  <c r="K26" i="11"/>
  <c r="P78" i="6"/>
  <c r="F21" i="11"/>
  <c r="N56" i="6"/>
  <c r="P83" i="6"/>
  <c r="P75" i="6"/>
  <c r="F15" i="11"/>
  <c r="N26" i="6"/>
  <c r="Q74" i="6"/>
  <c r="Q75" i="6"/>
  <c r="P84" i="6"/>
  <c r="AH19" i="6" a="1"/>
  <c r="AH19" i="6" s="1"/>
  <c r="AR46" i="6" a="1"/>
  <c r="AR46" i="6" s="1"/>
  <c r="AU46" i="6" s="1"/>
  <c r="T170" i="3" s="1"/>
  <c r="Q77" i="6"/>
  <c r="N46" i="6"/>
  <c r="K20" i="11"/>
  <c r="AI19" i="6" a="1"/>
  <c r="AI19" i="6" s="1"/>
  <c r="F23" i="11"/>
  <c r="F17" i="11"/>
  <c r="F13" i="11"/>
  <c r="N63" i="6"/>
  <c r="AI52" i="6" a="1"/>
  <c r="AI52" i="6" s="1"/>
  <c r="AH43" i="6" a="1"/>
  <c r="AH43" i="6" s="1"/>
  <c r="AH10" i="6" a="1"/>
  <c r="AH10" i="6" s="1"/>
  <c r="P81" i="6"/>
  <c r="Q78" i="6"/>
  <c r="K25" i="11"/>
  <c r="P95" i="6"/>
  <c r="N43" i="6"/>
  <c r="AI10" i="6" a="1"/>
  <c r="AI10" i="6" s="1"/>
  <c r="Q84" i="6"/>
  <c r="F18" i="11"/>
  <c r="Q99" i="6"/>
  <c r="Q81" i="6"/>
  <c r="F14" i="11"/>
  <c r="Q68" i="6"/>
  <c r="N67" i="6"/>
  <c r="N98" i="6"/>
  <c r="P80" i="6"/>
  <c r="P74" i="6"/>
  <c r="F20" i="11"/>
  <c r="AI46" i="6" a="1"/>
  <c r="AI46" i="6" s="1"/>
  <c r="P91" i="6"/>
  <c r="F16" i="11"/>
  <c r="Q83" i="6"/>
  <c r="AH64" i="6" a="1"/>
  <c r="AH64" i="6" s="1"/>
  <c r="AH7" i="6" a="1"/>
  <c r="AH7" i="6" s="1"/>
  <c r="N90" i="6"/>
  <c r="AH52" i="6" a="1"/>
  <c r="AH52" i="6" s="1"/>
  <c r="AJ52" i="6" s="1"/>
  <c r="AM52" i="6" s="1" a="1"/>
  <c r="AM52" i="6" s="1"/>
  <c r="AP52" i="6" s="1"/>
  <c r="S196" i="3" s="1"/>
  <c r="F22" i="11"/>
  <c r="Q91" i="6"/>
  <c r="F19" i="11"/>
  <c r="AI13" i="6" a="1"/>
  <c r="AI13" i="6" s="1"/>
  <c r="AI7" i="6" a="1"/>
  <c r="AI7" i="6" s="1"/>
  <c r="AI22" i="6" a="1"/>
  <c r="AI22" i="6" s="1"/>
  <c r="N68" i="6"/>
  <c r="Q13" i="3"/>
  <c r="P92" i="6"/>
  <c r="AI64" i="6" a="1"/>
  <c r="AI64" i="6" s="1"/>
  <c r="N64" i="6"/>
  <c r="Q44" i="6"/>
  <c r="N27" i="6"/>
  <c r="Q96" i="6"/>
  <c r="Q62" i="6"/>
  <c r="Q54" i="6"/>
  <c r="N52" i="6"/>
  <c r="N49" i="6"/>
  <c r="N92" i="6"/>
  <c r="N91" i="6"/>
  <c r="P54" i="6"/>
  <c r="Q70" i="6"/>
  <c r="P45" i="6"/>
  <c r="N57" i="6"/>
  <c r="N69" i="6"/>
  <c r="AH93" i="6" a="1"/>
  <c r="AH93" i="6" s="1"/>
  <c r="N58" i="6"/>
  <c r="AH100" i="6" a="1"/>
  <c r="AH100" i="6" s="1"/>
  <c r="N93" i="6"/>
  <c r="Q92" i="6"/>
  <c r="N28" i="6"/>
  <c r="AD38" i="6"/>
  <c r="AD24" i="6"/>
  <c r="AI100" i="6" a="1"/>
  <c r="AI100" i="6" s="1"/>
  <c r="N70" i="6"/>
  <c r="N100" i="6"/>
  <c r="AI93" i="6" a="1"/>
  <c r="AI93" i="6" s="1"/>
  <c r="N29" i="6"/>
  <c r="AK11" i="6" a="1"/>
  <c r="AK11" i="6" s="1"/>
  <c r="P72" i="6"/>
  <c r="Q56" i="6"/>
  <c r="AD11" i="6"/>
  <c r="AK8" i="6" a="1"/>
  <c r="AK8" i="6" s="1"/>
  <c r="AD9" i="6"/>
  <c r="N101" i="6"/>
  <c r="E101" i="6"/>
  <c r="P70" i="6"/>
  <c r="AK39" i="6" a="1"/>
  <c r="AK39" i="6" s="1"/>
  <c r="AN39" i="6" s="1"/>
  <c r="S142" i="3" s="1"/>
  <c r="P71" i="6"/>
  <c r="Q71" i="6"/>
  <c r="N59" i="6"/>
  <c r="Q38" i="6"/>
  <c r="AH102" i="6" a="1"/>
  <c r="AH102" i="6" s="1"/>
  <c r="P8" i="6"/>
  <c r="AK17" i="6" a="1"/>
  <c r="AK17" i="6" s="1"/>
  <c r="AK20" i="6" a="1"/>
  <c r="AK20" i="6" s="1"/>
  <c r="Q97" i="6"/>
  <c r="K27" i="11"/>
  <c r="P32" i="6"/>
  <c r="AK44" i="6" a="1"/>
  <c r="AK44" i="6" s="1"/>
  <c r="N33" i="6"/>
  <c r="P21" i="6"/>
  <c r="N71" i="6"/>
  <c r="P56" i="6"/>
  <c r="AD58" i="6"/>
  <c r="N36" i="6"/>
  <c r="AK23" i="6" a="1"/>
  <c r="AK23" i="6" s="1"/>
  <c r="AN23" i="6" s="1"/>
  <c r="Q8" i="6"/>
  <c r="P27" i="6"/>
  <c r="Q32" i="6"/>
  <c r="AK5" i="6" a="1"/>
  <c r="AK5" i="6" s="1"/>
  <c r="N38" i="6"/>
  <c r="AK57" i="6" a="1"/>
  <c r="AK57" i="6" s="1"/>
  <c r="AN57" i="6" s="1"/>
  <c r="S214" i="3" s="1"/>
  <c r="AK69" i="6" a="1"/>
  <c r="AK69" i="6" s="1"/>
  <c r="AN69" i="6" s="1"/>
  <c r="S262" i="3" s="1"/>
  <c r="AI85" i="6" a="1"/>
  <c r="AI85" i="6" s="1"/>
  <c r="Q23" i="6"/>
  <c r="N30" i="6"/>
  <c r="AR102" i="6" a="1"/>
  <c r="AR102" i="6" s="1"/>
  <c r="AU102" i="6" s="1"/>
  <c r="AD101" i="6"/>
  <c r="P18" i="6"/>
  <c r="P36" i="6"/>
  <c r="Q36" i="6"/>
  <c r="AD70" i="6"/>
  <c r="AK102" i="6" a="1"/>
  <c r="AK102" i="6" s="1"/>
  <c r="AN102" i="6" s="1"/>
  <c r="AR5" i="6" a="1"/>
  <c r="AR5" i="6" s="1"/>
  <c r="Q27" i="6"/>
  <c r="P26" i="6"/>
  <c r="Q26" i="6"/>
  <c r="AR51" i="6" a="1"/>
  <c r="AR51" i="6" s="1"/>
  <c r="E102" i="6"/>
  <c r="Q18" i="3" s="1"/>
  <c r="Q21" i="6"/>
  <c r="N102" i="6"/>
  <c r="AR43" i="6" a="1"/>
  <c r="AR43" i="6" s="1"/>
  <c r="AU43" i="6" s="1"/>
  <c r="T158" i="3" s="1"/>
  <c r="AK13" i="6" a="1"/>
  <c r="AK13" i="6" s="1"/>
  <c r="AN13" i="6" s="1"/>
  <c r="C27" i="11"/>
  <c r="P50" i="6"/>
  <c r="AR100" i="6" a="1"/>
  <c r="AR100" i="6" s="1"/>
  <c r="AU100" i="6" s="1"/>
  <c r="T386" i="3" s="1"/>
  <c r="N60" i="6"/>
  <c r="P25" i="6"/>
  <c r="P11" i="6"/>
  <c r="AD91" i="6"/>
  <c r="F27" i="11"/>
  <c r="AJ16" i="6"/>
  <c r="AT16" i="6" s="1" a="1"/>
  <c r="AT16" i="6" s="1"/>
  <c r="AW16" i="6" s="1"/>
  <c r="AM16" i="6" a="1"/>
  <c r="AM16" i="6" s="1"/>
  <c r="AP16" i="6" s="1"/>
  <c r="T171" i="3"/>
  <c r="T279" i="3"/>
  <c r="AT61" i="6" a="1"/>
  <c r="AT61" i="6" s="1"/>
  <c r="AW61" i="6" s="1"/>
  <c r="T232" i="3" s="1"/>
  <c r="T231" i="3"/>
  <c r="AJ79" i="6"/>
  <c r="AT79" i="6" s="1" a="1"/>
  <c r="AT79" i="6" s="1"/>
  <c r="AW79" i="6" s="1"/>
  <c r="T304" i="3" s="1"/>
  <c r="AJ73" i="6"/>
  <c r="AM73" i="6" s="1" a="1"/>
  <c r="AM73" i="6" s="1"/>
  <c r="AP73" i="6" s="1"/>
  <c r="S280" i="3" s="1"/>
  <c r="T359" i="3"/>
  <c r="T327" i="3"/>
  <c r="T183" i="3"/>
  <c r="T243" i="3"/>
  <c r="T291" i="3"/>
  <c r="AJ61" i="6"/>
  <c r="AM61" i="6" s="1" a="1"/>
  <c r="AM61" i="6" s="1"/>
  <c r="AP61" i="6" s="1"/>
  <c r="S232" i="3" s="1"/>
  <c r="AZ39" i="6"/>
  <c r="AU39" i="6"/>
  <c r="T142" i="3" s="1"/>
  <c r="AY39" i="6"/>
  <c r="Q9" i="3"/>
  <c r="T195" i="3"/>
  <c r="T387" i="3"/>
  <c r="BF10" i="6" a="1"/>
  <c r="BF10" i="6" s="1"/>
  <c r="BB102" i="6"/>
  <c r="BA102" i="6"/>
  <c r="BJ53" i="6"/>
  <c r="BP53" i="6"/>
  <c r="BM53" i="6"/>
  <c r="BO53" i="6"/>
  <c r="BN53" i="6"/>
  <c r="BL53" i="6"/>
  <c r="BK53" i="6"/>
  <c r="AM76" i="6" l="1" a="1"/>
  <c r="AM76" i="6" s="1"/>
  <c r="AP76" i="6" s="1"/>
  <c r="S292" i="3" s="1"/>
  <c r="AT76" i="6" a="1"/>
  <c r="AT76" i="6" s="1"/>
  <c r="AW76" i="6" s="1"/>
  <c r="T292" i="3" s="1"/>
  <c r="S402" i="3"/>
  <c r="S394" i="3"/>
  <c r="AT52" i="6" a="1"/>
  <c r="AT52" i="6" s="1"/>
  <c r="AW52" i="6" s="1"/>
  <c r="T196" i="3" s="1"/>
  <c r="T402" i="3"/>
  <c r="T394" i="3"/>
  <c r="AJ93" i="6"/>
  <c r="Q11" i="3"/>
  <c r="AJ100" i="6"/>
  <c r="AT100" i="6" s="1" a="1"/>
  <c r="AT100" i="6" s="1"/>
  <c r="AW100" i="6" s="1"/>
  <c r="T388" i="3" s="1"/>
  <c r="AJ46" i="6"/>
  <c r="AJ49" i="6"/>
  <c r="AT49" i="6" s="1" a="1"/>
  <c r="AT49" i="6" s="1"/>
  <c r="AW49" i="6" s="1"/>
  <c r="T184" i="3" s="1"/>
  <c r="P53" i="6"/>
  <c r="Q53" i="6"/>
  <c r="Q17" i="3" a="1"/>
  <c r="Q17" i="3" s="1"/>
  <c r="Q16" i="3"/>
  <c r="AJ7" i="6"/>
  <c r="AT7" i="6" s="1" a="1"/>
  <c r="AT7" i="6" s="1"/>
  <c r="AW7" i="6" s="1"/>
  <c r="AJ43" i="6"/>
  <c r="AT43" i="6" s="1" a="1"/>
  <c r="AT43" i="6" s="1"/>
  <c r="AW43" i="6" s="1"/>
  <c r="T160" i="3" s="1"/>
  <c r="AM79" i="6" a="1"/>
  <c r="AM79" i="6" s="1"/>
  <c r="AP79" i="6" s="1"/>
  <c r="S304" i="3" s="1"/>
  <c r="AJ64" i="6"/>
  <c r="AT64" i="6" s="1" a="1"/>
  <c r="AT64" i="6" s="1"/>
  <c r="AW64" i="6" s="1"/>
  <c r="T244" i="3" s="1"/>
  <c r="AJ10" i="6"/>
  <c r="AT10" i="6" s="1" a="1"/>
  <c r="AT10" i="6" s="1"/>
  <c r="AW10" i="6" s="1"/>
  <c r="AJ22" i="6"/>
  <c r="AT22" i="6" s="1" a="1"/>
  <c r="AT22" i="6" s="1"/>
  <c r="AW22" i="6" s="1"/>
  <c r="AJ13" i="6"/>
  <c r="Q22" i="3"/>
  <c r="B2" i="11"/>
  <c r="AJ85" i="6"/>
  <c r="AO40" i="6"/>
  <c r="S147" i="3" s="1"/>
  <c r="AN40" i="6"/>
  <c r="S146" i="3" s="1"/>
  <c r="AV40" i="6"/>
  <c r="BB40" i="6"/>
  <c r="BA40" i="6"/>
  <c r="AU40" i="6"/>
  <c r="T146" i="3" s="1"/>
  <c r="AJ19" i="6"/>
  <c r="AJ82" i="6"/>
  <c r="AM82" i="6" s="1" a="1"/>
  <c r="AM82" i="6" s="1"/>
  <c r="AP82" i="6" s="1"/>
  <c r="S316" i="3" s="1"/>
  <c r="AT73" i="6" a="1"/>
  <c r="AT73" i="6" s="1"/>
  <c r="AW73" i="6" s="1"/>
  <c r="T280" i="3" s="1"/>
  <c r="BF11" i="6" a="1"/>
  <c r="BF11" i="6" s="1"/>
  <c r="K7" i="11"/>
  <c r="AM49" i="6" l="1" a="1"/>
  <c r="AM49" i="6" s="1"/>
  <c r="AP49" i="6" s="1"/>
  <c r="S184" i="3" s="1"/>
  <c r="AM100" i="6" a="1"/>
  <c r="AM100" i="6" s="1"/>
  <c r="AP100" i="6" s="1"/>
  <c r="S388" i="3" s="1"/>
  <c r="AM64" i="6" a="1"/>
  <c r="AM64" i="6" s="1"/>
  <c r="AP64" i="6" s="1"/>
  <c r="S244" i="3" s="1"/>
  <c r="AM93" i="6" a="1"/>
  <c r="AM93" i="6" s="1"/>
  <c r="AP93" i="6" s="1"/>
  <c r="S360" i="3" s="1"/>
  <c r="AT93" i="6" a="1"/>
  <c r="AT93" i="6" s="1"/>
  <c r="AW93" i="6" s="1"/>
  <c r="T360" i="3" s="1"/>
  <c r="AM22" i="6" a="1"/>
  <c r="AM22" i="6" s="1"/>
  <c r="AP22" i="6" s="1"/>
  <c r="AM85" i="6" a="1"/>
  <c r="AM85" i="6" s="1"/>
  <c r="AP85" i="6" s="1"/>
  <c r="S328" i="3" s="1"/>
  <c r="AT85" i="6" a="1"/>
  <c r="AT85" i="6" s="1"/>
  <c r="AW85" i="6" s="1"/>
  <c r="T328" i="3" s="1"/>
  <c r="AM7" i="6" a="1"/>
  <c r="AM7" i="6" s="1"/>
  <c r="AP7" i="6" s="1"/>
  <c r="T147" i="3"/>
  <c r="AM19" i="6" a="1"/>
  <c r="AM19" i="6" s="1"/>
  <c r="AP19" i="6" s="1"/>
  <c r="AT19" i="6" a="1"/>
  <c r="AT19" i="6" s="1"/>
  <c r="AW19" i="6" s="1"/>
  <c r="AM10" i="6" a="1"/>
  <c r="AM10" i="6" s="1"/>
  <c r="AP10" i="6" s="1"/>
  <c r="AM43" i="6" a="1"/>
  <c r="AM43" i="6" s="1"/>
  <c r="AP43" i="6" s="1"/>
  <c r="S160" i="3" s="1"/>
  <c r="AJ40" i="6"/>
  <c r="AM40" i="6" s="1" a="1"/>
  <c r="AM40" i="6" s="1"/>
  <c r="AP40" i="6" s="1"/>
  <c r="S148" i="3" s="1"/>
  <c r="AM13" i="6" a="1"/>
  <c r="AM13" i="6" s="1"/>
  <c r="AP13" i="6" s="1"/>
  <c r="AT13" i="6" a="1"/>
  <c r="AT13" i="6" s="1"/>
  <c r="AW13" i="6" s="1"/>
  <c r="AT82" i="6" a="1"/>
  <c r="AT82" i="6" s="1"/>
  <c r="AW82" i="6" s="1"/>
  <c r="T316" i="3" s="1"/>
  <c r="AM46" i="6" a="1"/>
  <c r="AM46" i="6" s="1"/>
  <c r="AP46" i="6" s="1"/>
  <c r="S172" i="3" s="1"/>
  <c r="AT46" i="6" a="1"/>
  <c r="AT46" i="6" s="1"/>
  <c r="AW46" i="6" s="1"/>
  <c r="T172" i="3" s="1"/>
  <c r="BF12" i="6" a="1"/>
  <c r="BF12" i="6" s="1"/>
  <c r="BF13" i="6" s="1" a="1"/>
  <c r="BF13" i="6" s="1"/>
  <c r="P30" i="4"/>
  <c r="Q30" i="4"/>
  <c r="R30" i="4"/>
  <c r="S30" i="4"/>
  <c r="T30" i="4"/>
  <c r="P31" i="4"/>
  <c r="Q31" i="4"/>
  <c r="R31" i="4"/>
  <c r="S31" i="4"/>
  <c r="T31" i="4"/>
  <c r="P32" i="4"/>
  <c r="Q32" i="4"/>
  <c r="R32" i="4"/>
  <c r="S32" i="4"/>
  <c r="T32" i="4"/>
  <c r="P33" i="4"/>
  <c r="Q33" i="4"/>
  <c r="R33" i="4"/>
  <c r="S33" i="4"/>
  <c r="T33" i="4"/>
  <c r="P34" i="4"/>
  <c r="Q34" i="4"/>
  <c r="R34" i="4"/>
  <c r="S34" i="4"/>
  <c r="T34" i="4"/>
  <c r="P35" i="4"/>
  <c r="Q35" i="4"/>
  <c r="R35" i="4"/>
  <c r="S35" i="4"/>
  <c r="T35" i="4"/>
  <c r="P36" i="4"/>
  <c r="Q36" i="4"/>
  <c r="R36" i="4"/>
  <c r="S36" i="4"/>
  <c r="T36" i="4"/>
  <c r="P37" i="4"/>
  <c r="Q37" i="4"/>
  <c r="R37" i="4"/>
  <c r="S37" i="4"/>
  <c r="T37" i="4"/>
  <c r="P38" i="4"/>
  <c r="Q38" i="4"/>
  <c r="R38" i="4"/>
  <c r="S38" i="4"/>
  <c r="T38" i="4"/>
  <c r="P29" i="4"/>
  <c r="Q29" i="4"/>
  <c r="R29" i="4"/>
  <c r="S29" i="4"/>
  <c r="T29" i="4"/>
  <c r="AT40" i="6" l="1" a="1"/>
  <c r="AT40" i="6" s="1"/>
  <c r="AW40" i="6" s="1"/>
  <c r="T148" i="3" s="1"/>
  <c r="BF14" i="6" a="1"/>
  <c r="BF14" i="6" s="1"/>
  <c r="BF15" i="6" s="1" a="1"/>
  <c r="BF15" i="6" s="1"/>
  <c r="J7" i="11"/>
  <c r="BF16" i="6" l="1" a="1"/>
  <c r="BF16" i="6" s="1"/>
  <c r="BF17" i="6" s="1" a="1"/>
  <c r="BF17" i="6" s="1"/>
  <c r="P101" i="6"/>
  <c r="Q101" i="6"/>
  <c r="Q5" i="6"/>
  <c r="P5" i="6"/>
  <c r="BF18" i="6" l="1" a="1"/>
  <c r="BF18" i="6" s="1"/>
  <c r="X320" i="10"/>
  <c r="BF19" i="6" l="1" a="1"/>
  <c r="BF19" i="6" s="1"/>
  <c r="AL102" i="6" a="1"/>
  <c r="AL102" i="6" s="1"/>
  <c r="AO102" i="6" s="1"/>
  <c r="AS102" i="6" a="1"/>
  <c r="AS102" i="6" s="1"/>
  <c r="AV102" i="6" s="1"/>
  <c r="T403" i="3" s="1"/>
  <c r="B68" i="10"/>
  <c r="B6" i="10"/>
  <c r="X135" i="10"/>
  <c r="X209" i="10"/>
  <c r="X246" i="10"/>
  <c r="X172" i="10"/>
  <c r="X283" i="10"/>
  <c r="D320" i="10"/>
  <c r="D283" i="10"/>
  <c r="D172" i="10"/>
  <c r="D209" i="10"/>
  <c r="D246" i="10"/>
  <c r="D135" i="10"/>
  <c r="D98" i="10"/>
  <c r="N47" i="10"/>
  <c r="D47" i="10"/>
  <c r="X98" i="10"/>
  <c r="B43" i="10"/>
  <c r="BF20" i="6" l="1" a="1"/>
  <c r="BF20" i="6" s="1"/>
  <c r="S403" i="3"/>
  <c r="AJ102" i="6"/>
  <c r="AM102" i="6" s="1" a="1"/>
  <c r="BF21" i="6" l="1" a="1"/>
  <c r="BF21" i="6" s="1"/>
  <c r="AT102" i="6" a="1"/>
  <c r="AT102" i="6" s="1"/>
  <c r="AW102" i="6" s="1"/>
  <c r="AM102" i="6"/>
  <c r="AP102" i="6" s="1"/>
  <c r="BF22" i="6" l="1" a="1"/>
  <c r="BF22" i="6" s="1"/>
  <c r="S404" i="3"/>
  <c r="T404" i="3"/>
  <c r="BF23" i="6" l="1" a="1"/>
  <c r="BF23" i="6" s="1"/>
  <c r="T22" i="3"/>
  <c r="BF24" i="6" l="1" a="1"/>
  <c r="BF24" i="6" s="1"/>
  <c r="S22" i="3"/>
  <c r="BF25" i="6" l="1" a="1"/>
  <c r="BF25" i="6" s="1"/>
  <c r="BF26" i="6" l="1" a="1"/>
  <c r="BF26" i="6" s="1"/>
  <c r="S26" i="3"/>
  <c r="T26" i="3"/>
  <c r="S38" i="3"/>
  <c r="T38" i="3"/>
  <c r="S39" i="3"/>
  <c r="T39" i="3"/>
  <c r="S40" i="3"/>
  <c r="T40" i="3"/>
  <c r="S50" i="3"/>
  <c r="T50" i="3"/>
  <c r="S51" i="3"/>
  <c r="T51" i="3"/>
  <c r="S52" i="3"/>
  <c r="T52" i="3"/>
  <c r="S58" i="3"/>
  <c r="T58" i="3"/>
  <c r="S59" i="3"/>
  <c r="T59" i="3"/>
  <c r="S60" i="3"/>
  <c r="T60" i="3"/>
  <c r="S74" i="3"/>
  <c r="T74" i="3"/>
  <c r="S75" i="3"/>
  <c r="T75" i="3"/>
  <c r="S76" i="3"/>
  <c r="T76" i="3"/>
  <c r="BF27" i="6" l="1" a="1"/>
  <c r="BF27" i="6" s="1"/>
  <c r="S90" i="3"/>
  <c r="T90" i="3"/>
  <c r="BF28" i="6" l="1" a="1"/>
  <c r="BF28" i="6" s="1"/>
  <c r="BF29" i="6" l="1" a="1"/>
  <c r="BF29" i="6" s="1"/>
  <c r="T70" i="3"/>
  <c r="T36" i="3"/>
  <c r="T44" i="3"/>
  <c r="S54" i="3"/>
  <c r="S82" i="3"/>
  <c r="T31" i="3"/>
  <c r="T32" i="3"/>
  <c r="S35" i="3"/>
  <c r="S23" i="3"/>
  <c r="S56" i="3"/>
  <c r="S31" i="3"/>
  <c r="S78" i="3"/>
  <c r="S24" i="3"/>
  <c r="S36" i="3"/>
  <c r="S70" i="3"/>
  <c r="S86" i="3"/>
  <c r="T30" i="3"/>
  <c r="T63" i="3"/>
  <c r="T64" i="3"/>
  <c r="T43" i="3"/>
  <c r="T47" i="3"/>
  <c r="T48" i="3"/>
  <c r="T42" i="3"/>
  <c r="T35" i="3"/>
  <c r="T54" i="3"/>
  <c r="T34" i="3"/>
  <c r="S66" i="3"/>
  <c r="T62" i="3"/>
  <c r="T46" i="3"/>
  <c r="T66" i="3"/>
  <c r="T78" i="3"/>
  <c r="S28" i="3"/>
  <c r="S46" i="3"/>
  <c r="S63" i="3"/>
  <c r="S43" i="3"/>
  <c r="S48" i="3"/>
  <c r="S64" i="3"/>
  <c r="S30" i="3"/>
  <c r="S62" i="3"/>
  <c r="S55" i="3"/>
  <c r="S34" i="3"/>
  <c r="S47" i="3"/>
  <c r="T55" i="3"/>
  <c r="T56" i="3"/>
  <c r="S42" i="3"/>
  <c r="T86" i="3"/>
  <c r="T23" i="3"/>
  <c r="T24" i="3"/>
  <c r="S32" i="3"/>
  <c r="S27" i="3"/>
  <c r="T82" i="3"/>
  <c r="S44" i="3"/>
  <c r="T27" i="3"/>
  <c r="T28" i="3"/>
  <c r="BF30" i="6" l="1" a="1"/>
  <c r="BF30" i="6" s="1"/>
  <c r="BF31" i="6" l="1" a="1"/>
  <c r="BF31" i="6" s="1"/>
  <c r="T94" i="3"/>
  <c r="S94" i="3"/>
  <c r="BF32" i="6" l="1" a="1"/>
  <c r="BF32" i="6" s="1"/>
  <c r="BA101" i="6"/>
  <c r="BB101" i="6"/>
  <c r="BC101" i="6"/>
  <c r="BD101" i="6"/>
  <c r="BF33" i="6" l="1" a="1"/>
  <c r="BF33" i="6" s="1"/>
  <c r="S18" i="3"/>
  <c r="T18" i="3"/>
  <c r="S19" i="3"/>
  <c r="T19" i="3"/>
  <c r="S20" i="3"/>
  <c r="T20" i="3"/>
  <c r="BF34" i="6" l="1" a="1"/>
  <c r="BF34" i="6" s="1"/>
  <c r="T395" i="3"/>
  <c r="BF35" i="6" l="1" a="1"/>
  <c r="BF35" i="6" s="1"/>
  <c r="S11" i="3"/>
  <c r="S395" i="3"/>
  <c r="T11" i="3"/>
  <c r="BF36" i="6" l="1" a="1"/>
  <c r="BF36" i="6" s="1"/>
  <c r="BF37" i="6" l="1" a="1"/>
  <c r="BF37" i="6" s="1"/>
  <c r="T12" i="3"/>
  <c r="T396" i="3"/>
  <c r="S12" i="3"/>
  <c r="S396" i="3"/>
  <c r="T399" i="3" l="1"/>
  <c r="BF38" i="6" a="1"/>
  <c r="BF38" i="6" s="1"/>
  <c r="T14" i="3"/>
  <c r="T398" i="3"/>
  <c r="T15" i="3"/>
  <c r="BD5" i="6"/>
  <c r="BB5" i="6"/>
  <c r="BA5" i="6"/>
  <c r="BC5" i="6"/>
  <c r="BF39" i="6" l="1" a="1"/>
  <c r="BF39" i="6" s="1"/>
  <c r="S15" i="3"/>
  <c r="S399" i="3"/>
  <c r="S14" i="3"/>
  <c r="S398" i="3"/>
  <c r="BF40" i="6" l="1" a="1"/>
  <c r="BF40" i="6" s="1"/>
  <c r="T16" i="3"/>
  <c r="T400" i="3"/>
  <c r="BF41" i="6" l="1" a="1"/>
  <c r="BF41" i="6" s="1"/>
  <c r="S16" i="3"/>
  <c r="S400" i="3"/>
  <c r="BF42" i="6" l="1" a="1"/>
  <c r="BF42" i="6" s="1"/>
  <c r="BF43" i="6" l="1" a="1"/>
  <c r="BF43" i="6" s="1"/>
  <c r="BF44" i="6" l="1" a="1"/>
  <c r="BF44" i="6" s="1"/>
  <c r="BF45" i="6" l="1" a="1"/>
  <c r="BF45" i="6" s="1"/>
  <c r="BF46" i="6" l="1" a="1"/>
  <c r="BF46" i="6" s="1"/>
  <c r="BF47" i="6" l="1" a="1"/>
  <c r="BF47" i="6" s="1"/>
  <c r="BF48" i="6" l="1" a="1"/>
  <c r="BF48" i="6" s="1"/>
  <c r="BF49" i="6" l="1" a="1"/>
  <c r="BF49" i="6" s="1"/>
  <c r="BF50" i="6" l="1" a="1"/>
  <c r="BF50" i="6" s="1"/>
  <c r="BF51" i="6" l="1" a="1"/>
  <c r="BF51" i="6" s="1"/>
  <c r="BF52" i="6" l="1" a="1"/>
  <c r="BF52" i="6" s="1"/>
  <c r="BF53" i="6" l="1" a="1"/>
  <c r="BF53" i="6" s="1"/>
  <c r="BF54" i="6" l="1" a="1"/>
  <c r="BF54" i="6" s="1"/>
  <c r="BF55" i="6" l="1" a="1"/>
  <c r="BF55" i="6" s="1"/>
  <c r="BF56" i="6" l="1" a="1"/>
  <c r="BF56" i="6" s="1"/>
  <c r="BF57" i="6" l="1" a="1"/>
  <c r="BF57" i="6" s="1"/>
  <c r="BF58" i="6" l="1" a="1"/>
  <c r="BF58" i="6" s="1"/>
  <c r="BF59" i="6" l="1" a="1"/>
  <c r="BF59" i="6" s="1"/>
  <c r="BF60" i="6" l="1" a="1"/>
  <c r="BF60" i="6" s="1"/>
  <c r="BF61" i="6" l="1" a="1"/>
  <c r="BF61" i="6" s="1"/>
  <c r="BF62" i="6" l="1" a="1"/>
  <c r="BF62" i="6" s="1"/>
  <c r="BF63" i="6" l="1" a="1"/>
  <c r="BF63" i="6" s="1"/>
  <c r="BF64" i="6" l="1" a="1"/>
  <c r="BF64" i="6" s="1"/>
  <c r="BF65" i="6" l="1" a="1"/>
  <c r="BF65" i="6" s="1"/>
  <c r="BF66" i="6" l="1" a="1"/>
  <c r="BF66" i="6" s="1"/>
  <c r="BF67" i="6" l="1" a="1"/>
  <c r="BF67" i="6" s="1"/>
  <c r="BF68" i="6" l="1" a="1"/>
  <c r="BF68" i="6" s="1"/>
  <c r="BF69" i="6" l="1" a="1"/>
  <c r="BF69" i="6" s="1"/>
  <c r="BF70" i="6" l="1" a="1"/>
  <c r="BF70" i="6" s="1"/>
  <c r="BF71" i="6" l="1" a="1"/>
  <c r="BF71" i="6" s="1"/>
  <c r="BF72" i="6" l="1" a="1"/>
  <c r="BF72" i="6" s="1"/>
  <c r="BF73" i="6" l="1" a="1"/>
  <c r="BF73" i="6" s="1"/>
  <c r="BF74" i="6" l="1" a="1"/>
  <c r="BF74" i="6" s="1"/>
  <c r="BF75" i="6" l="1" a="1"/>
  <c r="BF75" i="6" s="1"/>
  <c r="BF76" i="6" l="1" a="1"/>
  <c r="BF76" i="6" s="1"/>
  <c r="BF77" i="6" l="1" a="1"/>
  <c r="BF77" i="6" s="1"/>
  <c r="BF78" i="6" l="1" a="1"/>
  <c r="BF78" i="6" s="1"/>
  <c r="BF79" i="6" l="1" a="1"/>
  <c r="BF79" i="6" s="1"/>
  <c r="BF80" i="6" l="1" a="1"/>
  <c r="BF80" i="6" s="1"/>
  <c r="BF81" i="6" l="1" a="1"/>
  <c r="BF81" i="6" s="1"/>
  <c r="BF82" i="6" l="1" a="1"/>
  <c r="BF82" i="6" s="1"/>
  <c r="BF83" i="6" l="1" a="1"/>
  <c r="BF83" i="6" s="1"/>
  <c r="BF84" i="6" l="1" a="1"/>
  <c r="BF84" i="6" s="1"/>
  <c r="BF85" i="6" l="1" a="1"/>
  <c r="BF85" i="6" s="1"/>
  <c r="BF86" i="6" l="1" a="1"/>
  <c r="BF86" i="6" s="1"/>
  <c r="BF87" i="6" l="1" a="1"/>
  <c r="BF87" i="6" s="1"/>
  <c r="BF88" i="6" l="1" a="1"/>
  <c r="BF88" i="6" s="1"/>
  <c r="BF89" i="6" l="1" a="1"/>
  <c r="BF89" i="6" s="1"/>
  <c r="BF90" i="6" l="1" a="1"/>
  <c r="BF90" i="6" s="1"/>
  <c r="BF91" i="6" l="1" a="1"/>
  <c r="BF91" i="6" s="1"/>
  <c r="BF92" i="6" l="1" a="1"/>
  <c r="BF92" i="6" s="1"/>
  <c r="BF93" i="6" l="1" a="1"/>
  <c r="BF93" i="6" s="1"/>
  <c r="BF94" i="6" l="1" a="1"/>
  <c r="BF94" i="6" s="1"/>
  <c r="BF95" i="6" l="1" a="1"/>
  <c r="BF95" i="6" s="1"/>
  <c r="BF96" i="6" l="1" a="1"/>
  <c r="BF96" i="6" s="1"/>
  <c r="BF97" i="6" l="1" a="1"/>
  <c r="BF97" i="6" s="1"/>
  <c r="BF98" i="6" l="1" a="1"/>
  <c r="BF98" i="6" s="1"/>
  <c r="BF99" i="6" l="1" a="1"/>
  <c r="BF99" i="6" s="1"/>
  <c r="BF100" i="6" l="1" a="1"/>
  <c r="BF100" i="6" s="1"/>
  <c r="BF101" i="6" l="1" a="1"/>
  <c r="BF101" i="6" s="1"/>
  <c r="BF102" i="6" s="1" a="1"/>
  <c r="BF102" i="6" s="1"/>
  <c r="L7" i="11" l="1"/>
  <c r="M7" i="11"/>
  <c r="N7" i="11"/>
  <c r="O7" i="11"/>
  <c r="P7" i="11"/>
  <c r="Q7" i="11"/>
  <c r="R7" i="11"/>
  <c r="AC7" i="11"/>
  <c r="AD7" i="11"/>
  <c r="AE7" i="11"/>
  <c r="AF7" i="11"/>
  <c r="AG7" i="11"/>
  <c r="AH7" i="11"/>
  <c r="AI7" i="11"/>
  <c r="AT7" i="11"/>
  <c r="AU7" i="11"/>
  <c r="AV7" i="11"/>
  <c r="AW7" i="11"/>
  <c r="AX7" i="11"/>
  <c r="AY7" i="11"/>
  <c r="AZ7" i="11"/>
  <c r="BK7" i="11"/>
  <c r="BL7" i="11"/>
  <c r="BM7" i="11"/>
  <c r="BN7" i="11"/>
  <c r="BO7" i="11"/>
  <c r="BP7" i="11"/>
  <c r="BQ7" i="11"/>
  <c r="CB7" i="11"/>
  <c r="CC7" i="11"/>
  <c r="CD7" i="11"/>
  <c r="CE7" i="11"/>
  <c r="CF7" i="11"/>
  <c r="CG7" i="11"/>
  <c r="CH7" i="11"/>
  <c r="CS7" i="11"/>
  <c r="CT7" i="11"/>
  <c r="CU7" i="11"/>
  <c r="CV7" i="11"/>
  <c r="CW7" i="11"/>
  <c r="CX7" i="11"/>
  <c r="CY7" i="11"/>
  <c r="DJ7" i="11"/>
  <c r="DK7" i="11"/>
  <c r="DL7" i="11"/>
  <c r="DM7" i="11"/>
  <c r="DN7" i="11"/>
  <c r="DO7" i="11"/>
  <c r="DP7" i="11"/>
  <c r="CE57" i="6"/>
  <c r="CF57" i="6"/>
  <c r="CG57" i="6"/>
  <c r="CH57" i="6"/>
  <c r="CI57" i="6"/>
  <c r="CJ57" i="6"/>
  <c r="CK57" i="6"/>
  <c r="DC57" i="6"/>
  <c r="DD57" i="6"/>
  <c r="DE57" i="6"/>
  <c r="DF57" i="6"/>
  <c r="DG57" i="6"/>
  <c r="DH57" i="6"/>
  <c r="DI57" i="6"/>
  <c r="EA57" i="6"/>
  <c r="EB57" i="6"/>
  <c r="EC57" i="6"/>
  <c r="ED57" i="6"/>
  <c r="EE57" i="6"/>
  <c r="EF57" i="6"/>
  <c r="EG57" i="6"/>
  <c r="EY57" i="6"/>
  <c r="EZ57" i="6"/>
  <c r="FA57" i="6"/>
  <c r="FB57" i="6"/>
  <c r="FC57" i="6"/>
  <c r="FD57" i="6"/>
  <c r="FE57" i="6"/>
  <c r="FW57" i="6"/>
  <c r="FX57" i="6"/>
  <c r="FY57" i="6"/>
  <c r="FZ57" i="6"/>
  <c r="GA57" i="6"/>
  <c r="GB57" i="6"/>
  <c r="GC57" i="6"/>
  <c r="GU57" i="6"/>
  <c r="GV57" i="6"/>
  <c r="GW57" i="6"/>
  <c r="GX57" i="6"/>
  <c r="GY57" i="6"/>
  <c r="GZ57" i="6"/>
  <c r="HA57" i="6"/>
  <c r="HS57" i="6"/>
  <c r="HT57" i="6"/>
  <c r="HU57" i="6"/>
  <c r="HV57" i="6"/>
  <c r="HW57" i="6"/>
  <c r="HX57" i="6"/>
  <c r="HY57" i="6"/>
  <c r="CE58" i="6"/>
  <c r="CF58" i="6"/>
  <c r="CG58" i="6"/>
  <c r="CH58" i="6"/>
  <c r="CI58" i="6"/>
  <c r="CJ58" i="6"/>
  <c r="CK58" i="6"/>
  <c r="DC58" i="6"/>
  <c r="DD58" i="6"/>
  <c r="DE58" i="6"/>
  <c r="DF58" i="6"/>
  <c r="DG58" i="6"/>
  <c r="DH58" i="6"/>
  <c r="DI58" i="6"/>
  <c r="EA58" i="6"/>
  <c r="EB58" i="6"/>
  <c r="EC58" i="6"/>
  <c r="ED58" i="6"/>
  <c r="EE58" i="6"/>
  <c r="EF58" i="6"/>
  <c r="EG58" i="6"/>
  <c r="EY58" i="6"/>
  <c r="EZ58" i="6"/>
  <c r="FA58" i="6"/>
  <c r="FB58" i="6"/>
  <c r="FC58" i="6"/>
  <c r="FD58" i="6"/>
  <c r="FE58" i="6"/>
  <c r="FW58" i="6"/>
  <c r="FX58" i="6"/>
  <c r="FY58" i="6"/>
  <c r="FZ58" i="6"/>
  <c r="GA58" i="6"/>
  <c r="GB58" i="6"/>
  <c r="GC58" i="6"/>
  <c r="GU58" i="6"/>
  <c r="GV58" i="6"/>
  <c r="GW58" i="6"/>
  <c r="GX58" i="6"/>
  <c r="GY58" i="6"/>
  <c r="GZ58" i="6"/>
  <c r="HA58" i="6"/>
  <c r="HS58" i="6"/>
  <c r="HT58" i="6"/>
  <c r="HU58" i="6"/>
  <c r="HV58" i="6"/>
  <c r="HW58" i="6"/>
  <c r="HX58" i="6"/>
  <c r="HY58" i="6"/>
  <c r="CE59" i="6"/>
  <c r="CF59" i="6"/>
  <c r="CG59" i="6"/>
  <c r="CH59" i="6"/>
  <c r="CI59" i="6"/>
  <c r="CJ59" i="6"/>
  <c r="CK59" i="6"/>
  <c r="DC59" i="6"/>
  <c r="DD59" i="6"/>
  <c r="DE59" i="6"/>
  <c r="DF59" i="6"/>
  <c r="DG59" i="6"/>
  <c r="DH59" i="6"/>
  <c r="DI59" i="6"/>
  <c r="EA59" i="6"/>
  <c r="EB59" i="6"/>
  <c r="EC59" i="6"/>
  <c r="ED59" i="6"/>
  <c r="EE59" i="6"/>
  <c r="EF59" i="6"/>
  <c r="EG59" i="6"/>
  <c r="EY59" i="6"/>
  <c r="EZ59" i="6"/>
  <c r="FA59" i="6"/>
  <c r="FB59" i="6"/>
  <c r="FC59" i="6"/>
  <c r="FD59" i="6"/>
  <c r="FE59" i="6"/>
  <c r="FW59" i="6"/>
  <c r="FX59" i="6"/>
  <c r="FY59" i="6"/>
  <c r="FZ59" i="6"/>
  <c r="GA59" i="6"/>
  <c r="GB59" i="6"/>
  <c r="GC59" i="6"/>
  <c r="GU59" i="6"/>
  <c r="GV59" i="6"/>
  <c r="GW59" i="6"/>
  <c r="GX59" i="6"/>
  <c r="GY59" i="6"/>
  <c r="GZ59" i="6"/>
  <c r="HA59" i="6"/>
  <c r="HS59" i="6"/>
  <c r="HT59" i="6"/>
  <c r="HU59" i="6"/>
  <c r="HV59" i="6"/>
  <c r="HW59" i="6"/>
  <c r="HX59" i="6"/>
  <c r="HY59" i="6"/>
  <c r="CE60" i="6"/>
  <c r="CF60" i="6"/>
  <c r="CG60" i="6"/>
  <c r="CH60" i="6"/>
  <c r="CI60" i="6"/>
  <c r="CJ60" i="6"/>
  <c r="CK60" i="6"/>
  <c r="DC60" i="6"/>
  <c r="DD60" i="6"/>
  <c r="DE60" i="6"/>
  <c r="DF60" i="6"/>
  <c r="DG60" i="6"/>
  <c r="DH60" i="6"/>
  <c r="DI60" i="6"/>
  <c r="EA60" i="6"/>
  <c r="EB60" i="6"/>
  <c r="EC60" i="6"/>
  <c r="ED60" i="6"/>
  <c r="EE60" i="6"/>
  <c r="EF60" i="6"/>
  <c r="EG60" i="6"/>
  <c r="EY60" i="6"/>
  <c r="EZ60" i="6"/>
  <c r="FA60" i="6"/>
  <c r="FB60" i="6"/>
  <c r="FC60" i="6"/>
  <c r="FD60" i="6"/>
  <c r="FE60" i="6"/>
  <c r="FW60" i="6"/>
  <c r="FX60" i="6"/>
  <c r="FY60" i="6"/>
  <c r="FZ60" i="6"/>
  <c r="GA60" i="6"/>
  <c r="GB60" i="6"/>
  <c r="GC60" i="6"/>
  <c r="GU60" i="6"/>
  <c r="GV60" i="6"/>
  <c r="GW60" i="6"/>
  <c r="GX60" i="6"/>
  <c r="GY60" i="6"/>
  <c r="GZ60" i="6"/>
  <c r="HA60" i="6"/>
  <c r="HS60" i="6"/>
  <c r="HT60" i="6"/>
  <c r="HU60" i="6"/>
  <c r="HV60" i="6"/>
  <c r="HW60" i="6"/>
  <c r="HX60" i="6"/>
  <c r="HY60" i="6"/>
  <c r="CE61" i="6"/>
  <c r="CF61" i="6"/>
  <c r="CG61" i="6"/>
  <c r="CH61" i="6"/>
  <c r="CI61" i="6"/>
  <c r="CJ61" i="6"/>
  <c r="CK61" i="6"/>
  <c r="DC61" i="6"/>
  <c r="DD61" i="6"/>
  <c r="DE61" i="6"/>
  <c r="DF61" i="6"/>
  <c r="DG61" i="6"/>
  <c r="DH61" i="6"/>
  <c r="DI61" i="6"/>
  <c r="EA61" i="6"/>
  <c r="EB61" i="6"/>
  <c r="EC61" i="6"/>
  <c r="ED61" i="6"/>
  <c r="EE61" i="6"/>
  <c r="EF61" i="6"/>
  <c r="EG61" i="6"/>
  <c r="EY61" i="6"/>
  <c r="EZ61" i="6"/>
  <c r="FA61" i="6"/>
  <c r="FB61" i="6"/>
  <c r="FC61" i="6"/>
  <c r="FD61" i="6"/>
  <c r="FE61" i="6"/>
  <c r="FW61" i="6"/>
  <c r="FX61" i="6"/>
  <c r="FY61" i="6"/>
  <c r="FZ61" i="6"/>
  <c r="GA61" i="6"/>
  <c r="GB61" i="6"/>
  <c r="GC61" i="6"/>
  <c r="GU61" i="6"/>
  <c r="GV61" i="6"/>
  <c r="GW61" i="6"/>
  <c r="GX61" i="6"/>
  <c r="GY61" i="6"/>
  <c r="GZ61" i="6"/>
  <c r="HA61" i="6"/>
  <c r="HS61" i="6"/>
  <c r="HT61" i="6"/>
  <c r="HU61" i="6"/>
  <c r="HV61" i="6"/>
  <c r="HW61" i="6"/>
  <c r="HX61" i="6"/>
  <c r="HY61" i="6"/>
  <c r="CE62" i="6"/>
  <c r="CF62" i="6"/>
  <c r="CG62" i="6"/>
  <c r="CH62" i="6"/>
  <c r="CI62" i="6"/>
  <c r="CJ62" i="6"/>
  <c r="CK62" i="6"/>
  <c r="DC62" i="6"/>
  <c r="DD62" i="6"/>
  <c r="DE62" i="6"/>
  <c r="DF62" i="6"/>
  <c r="DG62" i="6"/>
  <c r="DH62" i="6"/>
  <c r="DI62" i="6"/>
  <c r="EA62" i="6"/>
  <c r="EB62" i="6"/>
  <c r="EC62" i="6"/>
  <c r="ED62" i="6"/>
  <c r="EE62" i="6"/>
  <c r="EF62" i="6"/>
  <c r="EG62" i="6"/>
  <c r="EY62" i="6"/>
  <c r="EZ62" i="6"/>
  <c r="FA62" i="6"/>
  <c r="FB62" i="6"/>
  <c r="FC62" i="6"/>
  <c r="FD62" i="6"/>
  <c r="FE62" i="6"/>
  <c r="FW62" i="6"/>
  <c r="FX62" i="6"/>
  <c r="FY62" i="6"/>
  <c r="FZ62" i="6"/>
  <c r="GA62" i="6"/>
  <c r="GB62" i="6"/>
  <c r="GC62" i="6"/>
  <c r="GU62" i="6"/>
  <c r="GV62" i="6"/>
  <c r="GW62" i="6"/>
  <c r="GX62" i="6"/>
  <c r="GY62" i="6"/>
  <c r="GZ62" i="6"/>
  <c r="HA62" i="6"/>
  <c r="HS62" i="6"/>
  <c r="HT62" i="6"/>
  <c r="HU62" i="6"/>
  <c r="HV62" i="6"/>
  <c r="HW62" i="6"/>
  <c r="HX62" i="6"/>
  <c r="HY62" i="6"/>
  <c r="CE63" i="6"/>
  <c r="CF63" i="6"/>
  <c r="CG63" i="6"/>
  <c r="CH63" i="6"/>
  <c r="CI63" i="6"/>
  <c r="CJ63" i="6"/>
  <c r="CK63" i="6"/>
  <c r="DC63" i="6"/>
  <c r="DD63" i="6"/>
  <c r="DE63" i="6"/>
  <c r="DF63" i="6"/>
  <c r="DG63" i="6"/>
  <c r="DH63" i="6"/>
  <c r="DI63" i="6"/>
  <c r="EA63" i="6"/>
  <c r="EB63" i="6"/>
  <c r="EC63" i="6"/>
  <c r="ED63" i="6"/>
  <c r="EE63" i="6"/>
  <c r="EF63" i="6"/>
  <c r="EG63" i="6"/>
  <c r="EY63" i="6"/>
  <c r="EZ63" i="6"/>
  <c r="FA63" i="6"/>
  <c r="FB63" i="6"/>
  <c r="FC63" i="6"/>
  <c r="FD63" i="6"/>
  <c r="FE63" i="6"/>
  <c r="FW63" i="6"/>
  <c r="FX63" i="6"/>
  <c r="FY63" i="6"/>
  <c r="FZ63" i="6"/>
  <c r="GA63" i="6"/>
  <c r="GB63" i="6"/>
  <c r="GC63" i="6"/>
  <c r="GU63" i="6"/>
  <c r="GV63" i="6"/>
  <c r="GW63" i="6"/>
  <c r="GX63" i="6"/>
  <c r="GY63" i="6"/>
  <c r="GZ63" i="6"/>
  <c r="HA63" i="6"/>
  <c r="HS63" i="6"/>
  <c r="HT63" i="6"/>
  <c r="HU63" i="6"/>
  <c r="HV63" i="6"/>
  <c r="HW63" i="6"/>
  <c r="HX63" i="6"/>
  <c r="HY63" i="6"/>
  <c r="CE64" i="6"/>
  <c r="CF64" i="6"/>
  <c r="CG64" i="6"/>
  <c r="CH64" i="6"/>
  <c r="CI64" i="6"/>
  <c r="CJ64" i="6"/>
  <c r="CK64" i="6"/>
  <c r="DC64" i="6"/>
  <c r="DD64" i="6"/>
  <c r="DE64" i="6"/>
  <c r="DF64" i="6"/>
  <c r="DG64" i="6"/>
  <c r="DH64" i="6"/>
  <c r="DI64" i="6"/>
  <c r="EA64" i="6"/>
  <c r="EB64" i="6"/>
  <c r="EC64" i="6"/>
  <c r="ED64" i="6"/>
  <c r="EE64" i="6"/>
  <c r="EF64" i="6"/>
  <c r="EG64" i="6"/>
  <c r="EY64" i="6"/>
  <c r="EZ64" i="6"/>
  <c r="FA64" i="6"/>
  <c r="FB64" i="6"/>
  <c r="FC64" i="6"/>
  <c r="FD64" i="6"/>
  <c r="FE64" i="6"/>
  <c r="FW64" i="6"/>
  <c r="FX64" i="6"/>
  <c r="FY64" i="6"/>
  <c r="FZ64" i="6"/>
  <c r="GA64" i="6"/>
  <c r="GB64" i="6"/>
  <c r="GC64" i="6"/>
  <c r="GU64" i="6"/>
  <c r="GV64" i="6"/>
  <c r="GW64" i="6"/>
  <c r="GX64" i="6"/>
  <c r="GY64" i="6"/>
  <c r="GZ64" i="6"/>
  <c r="HA64" i="6"/>
  <c r="HS64" i="6"/>
  <c r="HT64" i="6"/>
  <c r="HU64" i="6"/>
  <c r="HV64" i="6"/>
  <c r="HW64" i="6"/>
  <c r="HX64" i="6"/>
  <c r="HY64" i="6"/>
  <c r="CE65" i="6"/>
  <c r="CF65" i="6"/>
  <c r="CG65" i="6"/>
  <c r="CH65" i="6"/>
  <c r="CI65" i="6"/>
  <c r="CJ65" i="6"/>
  <c r="CK65" i="6"/>
  <c r="DC65" i="6"/>
  <c r="DD65" i="6"/>
  <c r="DE65" i="6"/>
  <c r="DF65" i="6"/>
  <c r="DG65" i="6"/>
  <c r="DH65" i="6"/>
  <c r="DI65" i="6"/>
  <c r="EA65" i="6"/>
  <c r="EB65" i="6"/>
  <c r="EC65" i="6"/>
  <c r="ED65" i="6"/>
  <c r="EE65" i="6"/>
  <c r="EF65" i="6"/>
  <c r="EG65" i="6"/>
  <c r="EY65" i="6"/>
  <c r="EZ65" i="6"/>
  <c r="FA65" i="6"/>
  <c r="FB65" i="6"/>
  <c r="FC65" i="6"/>
  <c r="FD65" i="6"/>
  <c r="FE65" i="6"/>
  <c r="FW65" i="6"/>
  <c r="FX65" i="6"/>
  <c r="FY65" i="6"/>
  <c r="FZ65" i="6"/>
  <c r="GA65" i="6"/>
  <c r="GB65" i="6"/>
  <c r="GC65" i="6"/>
  <c r="GU65" i="6"/>
  <c r="GV65" i="6"/>
  <c r="GW65" i="6"/>
  <c r="GX65" i="6"/>
  <c r="GY65" i="6"/>
  <c r="GZ65" i="6"/>
  <c r="HA65" i="6"/>
  <c r="HS65" i="6"/>
  <c r="HT65" i="6"/>
  <c r="HU65" i="6"/>
  <c r="HV65" i="6"/>
  <c r="HW65" i="6"/>
  <c r="HX65" i="6"/>
  <c r="HY65" i="6"/>
  <c r="CE66" i="6"/>
  <c r="CF66" i="6"/>
  <c r="CG66" i="6"/>
  <c r="CH66" i="6"/>
  <c r="CI66" i="6"/>
  <c r="CJ66" i="6"/>
  <c r="CK66" i="6"/>
  <c r="DC66" i="6"/>
  <c r="DD66" i="6"/>
  <c r="DE66" i="6"/>
  <c r="DF66" i="6"/>
  <c r="DG66" i="6"/>
  <c r="DH66" i="6"/>
  <c r="DI66" i="6"/>
  <c r="EA66" i="6"/>
  <c r="EB66" i="6"/>
  <c r="EC66" i="6"/>
  <c r="ED66" i="6"/>
  <c r="EE66" i="6"/>
  <c r="EF66" i="6"/>
  <c r="EG66" i="6"/>
  <c r="EY66" i="6"/>
  <c r="EZ66" i="6"/>
  <c r="FA66" i="6"/>
  <c r="FB66" i="6"/>
  <c r="FC66" i="6"/>
  <c r="FD66" i="6"/>
  <c r="FE66" i="6"/>
  <c r="FW66" i="6"/>
  <c r="FX66" i="6"/>
  <c r="FY66" i="6"/>
  <c r="FZ66" i="6"/>
  <c r="GA66" i="6"/>
  <c r="GB66" i="6"/>
  <c r="GC66" i="6"/>
  <c r="GU66" i="6"/>
  <c r="GV66" i="6"/>
  <c r="GW66" i="6"/>
  <c r="GX66" i="6"/>
  <c r="GY66" i="6"/>
  <c r="GZ66" i="6"/>
  <c r="HA66" i="6"/>
  <c r="HS66" i="6"/>
  <c r="HT66" i="6"/>
  <c r="HU66" i="6"/>
  <c r="HV66" i="6"/>
  <c r="HW66" i="6"/>
  <c r="HX66" i="6"/>
  <c r="HY66" i="6"/>
  <c r="CE67" i="6"/>
  <c r="CF67" i="6"/>
  <c r="CG67" i="6"/>
  <c r="CH67" i="6"/>
  <c r="CI67" i="6"/>
  <c r="CJ67" i="6"/>
  <c r="CK67" i="6"/>
  <c r="DC67" i="6"/>
  <c r="DD67" i="6"/>
  <c r="DE67" i="6"/>
  <c r="DF67" i="6"/>
  <c r="DG67" i="6"/>
  <c r="DH67" i="6"/>
  <c r="DI67" i="6"/>
  <c r="EA67" i="6"/>
  <c r="EB67" i="6"/>
  <c r="EC67" i="6"/>
  <c r="ED67" i="6"/>
  <c r="EE67" i="6"/>
  <c r="EF67" i="6"/>
  <c r="EG67" i="6"/>
  <c r="EY67" i="6"/>
  <c r="EZ67" i="6"/>
  <c r="FA67" i="6"/>
  <c r="FB67" i="6"/>
  <c r="FC67" i="6"/>
  <c r="FD67" i="6"/>
  <c r="FE67" i="6"/>
  <c r="FW67" i="6"/>
  <c r="FX67" i="6"/>
  <c r="FY67" i="6"/>
  <c r="FZ67" i="6"/>
  <c r="GA67" i="6"/>
  <c r="GB67" i="6"/>
  <c r="GC67" i="6"/>
  <c r="GU67" i="6"/>
  <c r="GV67" i="6"/>
  <c r="GW67" i="6"/>
  <c r="GX67" i="6"/>
  <c r="GY67" i="6"/>
  <c r="GZ67" i="6"/>
  <c r="HA67" i="6"/>
  <c r="HS67" i="6"/>
  <c r="HT67" i="6"/>
  <c r="HU67" i="6"/>
  <c r="HV67" i="6"/>
  <c r="HW67" i="6"/>
  <c r="HX67" i="6"/>
  <c r="HY67" i="6"/>
  <c r="CE68" i="6"/>
  <c r="CF68" i="6"/>
  <c r="CG68" i="6"/>
  <c r="CH68" i="6"/>
  <c r="CI68" i="6"/>
  <c r="CJ68" i="6"/>
  <c r="CK68" i="6"/>
  <c r="DC68" i="6"/>
  <c r="DD68" i="6"/>
  <c r="DE68" i="6"/>
  <c r="DF68" i="6"/>
  <c r="DG68" i="6"/>
  <c r="DH68" i="6"/>
  <c r="DI68" i="6"/>
  <c r="EA68" i="6"/>
  <c r="EB68" i="6"/>
  <c r="EC68" i="6"/>
  <c r="ED68" i="6"/>
  <c r="EE68" i="6"/>
  <c r="EF68" i="6"/>
  <c r="EG68" i="6"/>
  <c r="EY68" i="6"/>
  <c r="EZ68" i="6"/>
  <c r="FA68" i="6"/>
  <c r="FB68" i="6"/>
  <c r="FC68" i="6"/>
  <c r="FD68" i="6"/>
  <c r="FE68" i="6"/>
  <c r="FW68" i="6"/>
  <c r="FX68" i="6"/>
  <c r="FY68" i="6"/>
  <c r="FZ68" i="6"/>
  <c r="GA68" i="6"/>
  <c r="GB68" i="6"/>
  <c r="GC68" i="6"/>
  <c r="GU68" i="6"/>
  <c r="GV68" i="6"/>
  <c r="GW68" i="6"/>
  <c r="GX68" i="6"/>
  <c r="GY68" i="6"/>
  <c r="GZ68" i="6"/>
  <c r="HA68" i="6"/>
  <c r="HS68" i="6"/>
  <c r="HT68" i="6"/>
  <c r="HU68" i="6"/>
  <c r="HV68" i="6"/>
  <c r="HW68" i="6"/>
  <c r="HX68" i="6"/>
  <c r="HY68" i="6"/>
  <c r="CE69" i="6"/>
  <c r="CF69" i="6"/>
  <c r="CG69" i="6"/>
  <c r="CH69" i="6"/>
  <c r="CI69" i="6"/>
  <c r="CJ69" i="6"/>
  <c r="CK69" i="6"/>
  <c r="DC69" i="6"/>
  <c r="DD69" i="6"/>
  <c r="DE69" i="6"/>
  <c r="DF69" i="6"/>
  <c r="DG69" i="6"/>
  <c r="DH69" i="6"/>
  <c r="DI69" i="6"/>
  <c r="EA69" i="6"/>
  <c r="EB69" i="6"/>
  <c r="EC69" i="6"/>
  <c r="ED69" i="6"/>
  <c r="EE69" i="6"/>
  <c r="EF69" i="6"/>
  <c r="EG69" i="6"/>
  <c r="EY69" i="6"/>
  <c r="EZ69" i="6"/>
  <c r="FA69" i="6"/>
  <c r="FB69" i="6"/>
  <c r="FC69" i="6"/>
  <c r="FD69" i="6"/>
  <c r="FE69" i="6"/>
  <c r="FW69" i="6"/>
  <c r="FX69" i="6"/>
  <c r="FY69" i="6"/>
  <c r="FZ69" i="6"/>
  <c r="GA69" i="6"/>
  <c r="GB69" i="6"/>
  <c r="GC69" i="6"/>
  <c r="GU69" i="6"/>
  <c r="GV69" i="6"/>
  <c r="GW69" i="6"/>
  <c r="GX69" i="6"/>
  <c r="GY69" i="6"/>
  <c r="GZ69" i="6"/>
  <c r="HA69" i="6"/>
  <c r="HS69" i="6"/>
  <c r="HT69" i="6"/>
  <c r="HU69" i="6"/>
  <c r="HV69" i="6"/>
  <c r="HW69" i="6"/>
  <c r="HX69" i="6"/>
  <c r="HY69" i="6"/>
  <c r="CE70" i="6"/>
  <c r="CF70" i="6"/>
  <c r="CG70" i="6"/>
  <c r="CH70" i="6"/>
  <c r="CI70" i="6"/>
  <c r="CJ70" i="6"/>
  <c r="CK70" i="6"/>
  <c r="DC70" i="6"/>
  <c r="DD70" i="6"/>
  <c r="DE70" i="6"/>
  <c r="DF70" i="6"/>
  <c r="DG70" i="6"/>
  <c r="DH70" i="6"/>
  <c r="DI70" i="6"/>
  <c r="EA70" i="6"/>
  <c r="EB70" i="6"/>
  <c r="EC70" i="6"/>
  <c r="ED70" i="6"/>
  <c r="EE70" i="6"/>
  <c r="EF70" i="6"/>
  <c r="EG70" i="6"/>
  <c r="EY70" i="6"/>
  <c r="EZ70" i="6"/>
  <c r="FA70" i="6"/>
  <c r="FB70" i="6"/>
  <c r="FC70" i="6"/>
  <c r="FD70" i="6"/>
  <c r="FE70" i="6"/>
  <c r="FW70" i="6"/>
  <c r="FX70" i="6"/>
  <c r="FY70" i="6"/>
  <c r="FZ70" i="6"/>
  <c r="GA70" i="6"/>
  <c r="GB70" i="6"/>
  <c r="GC70" i="6"/>
  <c r="GU70" i="6"/>
  <c r="GV70" i="6"/>
  <c r="GW70" i="6"/>
  <c r="GX70" i="6"/>
  <c r="GY70" i="6"/>
  <c r="GZ70" i="6"/>
  <c r="HA70" i="6"/>
  <c r="HS70" i="6"/>
  <c r="HT70" i="6"/>
  <c r="HU70" i="6"/>
  <c r="HV70" i="6"/>
  <c r="HW70" i="6"/>
  <c r="HX70" i="6"/>
  <c r="HY70" i="6"/>
  <c r="CE71" i="6"/>
  <c r="CF71" i="6"/>
  <c r="CG71" i="6"/>
  <c r="CH71" i="6"/>
  <c r="CI71" i="6"/>
  <c r="CJ71" i="6"/>
  <c r="CK71" i="6"/>
  <c r="DC71" i="6"/>
  <c r="DD71" i="6"/>
  <c r="DE71" i="6"/>
  <c r="DF71" i="6"/>
  <c r="DG71" i="6"/>
  <c r="DH71" i="6"/>
  <c r="DI71" i="6"/>
  <c r="EA71" i="6"/>
  <c r="EB71" i="6"/>
  <c r="EC71" i="6"/>
  <c r="ED71" i="6"/>
  <c r="EE71" i="6"/>
  <c r="EF71" i="6"/>
  <c r="EG71" i="6"/>
  <c r="EY71" i="6"/>
  <c r="EZ71" i="6"/>
  <c r="FA71" i="6"/>
  <c r="FB71" i="6"/>
  <c r="FC71" i="6"/>
  <c r="FD71" i="6"/>
  <c r="FE71" i="6"/>
  <c r="FW71" i="6"/>
  <c r="FX71" i="6"/>
  <c r="FY71" i="6"/>
  <c r="FZ71" i="6"/>
  <c r="GA71" i="6"/>
  <c r="GB71" i="6"/>
  <c r="GC71" i="6"/>
  <c r="GU71" i="6"/>
  <c r="GV71" i="6"/>
  <c r="GW71" i="6"/>
  <c r="GX71" i="6"/>
  <c r="GY71" i="6"/>
  <c r="GZ71" i="6"/>
  <c r="HA71" i="6"/>
  <c r="HS71" i="6"/>
  <c r="HT71" i="6"/>
  <c r="HU71" i="6"/>
  <c r="HV71" i="6"/>
  <c r="HW71" i="6"/>
  <c r="HX71" i="6"/>
  <c r="HY71" i="6"/>
  <c r="CE72" i="6"/>
  <c r="CF72" i="6"/>
  <c r="CG72" i="6"/>
  <c r="CH72" i="6"/>
  <c r="CI72" i="6"/>
  <c r="CJ72" i="6"/>
  <c r="CK72" i="6"/>
  <c r="DC72" i="6"/>
  <c r="DD72" i="6"/>
  <c r="DE72" i="6"/>
  <c r="DF72" i="6"/>
  <c r="DG72" i="6"/>
  <c r="DH72" i="6"/>
  <c r="DI72" i="6"/>
  <c r="EA72" i="6"/>
  <c r="EB72" i="6"/>
  <c r="EC72" i="6"/>
  <c r="ED72" i="6"/>
  <c r="EE72" i="6"/>
  <c r="EF72" i="6"/>
  <c r="EG72" i="6"/>
  <c r="EY72" i="6"/>
  <c r="EZ72" i="6"/>
  <c r="FA72" i="6"/>
  <c r="FB72" i="6"/>
  <c r="FC72" i="6"/>
  <c r="FD72" i="6"/>
  <c r="FE72" i="6"/>
  <c r="FW72" i="6"/>
  <c r="FX72" i="6"/>
  <c r="FY72" i="6"/>
  <c r="FZ72" i="6"/>
  <c r="GA72" i="6"/>
  <c r="GB72" i="6"/>
  <c r="GC72" i="6"/>
  <c r="GU72" i="6"/>
  <c r="GV72" i="6"/>
  <c r="GW72" i="6"/>
  <c r="GX72" i="6"/>
  <c r="GY72" i="6"/>
  <c r="GZ72" i="6"/>
  <c r="HA72" i="6"/>
  <c r="HS72" i="6"/>
  <c r="HT72" i="6"/>
  <c r="HU72" i="6"/>
  <c r="HV72" i="6"/>
  <c r="HW72" i="6"/>
  <c r="HX72" i="6"/>
  <c r="HY72" i="6"/>
  <c r="CE73" i="6"/>
  <c r="CF73" i="6"/>
  <c r="CG73" i="6"/>
  <c r="CH73" i="6"/>
  <c r="CI73" i="6"/>
  <c r="CJ73" i="6"/>
  <c r="CK73" i="6"/>
  <c r="DC73" i="6"/>
  <c r="DD73" i="6"/>
  <c r="DE73" i="6"/>
  <c r="DF73" i="6"/>
  <c r="DG73" i="6"/>
  <c r="DH73" i="6"/>
  <c r="DI73" i="6"/>
  <c r="EA73" i="6"/>
  <c r="EB73" i="6"/>
  <c r="EC73" i="6"/>
  <c r="ED73" i="6"/>
  <c r="EE73" i="6"/>
  <c r="EF73" i="6"/>
  <c r="EG73" i="6"/>
  <c r="EY73" i="6"/>
  <c r="EZ73" i="6"/>
  <c r="FA73" i="6"/>
  <c r="FB73" i="6"/>
  <c r="FC73" i="6"/>
  <c r="FD73" i="6"/>
  <c r="FE73" i="6"/>
  <c r="FW73" i="6"/>
  <c r="FX73" i="6"/>
  <c r="FY73" i="6"/>
  <c r="FZ73" i="6"/>
  <c r="GA73" i="6"/>
  <c r="GB73" i="6"/>
  <c r="GC73" i="6"/>
  <c r="GU73" i="6"/>
  <c r="GV73" i="6"/>
  <c r="GW73" i="6"/>
  <c r="GX73" i="6"/>
  <c r="GY73" i="6"/>
  <c r="GZ73" i="6"/>
  <c r="HA73" i="6"/>
  <c r="HS73" i="6"/>
  <c r="HT73" i="6"/>
  <c r="HU73" i="6"/>
  <c r="HV73" i="6"/>
  <c r="HW73" i="6"/>
  <c r="HX73" i="6"/>
  <c r="HY73" i="6"/>
  <c r="CE74" i="6"/>
  <c r="CF74" i="6"/>
  <c r="CG74" i="6"/>
  <c r="CH74" i="6"/>
  <c r="CI74" i="6"/>
  <c r="CJ74" i="6"/>
  <c r="CK74" i="6"/>
  <c r="DC74" i="6"/>
  <c r="DD74" i="6"/>
  <c r="DE74" i="6"/>
  <c r="DF74" i="6"/>
  <c r="DG74" i="6"/>
  <c r="DH74" i="6"/>
  <c r="DI74" i="6"/>
  <c r="EA74" i="6"/>
  <c r="EB74" i="6"/>
  <c r="EC74" i="6"/>
  <c r="ED74" i="6"/>
  <c r="EE74" i="6"/>
  <c r="EF74" i="6"/>
  <c r="EG74" i="6"/>
  <c r="EY74" i="6"/>
  <c r="EZ74" i="6"/>
  <c r="FA74" i="6"/>
  <c r="FB74" i="6"/>
  <c r="FC74" i="6"/>
  <c r="FD74" i="6"/>
  <c r="FE74" i="6"/>
  <c r="FW74" i="6"/>
  <c r="FX74" i="6"/>
  <c r="FY74" i="6"/>
  <c r="FZ74" i="6"/>
  <c r="GA74" i="6"/>
  <c r="GB74" i="6"/>
  <c r="GC74" i="6"/>
  <c r="GU74" i="6"/>
  <c r="GV74" i="6"/>
  <c r="GW74" i="6"/>
  <c r="GX74" i="6"/>
  <c r="GY74" i="6"/>
  <c r="GZ74" i="6"/>
  <c r="HA74" i="6"/>
  <c r="HS74" i="6"/>
  <c r="HT74" i="6"/>
  <c r="HU74" i="6"/>
  <c r="HV74" i="6"/>
  <c r="HW74" i="6"/>
  <c r="HX74" i="6"/>
  <c r="HY74" i="6"/>
  <c r="CE75" i="6"/>
  <c r="CF75" i="6"/>
  <c r="CG75" i="6"/>
  <c r="CH75" i="6"/>
  <c r="CI75" i="6"/>
  <c r="CJ75" i="6"/>
  <c r="CK75" i="6"/>
  <c r="DC75" i="6"/>
  <c r="DD75" i="6"/>
  <c r="DE75" i="6"/>
  <c r="DF75" i="6"/>
  <c r="DG75" i="6"/>
  <c r="DH75" i="6"/>
  <c r="DI75" i="6"/>
  <c r="EA75" i="6"/>
  <c r="EB75" i="6"/>
  <c r="EC75" i="6"/>
  <c r="ED75" i="6"/>
  <c r="EE75" i="6"/>
  <c r="EF75" i="6"/>
  <c r="EG75" i="6"/>
  <c r="EY75" i="6"/>
  <c r="EZ75" i="6"/>
  <c r="FA75" i="6"/>
  <c r="FB75" i="6"/>
  <c r="FC75" i="6"/>
  <c r="FD75" i="6"/>
  <c r="FE75" i="6"/>
  <c r="FW75" i="6"/>
  <c r="FX75" i="6"/>
  <c r="FY75" i="6"/>
  <c r="FZ75" i="6"/>
  <c r="GA75" i="6"/>
  <c r="GB75" i="6"/>
  <c r="GC75" i="6"/>
  <c r="GU75" i="6"/>
  <c r="GV75" i="6"/>
  <c r="GW75" i="6"/>
  <c r="GX75" i="6"/>
  <c r="GY75" i="6"/>
  <c r="GZ75" i="6"/>
  <c r="HA75" i="6"/>
  <c r="HS75" i="6"/>
  <c r="HT75" i="6"/>
  <c r="HU75" i="6"/>
  <c r="HV75" i="6"/>
  <c r="HW75" i="6"/>
  <c r="HX75" i="6"/>
  <c r="HY75" i="6"/>
  <c r="CE76" i="6"/>
  <c r="CF76" i="6"/>
  <c r="CG76" i="6"/>
  <c r="CH76" i="6"/>
  <c r="CI76" i="6"/>
  <c r="CJ76" i="6"/>
  <c r="CK76" i="6"/>
  <c r="DC76" i="6"/>
  <c r="DD76" i="6"/>
  <c r="DE76" i="6"/>
  <c r="DF76" i="6"/>
  <c r="DG76" i="6"/>
  <c r="DH76" i="6"/>
  <c r="DI76" i="6"/>
  <c r="EA76" i="6"/>
  <c r="EB76" i="6"/>
  <c r="EC76" i="6"/>
  <c r="ED76" i="6"/>
  <c r="EE76" i="6"/>
  <c r="EF76" i="6"/>
  <c r="EG76" i="6"/>
  <c r="EY76" i="6"/>
  <c r="EZ76" i="6"/>
  <c r="FA76" i="6"/>
  <c r="FB76" i="6"/>
  <c r="FC76" i="6"/>
  <c r="FD76" i="6"/>
  <c r="FE76" i="6"/>
  <c r="FW76" i="6"/>
  <c r="FX76" i="6"/>
  <c r="FY76" i="6"/>
  <c r="FZ76" i="6"/>
  <c r="GA76" i="6"/>
  <c r="GB76" i="6"/>
  <c r="GC76" i="6"/>
  <c r="GU76" i="6"/>
  <c r="GV76" i="6"/>
  <c r="GW76" i="6"/>
  <c r="GX76" i="6"/>
  <c r="GY76" i="6"/>
  <c r="GZ76" i="6"/>
  <c r="HA76" i="6"/>
  <c r="HS76" i="6"/>
  <c r="HT76" i="6"/>
  <c r="HU76" i="6"/>
  <c r="HV76" i="6"/>
  <c r="HW76" i="6"/>
  <c r="HX76" i="6"/>
  <c r="HY76" i="6"/>
  <c r="CE77" i="6"/>
  <c r="CF77" i="6"/>
  <c r="CG77" i="6"/>
  <c r="CH77" i="6"/>
  <c r="CI77" i="6"/>
  <c r="CJ77" i="6"/>
  <c r="CK77" i="6"/>
  <c r="DC77" i="6"/>
  <c r="DD77" i="6"/>
  <c r="DE77" i="6"/>
  <c r="DF77" i="6"/>
  <c r="DG77" i="6"/>
  <c r="DH77" i="6"/>
  <c r="DI77" i="6"/>
  <c r="EA77" i="6"/>
  <c r="EB77" i="6"/>
  <c r="EC77" i="6"/>
  <c r="ED77" i="6"/>
  <c r="EE77" i="6"/>
  <c r="EF77" i="6"/>
  <c r="EG77" i="6"/>
  <c r="EY77" i="6"/>
  <c r="EZ77" i="6"/>
  <c r="FA77" i="6"/>
  <c r="FB77" i="6"/>
  <c r="FC77" i="6"/>
  <c r="FD77" i="6"/>
  <c r="FE77" i="6"/>
  <c r="FW77" i="6"/>
  <c r="FX77" i="6"/>
  <c r="FY77" i="6"/>
  <c r="FZ77" i="6"/>
  <c r="GA77" i="6"/>
  <c r="GB77" i="6"/>
  <c r="GC77" i="6"/>
  <c r="GU77" i="6"/>
  <c r="GV77" i="6"/>
  <c r="GW77" i="6"/>
  <c r="GX77" i="6"/>
  <c r="GY77" i="6"/>
  <c r="GZ77" i="6"/>
  <c r="HA77" i="6"/>
  <c r="HS77" i="6"/>
  <c r="HT77" i="6"/>
  <c r="HU77" i="6"/>
  <c r="HV77" i="6"/>
  <c r="HW77" i="6"/>
  <c r="HX77" i="6"/>
  <c r="HY77" i="6"/>
  <c r="CE78" i="6"/>
  <c r="CF78" i="6"/>
  <c r="CG78" i="6"/>
  <c r="CH78" i="6"/>
  <c r="CI78" i="6"/>
  <c r="CJ78" i="6"/>
  <c r="CK78" i="6"/>
  <c r="DC78" i="6"/>
  <c r="DD78" i="6"/>
  <c r="DE78" i="6"/>
  <c r="DF78" i="6"/>
  <c r="DG78" i="6"/>
  <c r="DH78" i="6"/>
  <c r="DI78" i="6"/>
  <c r="EA78" i="6"/>
  <c r="EB78" i="6"/>
  <c r="EC78" i="6"/>
  <c r="ED78" i="6"/>
  <c r="EE78" i="6"/>
  <c r="EF78" i="6"/>
  <c r="EG78" i="6"/>
  <c r="EY78" i="6"/>
  <c r="EZ78" i="6"/>
  <c r="FA78" i="6"/>
  <c r="FB78" i="6"/>
  <c r="FC78" i="6"/>
  <c r="FD78" i="6"/>
  <c r="FE78" i="6"/>
  <c r="FW78" i="6"/>
  <c r="FX78" i="6"/>
  <c r="FY78" i="6"/>
  <c r="FZ78" i="6"/>
  <c r="GA78" i="6"/>
  <c r="GB78" i="6"/>
  <c r="GC78" i="6"/>
  <c r="GU78" i="6"/>
  <c r="GV78" i="6"/>
  <c r="GW78" i="6"/>
  <c r="GX78" i="6"/>
  <c r="GY78" i="6"/>
  <c r="GZ78" i="6"/>
  <c r="HA78" i="6"/>
  <c r="HS78" i="6"/>
  <c r="HT78" i="6"/>
  <c r="HU78" i="6"/>
  <c r="HV78" i="6"/>
  <c r="HW78" i="6"/>
  <c r="HX78" i="6"/>
  <c r="HY78" i="6"/>
  <c r="CE79" i="6"/>
  <c r="CF79" i="6"/>
  <c r="CG79" i="6"/>
  <c r="CH79" i="6"/>
  <c r="CI79" i="6"/>
  <c r="CJ79" i="6"/>
  <c r="CK79" i="6"/>
  <c r="DC79" i="6"/>
  <c r="DD79" i="6"/>
  <c r="DE79" i="6"/>
  <c r="DF79" i="6"/>
  <c r="DG79" i="6"/>
  <c r="DH79" i="6"/>
  <c r="DI79" i="6"/>
  <c r="EA79" i="6"/>
  <c r="EB79" i="6"/>
  <c r="EC79" i="6"/>
  <c r="ED79" i="6"/>
  <c r="EE79" i="6"/>
  <c r="EF79" i="6"/>
  <c r="EG79" i="6"/>
  <c r="EY79" i="6"/>
  <c r="EZ79" i="6"/>
  <c r="FA79" i="6"/>
  <c r="FB79" i="6"/>
  <c r="FC79" i="6"/>
  <c r="FD79" i="6"/>
  <c r="FE79" i="6"/>
  <c r="FW79" i="6"/>
  <c r="FX79" i="6"/>
  <c r="FY79" i="6"/>
  <c r="FZ79" i="6"/>
  <c r="GA79" i="6"/>
  <c r="GB79" i="6"/>
  <c r="GC79" i="6"/>
  <c r="GU79" i="6"/>
  <c r="GV79" i="6"/>
  <c r="GW79" i="6"/>
  <c r="GX79" i="6"/>
  <c r="GY79" i="6"/>
  <c r="GZ79" i="6"/>
  <c r="HA79" i="6"/>
  <c r="HS79" i="6"/>
  <c r="HT79" i="6"/>
  <c r="HU79" i="6"/>
  <c r="HV79" i="6"/>
  <c r="HW79" i="6"/>
  <c r="HX79" i="6"/>
  <c r="HY79" i="6"/>
  <c r="CE80" i="6"/>
  <c r="CF80" i="6"/>
  <c r="CG80" i="6"/>
  <c r="CH80" i="6"/>
  <c r="CI80" i="6"/>
  <c r="CJ80" i="6"/>
  <c r="CK80" i="6"/>
  <c r="DC80" i="6"/>
  <c r="DD80" i="6"/>
  <c r="DE80" i="6"/>
  <c r="DF80" i="6"/>
  <c r="DG80" i="6"/>
  <c r="DH80" i="6"/>
  <c r="DI80" i="6"/>
  <c r="EA80" i="6"/>
  <c r="EB80" i="6"/>
  <c r="EC80" i="6"/>
  <c r="ED80" i="6"/>
  <c r="EE80" i="6"/>
  <c r="EF80" i="6"/>
  <c r="EG80" i="6"/>
  <c r="EY80" i="6"/>
  <c r="EZ80" i="6"/>
  <c r="FA80" i="6"/>
  <c r="FB80" i="6"/>
  <c r="FC80" i="6"/>
  <c r="FD80" i="6"/>
  <c r="FE80" i="6"/>
  <c r="FW80" i="6"/>
  <c r="FX80" i="6"/>
  <c r="FY80" i="6"/>
  <c r="FZ80" i="6"/>
  <c r="GA80" i="6"/>
  <c r="GB80" i="6"/>
  <c r="GC80" i="6"/>
  <c r="GU80" i="6"/>
  <c r="GV80" i="6"/>
  <c r="GW80" i="6"/>
  <c r="GX80" i="6"/>
  <c r="GY80" i="6"/>
  <c r="GZ80" i="6"/>
  <c r="HA80" i="6"/>
  <c r="HS80" i="6"/>
  <c r="HT80" i="6"/>
  <c r="HU80" i="6"/>
  <c r="HV80" i="6"/>
  <c r="HW80" i="6"/>
  <c r="HX80" i="6"/>
  <c r="HY80" i="6"/>
  <c r="CE81" i="6"/>
  <c r="CF81" i="6"/>
  <c r="CG81" i="6"/>
  <c r="CH81" i="6"/>
  <c r="CI81" i="6"/>
  <c r="CJ81" i="6"/>
  <c r="CK81" i="6"/>
  <c r="DC81" i="6"/>
  <c r="DD81" i="6"/>
  <c r="DE81" i="6"/>
  <c r="DF81" i="6"/>
  <c r="DG81" i="6"/>
  <c r="DH81" i="6"/>
  <c r="DI81" i="6"/>
  <c r="EA81" i="6"/>
  <c r="EB81" i="6"/>
  <c r="EC81" i="6"/>
  <c r="ED81" i="6"/>
  <c r="EE81" i="6"/>
  <c r="EF81" i="6"/>
  <c r="EG81" i="6"/>
  <c r="EY81" i="6"/>
  <c r="EZ81" i="6"/>
  <c r="FA81" i="6"/>
  <c r="FB81" i="6"/>
  <c r="FC81" i="6"/>
  <c r="FD81" i="6"/>
  <c r="FE81" i="6"/>
  <c r="FW81" i="6"/>
  <c r="FX81" i="6"/>
  <c r="FY81" i="6"/>
  <c r="FZ81" i="6"/>
  <c r="GA81" i="6"/>
  <c r="GB81" i="6"/>
  <c r="GC81" i="6"/>
  <c r="GU81" i="6"/>
  <c r="GV81" i="6"/>
  <c r="GW81" i="6"/>
  <c r="GX81" i="6"/>
  <c r="GY81" i="6"/>
  <c r="GZ81" i="6"/>
  <c r="HA81" i="6"/>
  <c r="HS81" i="6"/>
  <c r="HT81" i="6"/>
  <c r="HU81" i="6"/>
  <c r="HV81" i="6"/>
  <c r="HW81" i="6"/>
  <c r="HX81" i="6"/>
  <c r="HY81" i="6"/>
  <c r="CE82" i="6"/>
  <c r="CF82" i="6"/>
  <c r="CG82" i="6"/>
  <c r="CH82" i="6"/>
  <c r="CI82" i="6"/>
  <c r="CJ82" i="6"/>
  <c r="CK82" i="6"/>
  <c r="DC82" i="6"/>
  <c r="DD82" i="6"/>
  <c r="DE82" i="6"/>
  <c r="DF82" i="6"/>
  <c r="DG82" i="6"/>
  <c r="DH82" i="6"/>
  <c r="DI82" i="6"/>
  <c r="EA82" i="6"/>
  <c r="EB82" i="6"/>
  <c r="EC82" i="6"/>
  <c r="ED82" i="6"/>
  <c r="EE82" i="6"/>
  <c r="EF82" i="6"/>
  <c r="EG82" i="6"/>
  <c r="EY82" i="6"/>
  <c r="EZ82" i="6"/>
  <c r="FA82" i="6"/>
  <c r="FB82" i="6"/>
  <c r="FC82" i="6"/>
  <c r="FD82" i="6"/>
  <c r="FE82" i="6"/>
  <c r="FW82" i="6"/>
  <c r="FX82" i="6"/>
  <c r="FY82" i="6"/>
  <c r="FZ82" i="6"/>
  <c r="GA82" i="6"/>
  <c r="GB82" i="6"/>
  <c r="GC82" i="6"/>
  <c r="GU82" i="6"/>
  <c r="GV82" i="6"/>
  <c r="GW82" i="6"/>
  <c r="GX82" i="6"/>
  <c r="GY82" i="6"/>
  <c r="GZ82" i="6"/>
  <c r="HA82" i="6"/>
  <c r="HS82" i="6"/>
  <c r="HT82" i="6"/>
  <c r="HU82" i="6"/>
  <c r="HV82" i="6"/>
  <c r="HW82" i="6"/>
  <c r="HX82" i="6"/>
  <c r="HY82" i="6"/>
  <c r="CE83" i="6"/>
  <c r="CF83" i="6"/>
  <c r="CG83" i="6"/>
  <c r="CH83" i="6"/>
  <c r="CI83" i="6"/>
  <c r="CJ83" i="6"/>
  <c r="CK83" i="6"/>
  <c r="DC83" i="6"/>
  <c r="DD83" i="6"/>
  <c r="DE83" i="6"/>
  <c r="DF83" i="6"/>
  <c r="DG83" i="6"/>
  <c r="DH83" i="6"/>
  <c r="DI83" i="6"/>
  <c r="EA83" i="6"/>
  <c r="EB83" i="6"/>
  <c r="EC83" i="6"/>
  <c r="ED83" i="6"/>
  <c r="EE83" i="6"/>
  <c r="EF83" i="6"/>
  <c r="EG83" i="6"/>
  <c r="EY83" i="6"/>
  <c r="EZ83" i="6"/>
  <c r="FA83" i="6"/>
  <c r="FB83" i="6"/>
  <c r="FC83" i="6"/>
  <c r="FD83" i="6"/>
  <c r="FE83" i="6"/>
  <c r="FW83" i="6"/>
  <c r="FX83" i="6"/>
  <c r="FY83" i="6"/>
  <c r="FZ83" i="6"/>
  <c r="GA83" i="6"/>
  <c r="GB83" i="6"/>
  <c r="GC83" i="6"/>
  <c r="GU83" i="6"/>
  <c r="GV83" i="6"/>
  <c r="GW83" i="6"/>
  <c r="GX83" i="6"/>
  <c r="GY83" i="6"/>
  <c r="GZ83" i="6"/>
  <c r="HA83" i="6"/>
  <c r="HS83" i="6"/>
  <c r="HT83" i="6"/>
  <c r="HU83" i="6"/>
  <c r="HV83" i="6"/>
  <c r="HW83" i="6"/>
  <c r="HX83" i="6"/>
  <c r="HY83" i="6"/>
  <c r="CE84" i="6"/>
  <c r="CF84" i="6"/>
  <c r="CG84" i="6"/>
  <c r="CH84" i="6"/>
  <c r="CI84" i="6"/>
  <c r="CJ84" i="6"/>
  <c r="CK84" i="6"/>
  <c r="DC84" i="6"/>
  <c r="DD84" i="6"/>
  <c r="DE84" i="6"/>
  <c r="DF84" i="6"/>
  <c r="DG84" i="6"/>
  <c r="DH84" i="6"/>
  <c r="DI84" i="6"/>
  <c r="EA84" i="6"/>
  <c r="EB84" i="6"/>
  <c r="EC84" i="6"/>
  <c r="ED84" i="6"/>
  <c r="EE84" i="6"/>
  <c r="EF84" i="6"/>
  <c r="EG84" i="6"/>
  <c r="EY84" i="6"/>
  <c r="EZ84" i="6"/>
  <c r="FA84" i="6"/>
  <c r="FB84" i="6"/>
  <c r="FC84" i="6"/>
  <c r="FD84" i="6"/>
  <c r="FE84" i="6"/>
  <c r="FW84" i="6"/>
  <c r="FX84" i="6"/>
  <c r="FY84" i="6"/>
  <c r="FZ84" i="6"/>
  <c r="GA84" i="6"/>
  <c r="GB84" i="6"/>
  <c r="GC84" i="6"/>
  <c r="GU84" i="6"/>
  <c r="GV84" i="6"/>
  <c r="GW84" i="6"/>
  <c r="GX84" i="6"/>
  <c r="GY84" i="6"/>
  <c r="GZ84" i="6"/>
  <c r="HA84" i="6"/>
  <c r="HS84" i="6"/>
  <c r="HT84" i="6"/>
  <c r="HU84" i="6"/>
  <c r="HV84" i="6"/>
  <c r="HW84" i="6"/>
  <c r="HX84" i="6"/>
  <c r="HY84" i="6"/>
  <c r="CE85" i="6"/>
  <c r="CF85" i="6"/>
  <c r="CG85" i="6"/>
  <c r="CH85" i="6"/>
  <c r="CI85" i="6"/>
  <c r="CJ85" i="6"/>
  <c r="CK85" i="6"/>
  <c r="DC85" i="6"/>
  <c r="DD85" i="6"/>
  <c r="DE85" i="6"/>
  <c r="DF85" i="6"/>
  <c r="DG85" i="6"/>
  <c r="DH85" i="6"/>
  <c r="DI85" i="6"/>
  <c r="EA85" i="6"/>
  <c r="EB85" i="6"/>
  <c r="EC85" i="6"/>
  <c r="ED85" i="6"/>
  <c r="EE85" i="6"/>
  <c r="EF85" i="6"/>
  <c r="EG85" i="6"/>
  <c r="EY85" i="6"/>
  <c r="EZ85" i="6"/>
  <c r="FA85" i="6"/>
  <c r="FB85" i="6"/>
  <c r="FC85" i="6"/>
  <c r="FD85" i="6"/>
  <c r="FE85" i="6"/>
  <c r="FW85" i="6"/>
  <c r="FX85" i="6"/>
  <c r="FY85" i="6"/>
  <c r="FZ85" i="6"/>
  <c r="GA85" i="6"/>
  <c r="GB85" i="6"/>
  <c r="GC85" i="6"/>
  <c r="GU85" i="6"/>
  <c r="GV85" i="6"/>
  <c r="GW85" i="6"/>
  <c r="GX85" i="6"/>
  <c r="GY85" i="6"/>
  <c r="GZ85" i="6"/>
  <c r="HA85" i="6"/>
  <c r="HS85" i="6"/>
  <c r="HT85" i="6"/>
  <c r="HU85" i="6"/>
  <c r="HV85" i="6"/>
  <c r="HW85" i="6"/>
  <c r="HX85" i="6"/>
  <c r="HY85" i="6"/>
  <c r="CE86" i="6"/>
  <c r="CF86" i="6"/>
  <c r="CG86" i="6"/>
  <c r="CH86" i="6"/>
  <c r="CI86" i="6"/>
  <c r="CJ86" i="6"/>
  <c r="CK86" i="6"/>
  <c r="DC86" i="6"/>
  <c r="DD86" i="6"/>
  <c r="DE86" i="6"/>
  <c r="DF86" i="6"/>
  <c r="DG86" i="6"/>
  <c r="DH86" i="6"/>
  <c r="DI86" i="6"/>
  <c r="EA86" i="6"/>
  <c r="EB86" i="6"/>
  <c r="EC86" i="6"/>
  <c r="ED86" i="6"/>
  <c r="EE86" i="6"/>
  <c r="EF86" i="6"/>
  <c r="EG86" i="6"/>
  <c r="EY86" i="6"/>
  <c r="EZ86" i="6"/>
  <c r="FA86" i="6"/>
  <c r="FB86" i="6"/>
  <c r="FC86" i="6"/>
  <c r="FD86" i="6"/>
  <c r="FE86" i="6"/>
  <c r="FW86" i="6"/>
  <c r="FX86" i="6"/>
  <c r="FY86" i="6"/>
  <c r="FZ86" i="6"/>
  <c r="GA86" i="6"/>
  <c r="GB86" i="6"/>
  <c r="GC86" i="6"/>
  <c r="GU86" i="6"/>
  <c r="GV86" i="6"/>
  <c r="GW86" i="6"/>
  <c r="GX86" i="6"/>
  <c r="GY86" i="6"/>
  <c r="GZ86" i="6"/>
  <c r="HA86" i="6"/>
  <c r="HS86" i="6"/>
  <c r="HT86" i="6"/>
  <c r="HU86" i="6"/>
  <c r="HV86" i="6"/>
  <c r="HW86" i="6"/>
  <c r="HX86" i="6"/>
  <c r="HY86" i="6"/>
  <c r="CE87" i="6"/>
  <c r="CF87" i="6"/>
  <c r="CG87" i="6"/>
  <c r="CH87" i="6"/>
  <c r="CI87" i="6"/>
  <c r="CJ87" i="6"/>
  <c r="CK87" i="6"/>
  <c r="DC87" i="6"/>
  <c r="DD87" i="6"/>
  <c r="DE87" i="6"/>
  <c r="DF87" i="6"/>
  <c r="DG87" i="6"/>
  <c r="DH87" i="6"/>
  <c r="DI87" i="6"/>
  <c r="EA87" i="6"/>
  <c r="EB87" i="6"/>
  <c r="EC87" i="6"/>
  <c r="ED87" i="6"/>
  <c r="EE87" i="6"/>
  <c r="EF87" i="6"/>
  <c r="EG87" i="6"/>
  <c r="EY87" i="6"/>
  <c r="EZ87" i="6"/>
  <c r="FA87" i="6"/>
  <c r="FB87" i="6"/>
  <c r="FC87" i="6"/>
  <c r="FD87" i="6"/>
  <c r="FE87" i="6"/>
  <c r="FW87" i="6"/>
  <c r="FX87" i="6"/>
  <c r="FY87" i="6"/>
  <c r="FZ87" i="6"/>
  <c r="GA87" i="6"/>
  <c r="GB87" i="6"/>
  <c r="GC87" i="6"/>
  <c r="GU87" i="6"/>
  <c r="GV87" i="6"/>
  <c r="GW87" i="6"/>
  <c r="GX87" i="6"/>
  <c r="GY87" i="6"/>
  <c r="GZ87" i="6"/>
  <c r="HA87" i="6"/>
  <c r="HS87" i="6"/>
  <c r="HT87" i="6"/>
  <c r="HU87" i="6"/>
  <c r="HV87" i="6"/>
  <c r="HW87" i="6"/>
  <c r="HX87" i="6"/>
  <c r="HY87" i="6"/>
  <c r="CE88" i="6"/>
  <c r="CF88" i="6"/>
  <c r="CG88" i="6"/>
  <c r="CH88" i="6"/>
  <c r="CI88" i="6"/>
  <c r="CJ88" i="6"/>
  <c r="CK88" i="6"/>
  <c r="DC88" i="6"/>
  <c r="DD88" i="6"/>
  <c r="DE88" i="6"/>
  <c r="DF88" i="6"/>
  <c r="DG88" i="6"/>
  <c r="DH88" i="6"/>
  <c r="DI88" i="6"/>
  <c r="EA88" i="6"/>
  <c r="EB88" i="6"/>
  <c r="EC88" i="6"/>
  <c r="ED88" i="6"/>
  <c r="EE88" i="6"/>
  <c r="EF88" i="6"/>
  <c r="EG88" i="6"/>
  <c r="EY88" i="6"/>
  <c r="EZ88" i="6"/>
  <c r="FA88" i="6"/>
  <c r="FB88" i="6"/>
  <c r="FC88" i="6"/>
  <c r="FD88" i="6"/>
  <c r="FE88" i="6"/>
  <c r="FW88" i="6"/>
  <c r="FX88" i="6"/>
  <c r="FY88" i="6"/>
  <c r="FZ88" i="6"/>
  <c r="GA88" i="6"/>
  <c r="GB88" i="6"/>
  <c r="GC88" i="6"/>
  <c r="GU88" i="6"/>
  <c r="GV88" i="6"/>
  <c r="GW88" i="6"/>
  <c r="GX88" i="6"/>
  <c r="GY88" i="6"/>
  <c r="GZ88" i="6"/>
  <c r="HA88" i="6"/>
  <c r="HS88" i="6"/>
  <c r="HT88" i="6"/>
  <c r="HU88" i="6"/>
  <c r="HV88" i="6"/>
  <c r="HW88" i="6"/>
  <c r="HX88" i="6"/>
  <c r="HY88" i="6"/>
  <c r="CE89" i="6"/>
  <c r="CF89" i="6"/>
  <c r="CG89" i="6"/>
  <c r="CH89" i="6"/>
  <c r="CI89" i="6"/>
  <c r="CJ89" i="6"/>
  <c r="CK89" i="6"/>
  <c r="DC89" i="6"/>
  <c r="DD89" i="6"/>
  <c r="DE89" i="6"/>
  <c r="DF89" i="6"/>
  <c r="DG89" i="6"/>
  <c r="DH89" i="6"/>
  <c r="DI89" i="6"/>
  <c r="EA89" i="6"/>
  <c r="EB89" i="6"/>
  <c r="EC89" i="6"/>
  <c r="ED89" i="6"/>
  <c r="EE89" i="6"/>
  <c r="EF89" i="6"/>
  <c r="EG89" i="6"/>
  <c r="EY89" i="6"/>
  <c r="EZ89" i="6"/>
  <c r="FA89" i="6"/>
  <c r="FB89" i="6"/>
  <c r="FC89" i="6"/>
  <c r="FD89" i="6"/>
  <c r="FE89" i="6"/>
  <c r="FW89" i="6"/>
  <c r="FX89" i="6"/>
  <c r="FY89" i="6"/>
  <c r="FZ89" i="6"/>
  <c r="GA89" i="6"/>
  <c r="GB89" i="6"/>
  <c r="GC89" i="6"/>
  <c r="GU89" i="6"/>
  <c r="GV89" i="6"/>
  <c r="GW89" i="6"/>
  <c r="GX89" i="6"/>
  <c r="GY89" i="6"/>
  <c r="GZ89" i="6"/>
  <c r="HA89" i="6"/>
  <c r="HS89" i="6"/>
  <c r="HT89" i="6"/>
  <c r="HU89" i="6"/>
  <c r="HV89" i="6"/>
  <c r="HW89" i="6"/>
  <c r="HX89" i="6"/>
  <c r="HY89" i="6"/>
  <c r="CE90" i="6"/>
  <c r="CF90" i="6"/>
  <c r="CG90" i="6"/>
  <c r="CH90" i="6"/>
  <c r="CI90" i="6"/>
  <c r="CJ90" i="6"/>
  <c r="CK90" i="6"/>
  <c r="DC90" i="6"/>
  <c r="DD90" i="6"/>
  <c r="DE90" i="6"/>
  <c r="DF90" i="6"/>
  <c r="DG90" i="6"/>
  <c r="DH90" i="6"/>
  <c r="DI90" i="6"/>
  <c r="EA90" i="6"/>
  <c r="EB90" i="6"/>
  <c r="EC90" i="6"/>
  <c r="ED90" i="6"/>
  <c r="EE90" i="6"/>
  <c r="EF90" i="6"/>
  <c r="EG90" i="6"/>
  <c r="EY90" i="6"/>
  <c r="EZ90" i="6"/>
  <c r="FA90" i="6"/>
  <c r="FB90" i="6"/>
  <c r="FC90" i="6"/>
  <c r="FD90" i="6"/>
  <c r="FE90" i="6"/>
  <c r="FW90" i="6"/>
  <c r="FX90" i="6"/>
  <c r="FY90" i="6"/>
  <c r="FZ90" i="6"/>
  <c r="GA90" i="6"/>
  <c r="GB90" i="6"/>
  <c r="GC90" i="6"/>
  <c r="GU90" i="6"/>
  <c r="GV90" i="6"/>
  <c r="GW90" i="6"/>
  <c r="GX90" i="6"/>
  <c r="GY90" i="6"/>
  <c r="GZ90" i="6"/>
  <c r="HA90" i="6"/>
  <c r="HS90" i="6"/>
  <c r="HT90" i="6"/>
  <c r="HU90" i="6"/>
  <c r="HV90" i="6"/>
  <c r="HW90" i="6"/>
  <c r="HX90" i="6"/>
  <c r="HY90" i="6"/>
  <c r="CE91" i="6"/>
  <c r="CF91" i="6"/>
  <c r="CG91" i="6"/>
  <c r="CH91" i="6"/>
  <c r="CI91" i="6"/>
  <c r="CJ91" i="6"/>
  <c r="CK91" i="6"/>
  <c r="DC91" i="6"/>
  <c r="DD91" i="6"/>
  <c r="DE91" i="6"/>
  <c r="DF91" i="6"/>
  <c r="DG91" i="6"/>
  <c r="DH91" i="6"/>
  <c r="DI91" i="6"/>
  <c r="EA91" i="6"/>
  <c r="EB91" i="6"/>
  <c r="EC91" i="6"/>
  <c r="ED91" i="6"/>
  <c r="EE91" i="6"/>
  <c r="EF91" i="6"/>
  <c r="EG91" i="6"/>
  <c r="EY91" i="6"/>
  <c r="EZ91" i="6"/>
  <c r="FA91" i="6"/>
  <c r="FB91" i="6"/>
  <c r="FC91" i="6"/>
  <c r="FD91" i="6"/>
  <c r="FE91" i="6"/>
  <c r="FW91" i="6"/>
  <c r="FX91" i="6"/>
  <c r="FY91" i="6"/>
  <c r="FZ91" i="6"/>
  <c r="GA91" i="6"/>
  <c r="GB91" i="6"/>
  <c r="GC91" i="6"/>
  <c r="GU91" i="6"/>
  <c r="GV91" i="6"/>
  <c r="GW91" i="6"/>
  <c r="GX91" i="6"/>
  <c r="GY91" i="6"/>
  <c r="GZ91" i="6"/>
  <c r="HA91" i="6"/>
  <c r="HS91" i="6"/>
  <c r="HT91" i="6"/>
  <c r="HU91" i="6"/>
  <c r="HV91" i="6"/>
  <c r="HW91" i="6"/>
  <c r="HX91" i="6"/>
  <c r="HY91" i="6"/>
  <c r="CE92" i="6"/>
  <c r="CF92" i="6"/>
  <c r="CG92" i="6"/>
  <c r="CH92" i="6"/>
  <c r="CI92" i="6"/>
  <c r="CJ92" i="6"/>
  <c r="CK92" i="6"/>
  <c r="DC92" i="6"/>
  <c r="DD92" i="6"/>
  <c r="DE92" i="6"/>
  <c r="DF92" i="6"/>
  <c r="DG92" i="6"/>
  <c r="DH92" i="6"/>
  <c r="DI92" i="6"/>
  <c r="EA92" i="6"/>
  <c r="EB92" i="6"/>
  <c r="EC92" i="6"/>
  <c r="ED92" i="6"/>
  <c r="EE92" i="6"/>
  <c r="EF92" i="6"/>
  <c r="EG92" i="6"/>
  <c r="EY92" i="6"/>
  <c r="EZ92" i="6"/>
  <c r="FA92" i="6"/>
  <c r="FB92" i="6"/>
  <c r="FC92" i="6"/>
  <c r="FD92" i="6"/>
  <c r="FE92" i="6"/>
  <c r="FW92" i="6"/>
  <c r="FX92" i="6"/>
  <c r="FY92" i="6"/>
  <c r="FZ92" i="6"/>
  <c r="GA92" i="6"/>
  <c r="GB92" i="6"/>
  <c r="GC92" i="6"/>
  <c r="GU92" i="6"/>
  <c r="GV92" i="6"/>
  <c r="GW92" i="6"/>
  <c r="GX92" i="6"/>
  <c r="GY92" i="6"/>
  <c r="GZ92" i="6"/>
  <c r="HA92" i="6"/>
  <c r="HS92" i="6"/>
  <c r="HT92" i="6"/>
  <c r="HU92" i="6"/>
  <c r="HV92" i="6"/>
  <c r="HW92" i="6"/>
  <c r="HX92" i="6"/>
  <c r="HY92" i="6"/>
  <c r="CE93" i="6"/>
  <c r="CF93" i="6"/>
  <c r="CG93" i="6"/>
  <c r="CH93" i="6"/>
  <c r="CI93" i="6"/>
  <c r="CJ93" i="6"/>
  <c r="CK93" i="6"/>
  <c r="DC93" i="6"/>
  <c r="DD93" i="6"/>
  <c r="DE93" i="6"/>
  <c r="DF93" i="6"/>
  <c r="DG93" i="6"/>
  <c r="DH93" i="6"/>
  <c r="DI93" i="6"/>
  <c r="EA93" i="6"/>
  <c r="EB93" i="6"/>
  <c r="EC93" i="6"/>
  <c r="ED93" i="6"/>
  <c r="EE93" i="6"/>
  <c r="EF93" i="6"/>
  <c r="EG93" i="6"/>
  <c r="EY93" i="6"/>
  <c r="EZ93" i="6"/>
  <c r="FA93" i="6"/>
  <c r="FB93" i="6"/>
  <c r="FC93" i="6"/>
  <c r="FD93" i="6"/>
  <c r="FE93" i="6"/>
  <c r="FW93" i="6"/>
  <c r="FX93" i="6"/>
  <c r="FY93" i="6"/>
  <c r="FZ93" i="6"/>
  <c r="GA93" i="6"/>
  <c r="GB93" i="6"/>
  <c r="GC93" i="6"/>
  <c r="GU93" i="6"/>
  <c r="GV93" i="6"/>
  <c r="GW93" i="6"/>
  <c r="GX93" i="6"/>
  <c r="GY93" i="6"/>
  <c r="GZ93" i="6"/>
  <c r="HA93" i="6"/>
  <c r="HS93" i="6"/>
  <c r="HT93" i="6"/>
  <c r="HU93" i="6"/>
  <c r="HV93" i="6"/>
  <c r="HW93" i="6"/>
  <c r="HX93" i="6"/>
  <c r="HY93" i="6"/>
  <c r="CE94" i="6"/>
  <c r="CF94" i="6"/>
  <c r="CG94" i="6"/>
  <c r="CH94" i="6"/>
  <c r="CI94" i="6"/>
  <c r="CJ94" i="6"/>
  <c r="CK94" i="6"/>
  <c r="DC94" i="6"/>
  <c r="DD94" i="6"/>
  <c r="DE94" i="6"/>
  <c r="DF94" i="6"/>
  <c r="DG94" i="6"/>
  <c r="DH94" i="6"/>
  <c r="DI94" i="6"/>
  <c r="EA94" i="6"/>
  <c r="EB94" i="6"/>
  <c r="EC94" i="6"/>
  <c r="ED94" i="6"/>
  <c r="EE94" i="6"/>
  <c r="EF94" i="6"/>
  <c r="EG94" i="6"/>
  <c r="EY94" i="6"/>
  <c r="EZ94" i="6"/>
  <c r="FA94" i="6"/>
  <c r="FB94" i="6"/>
  <c r="FC94" i="6"/>
  <c r="FD94" i="6"/>
  <c r="FE94" i="6"/>
  <c r="FW94" i="6"/>
  <c r="FX94" i="6"/>
  <c r="FY94" i="6"/>
  <c r="FZ94" i="6"/>
  <c r="GA94" i="6"/>
  <c r="GB94" i="6"/>
  <c r="GC94" i="6"/>
  <c r="GU94" i="6"/>
  <c r="GV94" i="6"/>
  <c r="GW94" i="6"/>
  <c r="GX94" i="6"/>
  <c r="GY94" i="6"/>
  <c r="GZ94" i="6"/>
  <c r="HA94" i="6"/>
  <c r="HS94" i="6"/>
  <c r="HT94" i="6"/>
  <c r="HU94" i="6"/>
  <c r="HV94" i="6"/>
  <c r="HW94" i="6"/>
  <c r="HX94" i="6"/>
  <c r="HY94" i="6"/>
  <c r="CE95" i="6"/>
  <c r="CF95" i="6"/>
  <c r="CG95" i="6"/>
  <c r="CH95" i="6"/>
  <c r="CI95" i="6"/>
  <c r="CJ95" i="6"/>
  <c r="CK95" i="6"/>
  <c r="DC95" i="6"/>
  <c r="DD95" i="6"/>
  <c r="DE95" i="6"/>
  <c r="DF95" i="6"/>
  <c r="DG95" i="6"/>
  <c r="DH95" i="6"/>
  <c r="DI95" i="6"/>
  <c r="EA95" i="6"/>
  <c r="EB95" i="6"/>
  <c r="EC95" i="6"/>
  <c r="ED95" i="6"/>
  <c r="EE95" i="6"/>
  <c r="EF95" i="6"/>
  <c r="EG95" i="6"/>
  <c r="EY95" i="6"/>
  <c r="EZ95" i="6"/>
  <c r="FA95" i="6"/>
  <c r="FB95" i="6"/>
  <c r="FC95" i="6"/>
  <c r="FD95" i="6"/>
  <c r="FE95" i="6"/>
  <c r="FW95" i="6"/>
  <c r="FX95" i="6"/>
  <c r="FY95" i="6"/>
  <c r="FZ95" i="6"/>
  <c r="GA95" i="6"/>
  <c r="GB95" i="6"/>
  <c r="GC95" i="6"/>
  <c r="GU95" i="6"/>
  <c r="GV95" i="6"/>
  <c r="GW95" i="6"/>
  <c r="GX95" i="6"/>
  <c r="GY95" i="6"/>
  <c r="GZ95" i="6"/>
  <c r="HA95" i="6"/>
  <c r="HS95" i="6"/>
  <c r="HT95" i="6"/>
  <c r="HU95" i="6"/>
  <c r="HV95" i="6"/>
  <c r="HW95" i="6"/>
  <c r="HX95" i="6"/>
  <c r="HY95" i="6"/>
  <c r="CE96" i="6"/>
  <c r="CF96" i="6"/>
  <c r="CG96" i="6"/>
  <c r="CH96" i="6"/>
  <c r="CI96" i="6"/>
  <c r="CJ96" i="6"/>
  <c r="CK96" i="6"/>
  <c r="DC96" i="6"/>
  <c r="DD96" i="6"/>
  <c r="DE96" i="6"/>
  <c r="DF96" i="6"/>
  <c r="DG96" i="6"/>
  <c r="DH96" i="6"/>
  <c r="DI96" i="6"/>
  <c r="EA96" i="6"/>
  <c r="EB96" i="6"/>
  <c r="EC96" i="6"/>
  <c r="ED96" i="6"/>
  <c r="EE96" i="6"/>
  <c r="EF96" i="6"/>
  <c r="EG96" i="6"/>
  <c r="EY96" i="6"/>
  <c r="EZ96" i="6"/>
  <c r="FA96" i="6"/>
  <c r="FB96" i="6"/>
  <c r="FC96" i="6"/>
  <c r="FD96" i="6"/>
  <c r="FE96" i="6"/>
  <c r="FW96" i="6"/>
  <c r="FX96" i="6"/>
  <c r="FY96" i="6"/>
  <c r="FZ96" i="6"/>
  <c r="GA96" i="6"/>
  <c r="GB96" i="6"/>
  <c r="GC96" i="6"/>
  <c r="GU96" i="6"/>
  <c r="GV96" i="6"/>
  <c r="GW96" i="6"/>
  <c r="GX96" i="6"/>
  <c r="GY96" i="6"/>
  <c r="GZ96" i="6"/>
  <c r="HA96" i="6"/>
  <c r="HS96" i="6"/>
  <c r="HT96" i="6"/>
  <c r="HU96" i="6"/>
  <c r="HV96" i="6"/>
  <c r="HW96" i="6"/>
  <c r="HX96" i="6"/>
  <c r="HY96" i="6"/>
  <c r="CE97" i="6"/>
  <c r="CF97" i="6"/>
  <c r="CG97" i="6"/>
  <c r="CH97" i="6"/>
  <c r="CI97" i="6"/>
  <c r="CJ97" i="6"/>
  <c r="CK97" i="6"/>
  <c r="DC97" i="6"/>
  <c r="DD97" i="6"/>
  <c r="DE97" i="6"/>
  <c r="DF97" i="6"/>
  <c r="DG97" i="6"/>
  <c r="DH97" i="6"/>
  <c r="DI97" i="6"/>
  <c r="EA97" i="6"/>
  <c r="EB97" i="6"/>
  <c r="EC97" i="6"/>
  <c r="ED97" i="6"/>
  <c r="EE97" i="6"/>
  <c r="EF97" i="6"/>
  <c r="EG97" i="6"/>
  <c r="EY97" i="6"/>
  <c r="EZ97" i="6"/>
  <c r="FA97" i="6"/>
  <c r="FB97" i="6"/>
  <c r="FC97" i="6"/>
  <c r="FD97" i="6"/>
  <c r="FE97" i="6"/>
  <c r="FW97" i="6"/>
  <c r="FX97" i="6"/>
  <c r="FY97" i="6"/>
  <c r="FZ97" i="6"/>
  <c r="GA97" i="6"/>
  <c r="GB97" i="6"/>
  <c r="GC97" i="6"/>
  <c r="GU97" i="6"/>
  <c r="GV97" i="6"/>
  <c r="GW97" i="6"/>
  <c r="GX97" i="6"/>
  <c r="GY97" i="6"/>
  <c r="GZ97" i="6"/>
  <c r="HA97" i="6"/>
  <c r="HS97" i="6"/>
  <c r="HT97" i="6"/>
  <c r="HU97" i="6"/>
  <c r="HV97" i="6"/>
  <c r="HW97" i="6"/>
  <c r="HX97" i="6"/>
  <c r="HY97" i="6"/>
  <c r="CE98" i="6"/>
  <c r="CF98" i="6"/>
  <c r="CG98" i="6"/>
  <c r="CH98" i="6"/>
  <c r="CI98" i="6"/>
  <c r="CJ98" i="6"/>
  <c r="CK98" i="6"/>
  <c r="DC98" i="6"/>
  <c r="DD98" i="6"/>
  <c r="DE98" i="6"/>
  <c r="DF98" i="6"/>
  <c r="DG98" i="6"/>
  <c r="DH98" i="6"/>
  <c r="DI98" i="6"/>
  <c r="EA98" i="6"/>
  <c r="EB98" i="6"/>
  <c r="EC98" i="6"/>
  <c r="ED98" i="6"/>
  <c r="EE98" i="6"/>
  <c r="EF98" i="6"/>
  <c r="EG98" i="6"/>
  <c r="EY98" i="6"/>
  <c r="EZ98" i="6"/>
  <c r="FA98" i="6"/>
  <c r="FB98" i="6"/>
  <c r="FC98" i="6"/>
  <c r="FD98" i="6"/>
  <c r="FE98" i="6"/>
  <c r="FW98" i="6"/>
  <c r="FX98" i="6"/>
  <c r="FY98" i="6"/>
  <c r="FZ98" i="6"/>
  <c r="GA98" i="6"/>
  <c r="GB98" i="6"/>
  <c r="GC98" i="6"/>
  <c r="GU98" i="6"/>
  <c r="GV98" i="6"/>
  <c r="GW98" i="6"/>
  <c r="GX98" i="6"/>
  <c r="GY98" i="6"/>
  <c r="GZ98" i="6"/>
  <c r="HA98" i="6"/>
  <c r="HS98" i="6"/>
  <c r="HT98" i="6"/>
  <c r="HU98" i="6"/>
  <c r="HV98" i="6"/>
  <c r="HW98" i="6"/>
  <c r="HX98" i="6"/>
  <c r="HY98" i="6"/>
  <c r="CE99" i="6"/>
  <c r="CF99" i="6"/>
  <c r="CG99" i="6"/>
  <c r="CH99" i="6"/>
  <c r="CI99" i="6"/>
  <c r="CJ99" i="6"/>
  <c r="CK99" i="6"/>
  <c r="DC99" i="6"/>
  <c r="DD99" i="6"/>
  <c r="DE99" i="6"/>
  <c r="DF99" i="6"/>
  <c r="DG99" i="6"/>
  <c r="DH99" i="6"/>
  <c r="DI99" i="6"/>
  <c r="EA99" i="6"/>
  <c r="EB99" i="6"/>
  <c r="EC99" i="6"/>
  <c r="ED99" i="6"/>
  <c r="EE99" i="6"/>
  <c r="EF99" i="6"/>
  <c r="EG99" i="6"/>
  <c r="EY99" i="6"/>
  <c r="EZ99" i="6"/>
  <c r="FA99" i="6"/>
  <c r="FB99" i="6"/>
  <c r="FC99" i="6"/>
  <c r="FD99" i="6"/>
  <c r="FE99" i="6"/>
  <c r="FW99" i="6"/>
  <c r="FX99" i="6"/>
  <c r="FY99" i="6"/>
  <c r="FZ99" i="6"/>
  <c r="GA99" i="6"/>
  <c r="GB99" i="6"/>
  <c r="GC99" i="6"/>
  <c r="GU99" i="6"/>
  <c r="GV99" i="6"/>
  <c r="GW99" i="6"/>
  <c r="GX99" i="6"/>
  <c r="GY99" i="6"/>
  <c r="GZ99" i="6"/>
  <c r="HA99" i="6"/>
  <c r="HS99" i="6"/>
  <c r="HT99" i="6"/>
  <c r="HU99" i="6"/>
  <c r="HV99" i="6"/>
  <c r="HW99" i="6"/>
  <c r="HX99" i="6"/>
  <c r="HY99" i="6"/>
  <c r="CE100" i="6"/>
  <c r="CF100" i="6"/>
  <c r="CG100" i="6"/>
  <c r="CH100" i="6"/>
  <c r="CI100" i="6"/>
  <c r="CJ100" i="6"/>
  <c r="CK100" i="6"/>
  <c r="DC100" i="6"/>
  <c r="DD100" i="6"/>
  <c r="DE100" i="6"/>
  <c r="DF100" i="6"/>
  <c r="DG100" i="6"/>
  <c r="DH100" i="6"/>
  <c r="DI100" i="6"/>
  <c r="EA100" i="6"/>
  <c r="EB100" i="6"/>
  <c r="EC100" i="6"/>
  <c r="ED100" i="6"/>
  <c r="EE100" i="6"/>
  <c r="EF100" i="6"/>
  <c r="EG100" i="6"/>
  <c r="EY100" i="6"/>
  <c r="EZ100" i="6"/>
  <c r="FA100" i="6"/>
  <c r="FB100" i="6"/>
  <c r="FC100" i="6"/>
  <c r="FD100" i="6"/>
  <c r="FE100" i="6"/>
  <c r="FW100" i="6"/>
  <c r="FX100" i="6"/>
  <c r="FY100" i="6"/>
  <c r="FZ100" i="6"/>
  <c r="GA100" i="6"/>
  <c r="GB100" i="6"/>
  <c r="GC100" i="6"/>
  <c r="GU100" i="6"/>
  <c r="GV100" i="6"/>
  <c r="GW100" i="6"/>
  <c r="GX100" i="6"/>
  <c r="GY100" i="6"/>
  <c r="GZ100" i="6"/>
  <c r="HA100" i="6"/>
  <c r="HS100" i="6"/>
  <c r="HT100" i="6"/>
  <c r="HU100" i="6"/>
  <c r="HV100" i="6"/>
  <c r="HW100" i="6"/>
  <c r="HX100" i="6"/>
  <c r="HY100" i="6"/>
  <c r="CE101" i="6"/>
  <c r="CF101" i="6"/>
  <c r="CG101" i="6"/>
  <c r="CH101" i="6"/>
  <c r="CI101" i="6"/>
  <c r="CJ101" i="6"/>
  <c r="CK101" i="6"/>
  <c r="DC101" i="6"/>
  <c r="DD101" i="6"/>
  <c r="DE101" i="6"/>
  <c r="DF101" i="6"/>
  <c r="DG101" i="6"/>
  <c r="DH101" i="6"/>
  <c r="DI101" i="6"/>
  <c r="EA101" i="6"/>
  <c r="EB101" i="6"/>
  <c r="EC101" i="6"/>
  <c r="ED101" i="6"/>
  <c r="EE101" i="6"/>
  <c r="EF101" i="6"/>
  <c r="EG101" i="6"/>
  <c r="EY101" i="6"/>
  <c r="EZ101" i="6"/>
  <c r="FA101" i="6"/>
  <c r="FB101" i="6"/>
  <c r="FC101" i="6"/>
  <c r="FD101" i="6"/>
  <c r="FE101" i="6"/>
  <c r="FW101" i="6"/>
  <c r="FX101" i="6"/>
  <c r="FY101" i="6"/>
  <c r="FZ101" i="6"/>
  <c r="GA101" i="6"/>
  <c r="GB101" i="6"/>
  <c r="GC101" i="6"/>
  <c r="GU101" i="6"/>
  <c r="GV101" i="6"/>
  <c r="GW101" i="6"/>
  <c r="GX101" i="6"/>
  <c r="GY101" i="6"/>
  <c r="GZ101" i="6"/>
  <c r="HA101" i="6"/>
  <c r="HS101" i="6"/>
  <c r="HT101" i="6"/>
  <c r="HU101" i="6"/>
  <c r="HV101" i="6"/>
  <c r="HW101" i="6"/>
  <c r="HX101" i="6"/>
  <c r="HY101" i="6"/>
  <c r="CE102" i="6"/>
  <c r="CF102" i="6"/>
  <c r="CG102" i="6"/>
  <c r="CH102" i="6"/>
  <c r="CI102" i="6"/>
  <c r="CJ102" i="6"/>
  <c r="CK102" i="6"/>
  <c r="DC102" i="6"/>
  <c r="DD102" i="6"/>
  <c r="DE102" i="6"/>
  <c r="DF102" i="6"/>
  <c r="DG102" i="6"/>
  <c r="DH102" i="6"/>
  <c r="DI102" i="6"/>
  <c r="EA102" i="6"/>
  <c r="EB102" i="6"/>
  <c r="EC102" i="6"/>
  <c r="ED102" i="6"/>
  <c r="EE102" i="6"/>
  <c r="EF102" i="6"/>
  <c r="EG102" i="6"/>
  <c r="EY102" i="6"/>
  <c r="EZ102" i="6"/>
  <c r="FA102" i="6"/>
  <c r="FB102" i="6"/>
  <c r="FC102" i="6"/>
  <c r="FD102" i="6"/>
  <c r="FE102" i="6"/>
  <c r="FW102" i="6"/>
  <c r="FX102" i="6"/>
  <c r="FY102" i="6"/>
  <c r="FZ102" i="6"/>
  <c r="GA102" i="6"/>
  <c r="GB102" i="6"/>
  <c r="GC102" i="6"/>
  <c r="GU102" i="6"/>
  <c r="GV102" i="6"/>
  <c r="GW102" i="6"/>
  <c r="GX102" i="6"/>
  <c r="GY102" i="6"/>
  <c r="GZ102" i="6"/>
  <c r="HA102" i="6"/>
  <c r="HS102" i="6"/>
  <c r="HT102" i="6"/>
  <c r="HU102" i="6"/>
  <c r="HV102" i="6"/>
  <c r="HW102" i="6"/>
  <c r="HX102" i="6"/>
  <c r="HY102" i="6"/>
  <c r="AW5" i="6"/>
  <c r="T8" i="3" s="1"/>
  <c r="AP5" i="6"/>
  <c r="S8" i="3" s="1"/>
  <c r="AV5" i="6"/>
  <c r="T7" i="3" s="1"/>
  <c r="AO5" i="6"/>
  <c r="S7" i="3" s="1"/>
  <c r="BA22" i="6" l="1"/>
  <c r="BB22" i="6"/>
  <c r="G7" i="11" a="1"/>
  <c r="G7" i="11"/>
  <c r="H7" i="11"/>
  <c r="S7" i="11"/>
  <c r="T7" i="11" a="1"/>
  <c r="T7" i="11"/>
  <c r="U7" i="11"/>
  <c r="V7" i="11"/>
  <c r="W7" i="11"/>
  <c r="X7" i="11"/>
  <c r="Y7" i="11"/>
  <c r="Z7" i="11"/>
  <c r="AA7" i="11"/>
  <c r="AB7" i="11"/>
  <c r="AJ7" i="11"/>
  <c r="AK7" i="11" a="1"/>
  <c r="AK7" i="11"/>
  <c r="AL7" i="11"/>
  <c r="AM7" i="11"/>
  <c r="AN7" i="11"/>
  <c r="AO7" i="11"/>
  <c r="AP7" i="11"/>
  <c r="AQ7" i="11"/>
  <c r="AR7" i="11"/>
  <c r="AS7" i="11"/>
  <c r="BA7" i="11"/>
  <c r="BB7" i="11" a="1"/>
  <c r="BB7" i="11"/>
  <c r="BC7" i="11"/>
  <c r="BD7" i="11"/>
  <c r="BE7" i="11"/>
  <c r="BF7" i="11"/>
  <c r="BG7" i="11"/>
  <c r="BH7" i="11"/>
  <c r="BI7" i="11"/>
  <c r="BJ7" i="11"/>
  <c r="BR7" i="11"/>
  <c r="BS7" i="11" a="1"/>
  <c r="BS7" i="11"/>
  <c r="BT7" i="11"/>
  <c r="BU7" i="11"/>
  <c r="BV7" i="11"/>
  <c r="BW7" i="11"/>
  <c r="BX7" i="11"/>
  <c r="BY7" i="11"/>
  <c r="BZ7" i="11"/>
  <c r="CA7" i="11"/>
  <c r="CI7" i="11"/>
  <c r="CJ7" i="11" a="1"/>
  <c r="CJ7" i="11"/>
  <c r="CK7" i="11"/>
  <c r="CL7" i="11"/>
  <c r="CM7" i="11"/>
  <c r="CN7" i="11"/>
  <c r="CO7" i="11"/>
  <c r="CP7" i="11"/>
  <c r="CQ7" i="11"/>
  <c r="CR7" i="11"/>
  <c r="CZ7" i="11"/>
  <c r="DA7" i="11" a="1"/>
  <c r="DA7" i="11"/>
  <c r="DB7" i="11"/>
  <c r="DC7" i="11"/>
  <c r="DD7" i="11"/>
  <c r="DE7" i="11"/>
  <c r="DF7" i="11"/>
  <c r="DG7" i="11"/>
  <c r="DH7" i="11"/>
  <c r="DI7" i="11"/>
  <c r="DQ7" i="11"/>
  <c r="DR7" i="11" a="1"/>
  <c r="DR7" i="11"/>
  <c r="DS7" i="11"/>
  <c r="DT7" i="11"/>
  <c r="DU7" i="11"/>
  <c r="DV7" i="11"/>
  <c r="DW7" i="11"/>
  <c r="DX7" i="11"/>
  <c r="DY7" i="11"/>
  <c r="DZ7" i="11"/>
  <c r="G8" i="11" a="1"/>
  <c r="G8" i="11"/>
  <c r="H8" i="11"/>
  <c r="S8" i="11"/>
  <c r="T8" i="11" a="1"/>
  <c r="T8" i="11"/>
  <c r="U8" i="11"/>
  <c r="V8" i="11"/>
  <c r="W8" i="11"/>
  <c r="X8" i="11"/>
  <c r="Y8" i="11"/>
  <c r="Z8" i="11"/>
  <c r="AA8" i="11"/>
  <c r="AB8" i="11"/>
  <c r="AJ8" i="11"/>
  <c r="AK8" i="11" a="1"/>
  <c r="AK8" i="11"/>
  <c r="AL8" i="11"/>
  <c r="AM8" i="11"/>
  <c r="AN8" i="11"/>
  <c r="AO8" i="11"/>
  <c r="AP8" i="11"/>
  <c r="AQ8" i="11"/>
  <c r="AR8" i="11"/>
  <c r="AS8" i="11"/>
  <c r="BA8" i="11"/>
  <c r="BB8" i="11" a="1"/>
  <c r="BB8" i="11"/>
  <c r="BC8" i="11"/>
  <c r="BD8" i="11"/>
  <c r="BE8" i="11"/>
  <c r="BF8" i="11"/>
  <c r="BG8" i="11"/>
  <c r="BH8" i="11"/>
  <c r="BI8" i="11"/>
  <c r="BJ8" i="11"/>
  <c r="BR8" i="11"/>
  <c r="BS8" i="11" a="1"/>
  <c r="BS8" i="11"/>
  <c r="BT8" i="11"/>
  <c r="BU8" i="11"/>
  <c r="BV8" i="11"/>
  <c r="BW8" i="11"/>
  <c r="BX8" i="11"/>
  <c r="BY8" i="11"/>
  <c r="BZ8" i="11"/>
  <c r="CA8" i="11"/>
  <c r="CI8" i="11"/>
  <c r="CJ8" i="11" a="1"/>
  <c r="CJ8" i="11"/>
  <c r="CK8" i="11"/>
  <c r="CL8" i="11"/>
  <c r="CM8" i="11"/>
  <c r="CN8" i="11"/>
  <c r="CO8" i="11"/>
  <c r="CP8" i="11"/>
  <c r="CQ8" i="11"/>
  <c r="CR8" i="11"/>
  <c r="CZ8" i="11"/>
  <c r="DA8" i="11" a="1"/>
  <c r="DA8" i="11"/>
  <c r="DB8" i="11"/>
  <c r="DC8" i="11"/>
  <c r="DD8" i="11"/>
  <c r="DE8" i="11"/>
  <c r="DF8" i="11"/>
  <c r="DG8" i="11"/>
  <c r="DH8" i="11"/>
  <c r="DI8" i="11"/>
  <c r="DQ8" i="11"/>
  <c r="DR8" i="11" a="1"/>
  <c r="DR8" i="11"/>
  <c r="DS8" i="11"/>
  <c r="DT8" i="11"/>
  <c r="DU8" i="11"/>
  <c r="DV8" i="11"/>
  <c r="DW8" i="11"/>
  <c r="DX8" i="11"/>
  <c r="DY8" i="11"/>
  <c r="DZ8" i="11"/>
  <c r="G9" i="11" a="1"/>
  <c r="G9" i="11"/>
  <c r="H9" i="11"/>
  <c r="S9" i="11"/>
  <c r="T9" i="11" a="1"/>
  <c r="T9" i="11"/>
  <c r="U9" i="11"/>
  <c r="V9" i="11"/>
  <c r="W9" i="11"/>
  <c r="X9" i="11"/>
  <c r="Y9" i="11"/>
  <c r="Z9" i="11"/>
  <c r="AA9" i="11"/>
  <c r="AB9" i="11"/>
  <c r="AJ9" i="11"/>
  <c r="AK9" i="11" a="1"/>
  <c r="AK9" i="11"/>
  <c r="AL9" i="11"/>
  <c r="AM9" i="11"/>
  <c r="AN9" i="11"/>
  <c r="AO9" i="11"/>
  <c r="AP9" i="11"/>
  <c r="AQ9" i="11"/>
  <c r="AR9" i="11"/>
  <c r="AS9" i="11"/>
  <c r="BA9" i="11"/>
  <c r="BB9" i="11" a="1"/>
  <c r="BB9" i="11"/>
  <c r="BC9" i="11"/>
  <c r="BD9" i="11"/>
  <c r="BE9" i="11"/>
  <c r="BF9" i="11"/>
  <c r="BG9" i="11"/>
  <c r="BH9" i="11"/>
  <c r="BI9" i="11"/>
  <c r="BJ9" i="11"/>
  <c r="BR9" i="11"/>
  <c r="BS9" i="11" a="1"/>
  <c r="BS9" i="11"/>
  <c r="BT9" i="11"/>
  <c r="BU9" i="11"/>
  <c r="BV9" i="11"/>
  <c r="BW9" i="11"/>
  <c r="BX9" i="11"/>
  <c r="BY9" i="11"/>
  <c r="BZ9" i="11"/>
  <c r="CA9" i="11"/>
  <c r="CI9" i="11"/>
  <c r="CJ9" i="11" a="1"/>
  <c r="CJ9" i="11"/>
  <c r="CK9" i="11"/>
  <c r="CL9" i="11"/>
  <c r="CM9" i="11"/>
  <c r="CN9" i="11"/>
  <c r="CO9" i="11"/>
  <c r="CP9" i="11"/>
  <c r="CQ9" i="11"/>
  <c r="CR9" i="11"/>
  <c r="CZ9" i="11"/>
  <c r="DA9" i="11" a="1"/>
  <c r="DA9" i="11"/>
  <c r="DB9" i="11"/>
  <c r="DC9" i="11"/>
  <c r="DD9" i="11"/>
  <c r="DE9" i="11"/>
  <c r="DF9" i="11"/>
  <c r="DG9" i="11"/>
  <c r="DH9" i="11"/>
  <c r="DI9" i="11"/>
  <c r="DQ9" i="11"/>
  <c r="DR9" i="11" a="1"/>
  <c r="DR9" i="11"/>
  <c r="DS9" i="11"/>
  <c r="DT9" i="11"/>
  <c r="DU9" i="11"/>
  <c r="DV9" i="11"/>
  <c r="DW9" i="11"/>
  <c r="DX9" i="11"/>
  <c r="DY9" i="11"/>
  <c r="DZ9" i="11"/>
  <c r="G10" i="11" a="1"/>
  <c r="G10" i="11"/>
  <c r="H10" i="11"/>
  <c r="S10" i="11"/>
  <c r="T10" i="11" a="1"/>
  <c r="T10" i="11"/>
  <c r="U10" i="11"/>
  <c r="V10" i="11"/>
  <c r="W10" i="11"/>
  <c r="X10" i="11"/>
  <c r="Y10" i="11"/>
  <c r="Z10" i="11"/>
  <c r="AA10" i="11"/>
  <c r="AB10" i="11"/>
  <c r="AJ10" i="11"/>
  <c r="AK10" i="11" a="1"/>
  <c r="AK10" i="11"/>
  <c r="AL10" i="11"/>
  <c r="AM10" i="11"/>
  <c r="AN10" i="11"/>
  <c r="AO10" i="11"/>
  <c r="AP10" i="11"/>
  <c r="AQ10" i="11"/>
  <c r="AR10" i="11"/>
  <c r="AS10" i="11"/>
  <c r="BA10" i="11"/>
  <c r="BB10" i="11" a="1"/>
  <c r="BB10" i="11"/>
  <c r="BC10" i="11"/>
  <c r="BD10" i="11"/>
  <c r="BE10" i="11"/>
  <c r="BF10" i="11"/>
  <c r="BG10" i="11"/>
  <c r="BH10" i="11"/>
  <c r="BI10" i="11"/>
  <c r="BJ10" i="11"/>
  <c r="BR10" i="11"/>
  <c r="BS10" i="11" a="1"/>
  <c r="BS10" i="11"/>
  <c r="BT10" i="11"/>
  <c r="BU10" i="11"/>
  <c r="BV10" i="11"/>
  <c r="BW10" i="11"/>
  <c r="BX10" i="11"/>
  <c r="BY10" i="11"/>
  <c r="BZ10" i="11"/>
  <c r="CA10" i="11"/>
  <c r="CI10" i="11"/>
  <c r="CJ10" i="11" a="1"/>
  <c r="CJ10" i="11"/>
  <c r="CK10" i="11"/>
  <c r="CL10" i="11"/>
  <c r="CM10" i="11"/>
  <c r="CN10" i="11"/>
  <c r="CO10" i="11"/>
  <c r="CP10" i="11"/>
  <c r="CQ10" i="11"/>
  <c r="CR10" i="11"/>
  <c r="CZ10" i="11"/>
  <c r="DA10" i="11" a="1"/>
  <c r="DA10" i="11"/>
  <c r="DB10" i="11"/>
  <c r="DC10" i="11"/>
  <c r="DD10" i="11"/>
  <c r="DE10" i="11"/>
  <c r="DF10" i="11"/>
  <c r="DG10" i="11"/>
  <c r="DH10" i="11"/>
  <c r="DI10" i="11"/>
  <c r="DQ10" i="11"/>
  <c r="DR10" i="11" a="1"/>
  <c r="DR10" i="11"/>
  <c r="DS10" i="11"/>
  <c r="DT10" i="11"/>
  <c r="DU10" i="11"/>
  <c r="DV10" i="11"/>
  <c r="DW10" i="11"/>
  <c r="DX10" i="11"/>
  <c r="DY10" i="11"/>
  <c r="DZ10" i="11"/>
  <c r="G11" i="11" a="1"/>
  <c r="G11" i="11"/>
  <c r="H11" i="11"/>
  <c r="S11" i="11"/>
  <c r="T11" i="11" a="1"/>
  <c r="T11" i="11"/>
  <c r="U11" i="11"/>
  <c r="V11" i="11"/>
  <c r="W11" i="11"/>
  <c r="X11" i="11"/>
  <c r="Y11" i="11"/>
  <c r="Z11" i="11"/>
  <c r="AA11" i="11"/>
  <c r="AB11" i="11"/>
  <c r="AJ11" i="11"/>
  <c r="AK11" i="11" a="1"/>
  <c r="AK11" i="11"/>
  <c r="AL11" i="11"/>
  <c r="AM11" i="11"/>
  <c r="AN11" i="11"/>
  <c r="AO11" i="11"/>
  <c r="AP11" i="11"/>
  <c r="AQ11" i="11"/>
  <c r="AR11" i="11"/>
  <c r="AS11" i="11"/>
  <c r="BA11" i="11"/>
  <c r="BB11" i="11" a="1"/>
  <c r="BB11" i="11"/>
  <c r="BC11" i="11"/>
  <c r="BD11" i="11"/>
  <c r="BE11" i="11"/>
  <c r="BF11" i="11"/>
  <c r="BG11" i="11"/>
  <c r="BH11" i="11"/>
  <c r="BI11" i="11"/>
  <c r="BJ11" i="11"/>
  <c r="BR11" i="11"/>
  <c r="BS11" i="11" a="1"/>
  <c r="BS11" i="11"/>
  <c r="BT11" i="11"/>
  <c r="BU11" i="11"/>
  <c r="BV11" i="11"/>
  <c r="BW11" i="11"/>
  <c r="BX11" i="11"/>
  <c r="BY11" i="11"/>
  <c r="BZ11" i="11"/>
  <c r="CA11" i="11"/>
  <c r="CI11" i="11"/>
  <c r="CJ11" i="11" a="1"/>
  <c r="CJ11" i="11"/>
  <c r="CK11" i="11"/>
  <c r="CL11" i="11"/>
  <c r="CM11" i="11"/>
  <c r="CN11" i="11"/>
  <c r="CO11" i="11"/>
  <c r="CP11" i="11"/>
  <c r="CQ11" i="11"/>
  <c r="CR11" i="11"/>
  <c r="CZ11" i="11"/>
  <c r="DA11" i="11" a="1"/>
  <c r="DA11" i="11"/>
  <c r="DB11" i="11"/>
  <c r="DC11" i="11"/>
  <c r="DD11" i="11"/>
  <c r="DE11" i="11"/>
  <c r="DF11" i="11"/>
  <c r="DG11" i="11"/>
  <c r="DH11" i="11"/>
  <c r="DI11" i="11"/>
  <c r="DQ11" i="11"/>
  <c r="DR11" i="11" a="1"/>
  <c r="DR11" i="11"/>
  <c r="DS11" i="11"/>
  <c r="DT11" i="11"/>
  <c r="DU11" i="11"/>
  <c r="DV11" i="11"/>
  <c r="DW11" i="11"/>
  <c r="DX11" i="11"/>
  <c r="DY11" i="11"/>
  <c r="DZ11" i="11"/>
  <c r="G12" i="11" a="1"/>
  <c r="G12" i="11"/>
  <c r="H12" i="11"/>
  <c r="L12" i="11"/>
  <c r="M12" i="11"/>
  <c r="N12" i="11"/>
  <c r="O12" i="11"/>
  <c r="P12" i="11"/>
  <c r="Q12" i="11"/>
  <c r="R12" i="11"/>
  <c r="S12" i="11"/>
  <c r="T12" i="11" a="1"/>
  <c r="T12" i="11"/>
  <c r="U12" i="11"/>
  <c r="V12" i="11"/>
  <c r="W12" i="11"/>
  <c r="X12" i="11"/>
  <c r="Y12" i="11"/>
  <c r="Z12" i="11"/>
  <c r="AA12" i="11"/>
  <c r="AB12" i="11"/>
  <c r="AC12" i="11"/>
  <c r="AD12" i="11"/>
  <c r="AE12" i="11"/>
  <c r="AF12" i="11"/>
  <c r="AG12" i="11"/>
  <c r="AH12" i="11"/>
  <c r="AI12" i="11"/>
  <c r="AJ12" i="11"/>
  <c r="AK12" i="11" a="1"/>
  <c r="AK12" i="11"/>
  <c r="AL12" i="11"/>
  <c r="AM12" i="11"/>
  <c r="AN12" i="11"/>
  <c r="AO12" i="11"/>
  <c r="AP12" i="11"/>
  <c r="AQ12" i="11"/>
  <c r="AR12" i="11"/>
  <c r="AS12" i="11"/>
  <c r="AT12" i="11"/>
  <c r="AU12" i="11"/>
  <c r="AV12" i="11"/>
  <c r="AW12" i="11"/>
  <c r="AX12" i="11"/>
  <c r="AY12" i="11"/>
  <c r="AZ12" i="11"/>
  <c r="BA12" i="11"/>
  <c r="BB12" i="11" a="1"/>
  <c r="BB12" i="11"/>
  <c r="BC12" i="11"/>
  <c r="BD12" i="11"/>
  <c r="BE12" i="11"/>
  <c r="BF12" i="11"/>
  <c r="BG12" i="11"/>
  <c r="BH12" i="11"/>
  <c r="BI12" i="11"/>
  <c r="BJ12" i="11"/>
  <c r="BK12" i="11"/>
  <c r="BL12" i="11"/>
  <c r="BM12" i="11"/>
  <c r="BN12" i="11"/>
  <c r="BO12" i="11"/>
  <c r="BP12" i="11"/>
  <c r="BQ12" i="11"/>
  <c r="BR12" i="11"/>
  <c r="BS12" i="11" a="1"/>
  <c r="BS12" i="11"/>
  <c r="BT12" i="11"/>
  <c r="BU12" i="11"/>
  <c r="BV12" i="11"/>
  <c r="BW12" i="11"/>
  <c r="BX12" i="11"/>
  <c r="BY12" i="11"/>
  <c r="BZ12" i="11"/>
  <c r="CA12" i="11"/>
  <c r="CB12" i="11"/>
  <c r="CC12" i="11"/>
  <c r="CD12" i="11"/>
  <c r="CE12" i="11"/>
  <c r="CF12" i="11"/>
  <c r="CG12" i="11"/>
  <c r="CH12" i="11"/>
  <c r="CI12" i="11"/>
  <c r="CJ12" i="11" a="1"/>
  <c r="CJ12" i="11"/>
  <c r="CK12" i="11"/>
  <c r="CL12" i="11"/>
  <c r="CM12" i="11"/>
  <c r="CN12" i="11"/>
  <c r="CO12" i="11"/>
  <c r="CP12" i="11"/>
  <c r="CQ12" i="11"/>
  <c r="CR12" i="11"/>
  <c r="CS12" i="11"/>
  <c r="CT12" i="11"/>
  <c r="CU12" i="11"/>
  <c r="CV12" i="11"/>
  <c r="CW12" i="11"/>
  <c r="CX12" i="11"/>
  <c r="CY12" i="11"/>
  <c r="CZ12" i="11"/>
  <c r="DA12" i="11" a="1"/>
  <c r="DA12" i="11"/>
  <c r="DB12" i="11"/>
  <c r="DC12" i="11"/>
  <c r="DD12" i="11"/>
  <c r="DE12" i="11"/>
  <c r="DF12" i="11"/>
  <c r="DG12" i="11"/>
  <c r="DH12" i="11"/>
  <c r="DI12" i="11"/>
  <c r="DJ12" i="11"/>
  <c r="DK12" i="11"/>
  <c r="DL12" i="11"/>
  <c r="DM12" i="11"/>
  <c r="DN12" i="11"/>
  <c r="DO12" i="11"/>
  <c r="DP12" i="11"/>
  <c r="DQ12" i="11"/>
  <c r="DR12" i="11" a="1"/>
  <c r="DR12" i="11"/>
  <c r="DS12" i="11"/>
  <c r="DT12" i="11"/>
  <c r="DU12" i="11"/>
  <c r="DV12" i="11"/>
  <c r="DW12" i="11"/>
  <c r="DX12" i="11"/>
  <c r="DY12" i="11"/>
  <c r="DZ12" i="11"/>
  <c r="G13" i="11" a="1"/>
  <c r="G13" i="11"/>
  <c r="H13" i="11"/>
  <c r="L13" i="11"/>
  <c r="M13" i="11"/>
  <c r="N13" i="11"/>
  <c r="O13" i="11"/>
  <c r="P13" i="11"/>
  <c r="Q13" i="11"/>
  <c r="R13" i="11"/>
  <c r="S13" i="11"/>
  <c r="T13" i="11" a="1"/>
  <c r="T13" i="11"/>
  <c r="U13" i="11"/>
  <c r="V13" i="11"/>
  <c r="W13" i="11"/>
  <c r="X13" i="11"/>
  <c r="Y13" i="11"/>
  <c r="Z13" i="11"/>
  <c r="AA13" i="11"/>
  <c r="AB13" i="11"/>
  <c r="AC13" i="11"/>
  <c r="AD13" i="11"/>
  <c r="AE13" i="11"/>
  <c r="AF13" i="11"/>
  <c r="AG13" i="11"/>
  <c r="AH13" i="11"/>
  <c r="AI13" i="11"/>
  <c r="AJ13" i="11"/>
  <c r="AK13" i="11" a="1"/>
  <c r="AK13" i="11"/>
  <c r="AL13" i="11"/>
  <c r="AM13" i="11"/>
  <c r="AN13" i="11"/>
  <c r="AO13" i="11"/>
  <c r="AP13" i="11"/>
  <c r="AQ13" i="11"/>
  <c r="AR13" i="11"/>
  <c r="AS13" i="11"/>
  <c r="AT13" i="11"/>
  <c r="AU13" i="11"/>
  <c r="AV13" i="11"/>
  <c r="AW13" i="11"/>
  <c r="AX13" i="11"/>
  <c r="AY13" i="11"/>
  <c r="AZ13" i="11"/>
  <c r="BA13" i="11"/>
  <c r="BB13" i="11" a="1"/>
  <c r="BB13" i="11"/>
  <c r="BC13" i="11"/>
  <c r="BD13" i="11"/>
  <c r="BE13" i="11"/>
  <c r="BF13" i="11"/>
  <c r="BG13" i="11"/>
  <c r="BH13" i="11"/>
  <c r="BI13" i="11"/>
  <c r="BJ13" i="11"/>
  <c r="BK13" i="11"/>
  <c r="BL13" i="11"/>
  <c r="BM13" i="11"/>
  <c r="BN13" i="11"/>
  <c r="BO13" i="11"/>
  <c r="BP13" i="11"/>
  <c r="BQ13" i="11"/>
  <c r="BR13" i="11"/>
  <c r="BS13" i="11" a="1"/>
  <c r="BS13" i="11"/>
  <c r="BT13" i="11"/>
  <c r="BU13" i="11"/>
  <c r="BV13" i="11"/>
  <c r="BW13" i="11"/>
  <c r="BX13" i="11"/>
  <c r="BY13" i="11"/>
  <c r="BZ13" i="11"/>
  <c r="CA13" i="11"/>
  <c r="CB13" i="11"/>
  <c r="CC13" i="11"/>
  <c r="CD13" i="11"/>
  <c r="CE13" i="11"/>
  <c r="CF13" i="11"/>
  <c r="CG13" i="11"/>
  <c r="CH13" i="11"/>
  <c r="CI13" i="11"/>
  <c r="CJ13" i="11" a="1"/>
  <c r="CJ13" i="11"/>
  <c r="CK13" i="11"/>
  <c r="CL13" i="11"/>
  <c r="CM13" i="11"/>
  <c r="CN13" i="11"/>
  <c r="CO13" i="11"/>
  <c r="CP13" i="11"/>
  <c r="CQ13" i="11"/>
  <c r="CR13" i="11"/>
  <c r="CS13" i="11"/>
  <c r="CT13" i="11"/>
  <c r="CU13" i="11"/>
  <c r="CV13" i="11"/>
  <c r="CW13" i="11"/>
  <c r="CX13" i="11"/>
  <c r="CY13" i="11"/>
  <c r="CZ13" i="11"/>
  <c r="DA13" i="11" a="1"/>
  <c r="DA13" i="11"/>
  <c r="DB13" i="11"/>
  <c r="DC13" i="11"/>
  <c r="DD13" i="11"/>
  <c r="DE13" i="11"/>
  <c r="DF13" i="11"/>
  <c r="DG13" i="11"/>
  <c r="DH13" i="11"/>
  <c r="DI13" i="11"/>
  <c r="DJ13" i="11"/>
  <c r="DK13" i="11"/>
  <c r="DL13" i="11"/>
  <c r="DM13" i="11"/>
  <c r="DN13" i="11"/>
  <c r="DO13" i="11"/>
  <c r="DP13" i="11"/>
  <c r="DQ13" i="11"/>
  <c r="DR13" i="11" a="1"/>
  <c r="DR13" i="11"/>
  <c r="DS13" i="11"/>
  <c r="DT13" i="11"/>
  <c r="DU13" i="11"/>
  <c r="DV13" i="11"/>
  <c r="DW13" i="11"/>
  <c r="DX13" i="11"/>
  <c r="DY13" i="11"/>
  <c r="DZ13" i="11"/>
  <c r="G14" i="11" a="1"/>
  <c r="G14" i="11"/>
  <c r="H14" i="11"/>
  <c r="S14" i="11"/>
  <c r="T14" i="11" a="1"/>
  <c r="T14" i="11"/>
  <c r="U14" i="11"/>
  <c r="V14" i="11"/>
  <c r="W14" i="11"/>
  <c r="X14" i="11"/>
  <c r="Y14" i="11"/>
  <c r="Z14" i="11"/>
  <c r="AA14" i="11"/>
  <c r="AB14" i="11"/>
  <c r="AJ14" i="11"/>
  <c r="AK14" i="11" a="1"/>
  <c r="AK14" i="11"/>
  <c r="AL14" i="11"/>
  <c r="AM14" i="11"/>
  <c r="AN14" i="11"/>
  <c r="AO14" i="11"/>
  <c r="AP14" i="11"/>
  <c r="AQ14" i="11"/>
  <c r="AR14" i="11"/>
  <c r="AS14" i="11"/>
  <c r="BA14" i="11"/>
  <c r="BB14" i="11" a="1"/>
  <c r="BB14" i="11"/>
  <c r="BC14" i="11"/>
  <c r="BD14" i="11"/>
  <c r="BE14" i="11"/>
  <c r="BF14" i="11"/>
  <c r="BG14" i="11"/>
  <c r="BH14" i="11"/>
  <c r="BI14" i="11"/>
  <c r="BJ14" i="11"/>
  <c r="BR14" i="11"/>
  <c r="BS14" i="11" a="1"/>
  <c r="BS14" i="11"/>
  <c r="BT14" i="11"/>
  <c r="BU14" i="11"/>
  <c r="BV14" i="11"/>
  <c r="BW14" i="11"/>
  <c r="BX14" i="11"/>
  <c r="BY14" i="11"/>
  <c r="BZ14" i="11"/>
  <c r="CA14" i="11"/>
  <c r="CI14" i="11"/>
  <c r="CJ14" i="11" a="1"/>
  <c r="CJ14" i="11"/>
  <c r="CK14" i="11"/>
  <c r="CL14" i="11"/>
  <c r="CM14" i="11"/>
  <c r="CN14" i="11"/>
  <c r="CO14" i="11"/>
  <c r="CP14" i="11"/>
  <c r="CQ14" i="11"/>
  <c r="CR14" i="11"/>
  <c r="CZ14" i="11"/>
  <c r="DA14" i="11" a="1"/>
  <c r="DA14" i="11"/>
  <c r="DB14" i="11"/>
  <c r="DC14" i="11"/>
  <c r="DD14" i="11"/>
  <c r="DE14" i="11"/>
  <c r="DF14" i="11"/>
  <c r="DG14" i="11"/>
  <c r="DH14" i="11"/>
  <c r="DI14" i="11"/>
  <c r="DQ14" i="11"/>
  <c r="DR14" i="11" a="1"/>
  <c r="DR14" i="11"/>
  <c r="DS14" i="11"/>
  <c r="DT14" i="11"/>
  <c r="DU14" i="11"/>
  <c r="DV14" i="11"/>
  <c r="DW14" i="11"/>
  <c r="DX14" i="11"/>
  <c r="DY14" i="11"/>
  <c r="DZ14" i="11"/>
  <c r="G15" i="11" a="1"/>
  <c r="G15" i="11"/>
  <c r="H15" i="11"/>
  <c r="S15" i="11"/>
  <c r="T15" i="11" a="1"/>
  <c r="T15" i="11"/>
  <c r="U15" i="11"/>
  <c r="V15" i="11"/>
  <c r="W15" i="11"/>
  <c r="X15" i="11"/>
  <c r="Y15" i="11"/>
  <c r="Z15" i="11"/>
  <c r="AA15" i="11"/>
  <c r="AB15" i="11"/>
  <c r="AJ15" i="11"/>
  <c r="AK15" i="11" a="1"/>
  <c r="AK15" i="11"/>
  <c r="AL15" i="11"/>
  <c r="AM15" i="11"/>
  <c r="AN15" i="11"/>
  <c r="AO15" i="11"/>
  <c r="AP15" i="11"/>
  <c r="AQ15" i="11"/>
  <c r="AR15" i="11"/>
  <c r="AS15" i="11"/>
  <c r="BA15" i="11"/>
  <c r="BB15" i="11" a="1"/>
  <c r="BB15" i="11"/>
  <c r="BC15" i="11"/>
  <c r="BD15" i="11"/>
  <c r="BE15" i="11"/>
  <c r="BF15" i="11"/>
  <c r="BG15" i="11"/>
  <c r="BH15" i="11"/>
  <c r="BI15" i="11"/>
  <c r="BJ15" i="11"/>
  <c r="BR15" i="11"/>
  <c r="BS15" i="11" a="1"/>
  <c r="BS15" i="11"/>
  <c r="BT15" i="11"/>
  <c r="BU15" i="11"/>
  <c r="BV15" i="11"/>
  <c r="BW15" i="11"/>
  <c r="BX15" i="11"/>
  <c r="BY15" i="11"/>
  <c r="BZ15" i="11"/>
  <c r="CA15" i="11"/>
  <c r="CI15" i="11"/>
  <c r="CJ15" i="11" a="1"/>
  <c r="CJ15" i="11"/>
  <c r="CK15" i="11"/>
  <c r="CL15" i="11"/>
  <c r="CM15" i="11"/>
  <c r="CN15" i="11"/>
  <c r="CO15" i="11"/>
  <c r="CP15" i="11"/>
  <c r="CQ15" i="11"/>
  <c r="CR15" i="11"/>
  <c r="CZ15" i="11"/>
  <c r="DA15" i="11" a="1"/>
  <c r="DA15" i="11"/>
  <c r="DB15" i="11"/>
  <c r="DC15" i="11"/>
  <c r="DD15" i="11"/>
  <c r="DE15" i="11"/>
  <c r="DF15" i="11"/>
  <c r="DG15" i="11"/>
  <c r="DH15" i="11"/>
  <c r="DI15" i="11"/>
  <c r="DQ15" i="11"/>
  <c r="DR15" i="11" a="1"/>
  <c r="DR15" i="11"/>
  <c r="DS15" i="11"/>
  <c r="DT15" i="11"/>
  <c r="DU15" i="11"/>
  <c r="DV15" i="11"/>
  <c r="DW15" i="11"/>
  <c r="DX15" i="11"/>
  <c r="DY15" i="11"/>
  <c r="DZ15" i="11"/>
  <c r="G16" i="11" a="1"/>
  <c r="G16" i="11"/>
  <c r="H16" i="11"/>
  <c r="S16" i="11"/>
  <c r="T16" i="11" a="1"/>
  <c r="T16" i="11"/>
  <c r="U16" i="11"/>
  <c r="V16" i="11"/>
  <c r="W16" i="11"/>
  <c r="X16" i="11"/>
  <c r="Y16" i="11"/>
  <c r="Z16" i="11"/>
  <c r="AA16" i="11"/>
  <c r="AB16" i="11"/>
  <c r="AJ16" i="11"/>
  <c r="AK16" i="11" a="1"/>
  <c r="AK16" i="11"/>
  <c r="AL16" i="11"/>
  <c r="AM16" i="11"/>
  <c r="AN16" i="11"/>
  <c r="AO16" i="11"/>
  <c r="AP16" i="11"/>
  <c r="AQ16" i="11"/>
  <c r="AR16" i="11"/>
  <c r="AS16" i="11"/>
  <c r="BA16" i="11"/>
  <c r="BB16" i="11" a="1"/>
  <c r="BB16" i="11"/>
  <c r="BC16" i="11"/>
  <c r="BD16" i="11"/>
  <c r="BE16" i="11"/>
  <c r="BF16" i="11"/>
  <c r="BG16" i="11"/>
  <c r="BH16" i="11"/>
  <c r="BI16" i="11"/>
  <c r="BJ16" i="11"/>
  <c r="BR16" i="11"/>
  <c r="BS16" i="11" a="1"/>
  <c r="BS16" i="11"/>
  <c r="BT16" i="11"/>
  <c r="BU16" i="11"/>
  <c r="BV16" i="11"/>
  <c r="BW16" i="11"/>
  <c r="BX16" i="11"/>
  <c r="BY16" i="11"/>
  <c r="BZ16" i="11"/>
  <c r="CA16" i="11"/>
  <c r="CI16" i="11"/>
  <c r="CJ16" i="11" a="1"/>
  <c r="CJ16" i="11"/>
  <c r="CK16" i="11"/>
  <c r="CL16" i="11"/>
  <c r="CM16" i="11"/>
  <c r="CN16" i="11"/>
  <c r="CO16" i="11"/>
  <c r="CP16" i="11"/>
  <c r="CQ16" i="11"/>
  <c r="CR16" i="11"/>
  <c r="CZ16" i="11"/>
  <c r="DA16" i="11" a="1"/>
  <c r="DA16" i="11"/>
  <c r="DB16" i="11"/>
  <c r="DC16" i="11"/>
  <c r="DD16" i="11"/>
  <c r="DE16" i="11"/>
  <c r="DF16" i="11"/>
  <c r="DG16" i="11"/>
  <c r="DH16" i="11"/>
  <c r="DI16" i="11"/>
  <c r="DQ16" i="11"/>
  <c r="DR16" i="11" a="1"/>
  <c r="DR16" i="11"/>
  <c r="DS16" i="11"/>
  <c r="DT16" i="11"/>
  <c r="DU16" i="11"/>
  <c r="DV16" i="11"/>
  <c r="DW16" i="11"/>
  <c r="DX16" i="11"/>
  <c r="DY16" i="11"/>
  <c r="DZ16" i="11"/>
  <c r="G17" i="11" a="1"/>
  <c r="G17" i="11"/>
  <c r="H17" i="11"/>
  <c r="S17" i="11"/>
  <c r="T17" i="11" a="1"/>
  <c r="T17" i="11"/>
  <c r="U17" i="11"/>
  <c r="V17" i="11"/>
  <c r="W17" i="11"/>
  <c r="X17" i="11"/>
  <c r="Y17" i="11"/>
  <c r="Z17" i="11"/>
  <c r="AA17" i="11"/>
  <c r="AB17" i="11"/>
  <c r="AJ17" i="11"/>
  <c r="AK17" i="11" a="1"/>
  <c r="AK17" i="11"/>
  <c r="AL17" i="11"/>
  <c r="AM17" i="11"/>
  <c r="AN17" i="11"/>
  <c r="AO17" i="11"/>
  <c r="AP17" i="11"/>
  <c r="AQ17" i="11"/>
  <c r="AR17" i="11"/>
  <c r="AS17" i="11"/>
  <c r="BA17" i="11"/>
  <c r="BB17" i="11" a="1"/>
  <c r="BB17" i="11"/>
  <c r="BC17" i="11"/>
  <c r="BD17" i="11"/>
  <c r="BE17" i="11"/>
  <c r="BF17" i="11"/>
  <c r="BG17" i="11"/>
  <c r="BH17" i="11"/>
  <c r="BI17" i="11"/>
  <c r="BJ17" i="11"/>
  <c r="BR17" i="11"/>
  <c r="BS17" i="11" a="1"/>
  <c r="BS17" i="11"/>
  <c r="BT17" i="11"/>
  <c r="BU17" i="11"/>
  <c r="BV17" i="11"/>
  <c r="BW17" i="11"/>
  <c r="BX17" i="11"/>
  <c r="BY17" i="11"/>
  <c r="BZ17" i="11"/>
  <c r="CA17" i="11"/>
  <c r="CI17" i="11"/>
  <c r="CJ17" i="11" a="1"/>
  <c r="CJ17" i="11"/>
  <c r="CK17" i="11"/>
  <c r="CL17" i="11"/>
  <c r="CM17" i="11"/>
  <c r="CN17" i="11"/>
  <c r="CO17" i="11"/>
  <c r="CP17" i="11"/>
  <c r="CQ17" i="11"/>
  <c r="CR17" i="11"/>
  <c r="CZ17" i="11"/>
  <c r="DA17" i="11" a="1"/>
  <c r="DA17" i="11"/>
  <c r="DB17" i="11"/>
  <c r="DC17" i="11"/>
  <c r="DD17" i="11"/>
  <c r="DE17" i="11"/>
  <c r="DF17" i="11"/>
  <c r="DG17" i="11"/>
  <c r="DH17" i="11"/>
  <c r="DI17" i="11"/>
  <c r="DQ17" i="11"/>
  <c r="DR17" i="11" a="1"/>
  <c r="DR17" i="11"/>
  <c r="DS17" i="11"/>
  <c r="DT17" i="11"/>
  <c r="DU17" i="11"/>
  <c r="DV17" i="11"/>
  <c r="DW17" i="11"/>
  <c r="DX17" i="11"/>
  <c r="DY17" i="11"/>
  <c r="DZ17" i="11"/>
  <c r="G18" i="11" a="1"/>
  <c r="G18" i="11"/>
  <c r="H18" i="11"/>
  <c r="L18" i="11"/>
  <c r="M18" i="11"/>
  <c r="N18" i="11"/>
  <c r="O18" i="11"/>
  <c r="P18" i="11"/>
  <c r="Q18" i="11"/>
  <c r="R18" i="11"/>
  <c r="S18" i="11"/>
  <c r="T18" i="11" a="1"/>
  <c r="T18" i="11"/>
  <c r="U18" i="11"/>
  <c r="V18" i="11"/>
  <c r="W18" i="11"/>
  <c r="X18" i="11"/>
  <c r="Y18" i="11"/>
  <c r="Z18" i="11"/>
  <c r="AA18" i="11"/>
  <c r="AB18" i="11"/>
  <c r="AC18" i="11"/>
  <c r="AD18" i="11"/>
  <c r="AE18" i="11"/>
  <c r="AF18" i="11"/>
  <c r="AG18" i="11"/>
  <c r="AH18" i="11"/>
  <c r="AI18" i="11"/>
  <c r="AJ18" i="11"/>
  <c r="AK18" i="11" a="1"/>
  <c r="AK18" i="11"/>
  <c r="AL18" i="11"/>
  <c r="AM18" i="11"/>
  <c r="AN18" i="11"/>
  <c r="AO18" i="11"/>
  <c r="AP18" i="11"/>
  <c r="AQ18" i="11"/>
  <c r="AR18" i="11"/>
  <c r="AS18" i="11"/>
  <c r="AT18" i="11"/>
  <c r="AU18" i="11"/>
  <c r="AV18" i="11"/>
  <c r="AW18" i="11"/>
  <c r="AX18" i="11"/>
  <c r="AY18" i="11"/>
  <c r="AZ18" i="11"/>
  <c r="BA18" i="11"/>
  <c r="BB18" i="11" a="1"/>
  <c r="BB18" i="11"/>
  <c r="BC18" i="11"/>
  <c r="BD18" i="11"/>
  <c r="BE18" i="11"/>
  <c r="BF18" i="11"/>
  <c r="BG18" i="11"/>
  <c r="BH18" i="11"/>
  <c r="BI18" i="11"/>
  <c r="BJ18" i="11"/>
  <c r="BK18" i="11"/>
  <c r="BL18" i="11"/>
  <c r="BM18" i="11"/>
  <c r="BN18" i="11"/>
  <c r="BO18" i="11"/>
  <c r="BP18" i="11"/>
  <c r="BQ18" i="11"/>
  <c r="BR18" i="11"/>
  <c r="BS18" i="11" a="1"/>
  <c r="BS18" i="11"/>
  <c r="BT18" i="11"/>
  <c r="BU18" i="11"/>
  <c r="BV18" i="11"/>
  <c r="BW18" i="11"/>
  <c r="BX18" i="11"/>
  <c r="BY18" i="11"/>
  <c r="BZ18" i="11"/>
  <c r="CA18" i="11"/>
  <c r="CB18" i="11"/>
  <c r="CC18" i="11"/>
  <c r="CD18" i="11"/>
  <c r="CE18" i="11"/>
  <c r="CF18" i="11"/>
  <c r="CG18" i="11"/>
  <c r="CH18" i="11"/>
  <c r="CI18" i="11"/>
  <c r="CJ18" i="11" a="1"/>
  <c r="CJ18" i="11"/>
  <c r="CK18" i="11"/>
  <c r="CL18" i="11"/>
  <c r="CM18" i="11"/>
  <c r="CN18" i="11"/>
  <c r="CO18" i="11"/>
  <c r="CP18" i="11"/>
  <c r="CQ18" i="11"/>
  <c r="CR18" i="11"/>
  <c r="CS18" i="11"/>
  <c r="CT18" i="11"/>
  <c r="CU18" i="11"/>
  <c r="CV18" i="11"/>
  <c r="CW18" i="11"/>
  <c r="CX18" i="11"/>
  <c r="CY18" i="11"/>
  <c r="CZ18" i="11"/>
  <c r="DA18" i="11" a="1"/>
  <c r="DA18" i="11"/>
  <c r="DB18" i="11"/>
  <c r="DC18" i="11"/>
  <c r="DD18" i="11"/>
  <c r="DE18" i="11"/>
  <c r="DF18" i="11"/>
  <c r="DG18" i="11"/>
  <c r="DH18" i="11"/>
  <c r="DI18" i="11"/>
  <c r="DJ18" i="11"/>
  <c r="DK18" i="11"/>
  <c r="DL18" i="11"/>
  <c r="DM18" i="11"/>
  <c r="DN18" i="11"/>
  <c r="DO18" i="11"/>
  <c r="DP18" i="11"/>
  <c r="DQ18" i="11"/>
  <c r="DR18" i="11" a="1"/>
  <c r="DR18" i="11"/>
  <c r="DS18" i="11"/>
  <c r="DT18" i="11"/>
  <c r="DU18" i="11"/>
  <c r="DV18" i="11"/>
  <c r="DW18" i="11"/>
  <c r="DX18" i="11"/>
  <c r="DY18" i="11"/>
  <c r="DZ18" i="11"/>
  <c r="G19" i="11" a="1"/>
  <c r="G19" i="11"/>
  <c r="H19" i="11"/>
  <c r="S19" i="11"/>
  <c r="T19" i="11" a="1"/>
  <c r="T19" i="11"/>
  <c r="U19" i="11"/>
  <c r="V19" i="11"/>
  <c r="W19" i="11"/>
  <c r="X19" i="11"/>
  <c r="Y19" i="11"/>
  <c r="Z19" i="11"/>
  <c r="AA19" i="11"/>
  <c r="AB19" i="11"/>
  <c r="AJ19" i="11"/>
  <c r="AK19" i="11" a="1"/>
  <c r="AK19" i="11"/>
  <c r="AL19" i="11"/>
  <c r="AM19" i="11"/>
  <c r="AN19" i="11"/>
  <c r="AO19" i="11"/>
  <c r="AP19" i="11"/>
  <c r="AQ19" i="11"/>
  <c r="AR19" i="11"/>
  <c r="AS19" i="11"/>
  <c r="BA19" i="11"/>
  <c r="BB19" i="11" a="1"/>
  <c r="BB19" i="11"/>
  <c r="BC19" i="11"/>
  <c r="BD19" i="11"/>
  <c r="BE19" i="11"/>
  <c r="BF19" i="11"/>
  <c r="BG19" i="11"/>
  <c r="BH19" i="11"/>
  <c r="BI19" i="11"/>
  <c r="BJ19" i="11"/>
  <c r="BR19" i="11"/>
  <c r="BS19" i="11" a="1"/>
  <c r="BS19" i="11"/>
  <c r="BT19" i="11"/>
  <c r="BU19" i="11"/>
  <c r="BV19" i="11"/>
  <c r="BW19" i="11"/>
  <c r="BX19" i="11"/>
  <c r="BY19" i="11"/>
  <c r="BZ19" i="11"/>
  <c r="CA19" i="11"/>
  <c r="CI19" i="11"/>
  <c r="CJ19" i="11" a="1"/>
  <c r="CJ19" i="11"/>
  <c r="CK19" i="11"/>
  <c r="CL19" i="11"/>
  <c r="CM19" i="11"/>
  <c r="CN19" i="11"/>
  <c r="CO19" i="11"/>
  <c r="CP19" i="11"/>
  <c r="CQ19" i="11"/>
  <c r="CR19" i="11"/>
  <c r="CZ19" i="11"/>
  <c r="DA19" i="11" a="1"/>
  <c r="DA19" i="11"/>
  <c r="DB19" i="11"/>
  <c r="DC19" i="11"/>
  <c r="DD19" i="11"/>
  <c r="DE19" i="11"/>
  <c r="DF19" i="11"/>
  <c r="DG19" i="11"/>
  <c r="DH19" i="11"/>
  <c r="DI19" i="11"/>
  <c r="DQ19" i="11"/>
  <c r="DR19" i="11" a="1"/>
  <c r="DR19" i="11"/>
  <c r="DS19" i="11"/>
  <c r="DT19" i="11"/>
  <c r="DU19" i="11"/>
  <c r="DV19" i="11"/>
  <c r="DW19" i="11"/>
  <c r="DX19" i="11"/>
  <c r="DY19" i="11"/>
  <c r="DZ19" i="11"/>
  <c r="G20" i="11" a="1"/>
  <c r="G20" i="11"/>
  <c r="H20" i="11"/>
  <c r="L20" i="11"/>
  <c r="M20" i="11"/>
  <c r="N20" i="11"/>
  <c r="O20" i="11"/>
  <c r="P20" i="11"/>
  <c r="Q20" i="11"/>
  <c r="R20" i="11"/>
  <c r="S20" i="11"/>
  <c r="T20" i="11" a="1"/>
  <c r="T20" i="11"/>
  <c r="U20" i="11"/>
  <c r="V20" i="11"/>
  <c r="W20" i="11"/>
  <c r="X20" i="11"/>
  <c r="Y20" i="11"/>
  <c r="Z20" i="11"/>
  <c r="AA20" i="11"/>
  <c r="AB20" i="11"/>
  <c r="AC20" i="11"/>
  <c r="AD20" i="11"/>
  <c r="AE20" i="11"/>
  <c r="AF20" i="11"/>
  <c r="AG20" i="11"/>
  <c r="AH20" i="11"/>
  <c r="AI20" i="11"/>
  <c r="AJ20" i="11"/>
  <c r="AK20" i="11" a="1"/>
  <c r="AK20" i="11"/>
  <c r="AL20" i="11"/>
  <c r="AM20" i="11"/>
  <c r="AN20" i="11"/>
  <c r="AO20" i="11"/>
  <c r="AP20" i="11"/>
  <c r="AQ20" i="11"/>
  <c r="AR20" i="11"/>
  <c r="AS20" i="11"/>
  <c r="AT20" i="11"/>
  <c r="AU20" i="11"/>
  <c r="AV20" i="11"/>
  <c r="AW20" i="11"/>
  <c r="AX20" i="11"/>
  <c r="AY20" i="11"/>
  <c r="AZ20" i="11"/>
  <c r="BA20" i="11"/>
  <c r="BB20" i="11" a="1"/>
  <c r="BB20" i="11"/>
  <c r="BC20" i="11"/>
  <c r="BD20" i="11"/>
  <c r="BE20" i="11"/>
  <c r="BF20" i="11"/>
  <c r="BG20" i="11"/>
  <c r="BH20" i="11"/>
  <c r="BI20" i="11"/>
  <c r="BJ20" i="11"/>
  <c r="BK20" i="11"/>
  <c r="BL20" i="11"/>
  <c r="BM20" i="11"/>
  <c r="BN20" i="11"/>
  <c r="BO20" i="11"/>
  <c r="BP20" i="11"/>
  <c r="BQ20" i="11"/>
  <c r="BR20" i="11"/>
  <c r="BS20" i="11" a="1"/>
  <c r="BS20" i="11"/>
  <c r="BT20" i="11"/>
  <c r="BU20" i="11"/>
  <c r="BV20" i="11"/>
  <c r="BW20" i="11"/>
  <c r="BX20" i="11"/>
  <c r="BY20" i="11"/>
  <c r="BZ20" i="11"/>
  <c r="CA20" i="11"/>
  <c r="CB20" i="11"/>
  <c r="CC20" i="11"/>
  <c r="CD20" i="11"/>
  <c r="CE20" i="11"/>
  <c r="CF20" i="11"/>
  <c r="CG20" i="11"/>
  <c r="CH20" i="11"/>
  <c r="CI20" i="11"/>
  <c r="CJ20" i="11" a="1"/>
  <c r="CJ20" i="11"/>
  <c r="CK20" i="11"/>
  <c r="CL20" i="11"/>
  <c r="CM20" i="11"/>
  <c r="CN20" i="11"/>
  <c r="CO20" i="11"/>
  <c r="CP20" i="11"/>
  <c r="CQ20" i="11"/>
  <c r="CR20" i="11"/>
  <c r="CS20" i="11"/>
  <c r="CT20" i="11"/>
  <c r="CU20" i="11"/>
  <c r="CV20" i="11"/>
  <c r="CW20" i="11"/>
  <c r="CX20" i="11"/>
  <c r="CY20" i="11"/>
  <c r="CZ20" i="11"/>
  <c r="DA20" i="11" a="1"/>
  <c r="DA20" i="11"/>
  <c r="DB20" i="11"/>
  <c r="DC20" i="11"/>
  <c r="DD20" i="11"/>
  <c r="DE20" i="11"/>
  <c r="DF20" i="11"/>
  <c r="DG20" i="11"/>
  <c r="DH20" i="11"/>
  <c r="DI20" i="11"/>
  <c r="DJ20" i="11"/>
  <c r="DK20" i="11"/>
  <c r="DL20" i="11"/>
  <c r="DM20" i="11"/>
  <c r="DN20" i="11"/>
  <c r="DO20" i="11"/>
  <c r="DP20" i="11"/>
  <c r="DQ20" i="11"/>
  <c r="DR20" i="11" a="1"/>
  <c r="DR20" i="11"/>
  <c r="DS20" i="11"/>
  <c r="DT20" i="11"/>
  <c r="DU20" i="11"/>
  <c r="DV20" i="11"/>
  <c r="DW20" i="11"/>
  <c r="DX20" i="11"/>
  <c r="DY20" i="11"/>
  <c r="DZ20" i="11"/>
  <c r="G21" i="11" a="1"/>
  <c r="G21" i="11"/>
  <c r="H21" i="11"/>
  <c r="S21" i="11"/>
  <c r="T21" i="11" a="1"/>
  <c r="T21" i="11"/>
  <c r="U21" i="11"/>
  <c r="V21" i="11"/>
  <c r="W21" i="11"/>
  <c r="X21" i="11"/>
  <c r="Y21" i="11"/>
  <c r="Z21" i="11"/>
  <c r="AA21" i="11"/>
  <c r="AB21" i="11"/>
  <c r="AJ21" i="11"/>
  <c r="AK21" i="11" a="1"/>
  <c r="AK21" i="11"/>
  <c r="AL21" i="11"/>
  <c r="AM21" i="11"/>
  <c r="AN21" i="11"/>
  <c r="AO21" i="11"/>
  <c r="AP21" i="11"/>
  <c r="AQ21" i="11"/>
  <c r="AR21" i="11"/>
  <c r="AS21" i="11"/>
  <c r="BA21" i="11"/>
  <c r="BB21" i="11" a="1"/>
  <c r="BB21" i="11"/>
  <c r="BC21" i="11"/>
  <c r="BD21" i="11"/>
  <c r="BE21" i="11"/>
  <c r="BF21" i="11"/>
  <c r="BG21" i="11"/>
  <c r="BH21" i="11"/>
  <c r="BI21" i="11"/>
  <c r="BJ21" i="11"/>
  <c r="BR21" i="11"/>
  <c r="BS21" i="11" a="1"/>
  <c r="BS21" i="11"/>
  <c r="BT21" i="11"/>
  <c r="BU21" i="11"/>
  <c r="BV21" i="11"/>
  <c r="BW21" i="11"/>
  <c r="BX21" i="11"/>
  <c r="BY21" i="11"/>
  <c r="BZ21" i="11"/>
  <c r="CA21" i="11"/>
  <c r="CI21" i="11"/>
  <c r="CJ21" i="11" a="1"/>
  <c r="CJ21" i="11"/>
  <c r="CK21" i="11"/>
  <c r="CL21" i="11"/>
  <c r="CM21" i="11"/>
  <c r="CN21" i="11"/>
  <c r="CO21" i="11"/>
  <c r="CP21" i="11"/>
  <c r="CQ21" i="11"/>
  <c r="CR21" i="11"/>
  <c r="CZ21" i="11"/>
  <c r="DA21" i="11" a="1"/>
  <c r="DA21" i="11"/>
  <c r="DB21" i="11"/>
  <c r="DC21" i="11"/>
  <c r="DD21" i="11"/>
  <c r="DE21" i="11"/>
  <c r="DF21" i="11"/>
  <c r="DG21" i="11"/>
  <c r="DH21" i="11"/>
  <c r="DI21" i="11"/>
  <c r="DQ21" i="11"/>
  <c r="DR21" i="11" a="1"/>
  <c r="DR21" i="11"/>
  <c r="DS21" i="11"/>
  <c r="DT21" i="11"/>
  <c r="DU21" i="11"/>
  <c r="DV21" i="11"/>
  <c r="DW21" i="11"/>
  <c r="DX21" i="11"/>
  <c r="DY21" i="11"/>
  <c r="DZ21" i="11"/>
  <c r="G22" i="11" a="1"/>
  <c r="G22" i="11"/>
  <c r="H22" i="11"/>
  <c r="S22" i="11"/>
  <c r="T22" i="11" a="1"/>
  <c r="T22" i="11"/>
  <c r="U22" i="11"/>
  <c r="V22" i="11"/>
  <c r="W22" i="11"/>
  <c r="X22" i="11"/>
  <c r="Y22" i="11"/>
  <c r="Z22" i="11"/>
  <c r="AA22" i="11"/>
  <c r="AB22" i="11"/>
  <c r="AJ22" i="11"/>
  <c r="AK22" i="11" a="1"/>
  <c r="AK22" i="11"/>
  <c r="AL22" i="11"/>
  <c r="AM22" i="11"/>
  <c r="AN22" i="11"/>
  <c r="AO22" i="11"/>
  <c r="AP22" i="11"/>
  <c r="AQ22" i="11"/>
  <c r="AR22" i="11"/>
  <c r="AS22" i="11"/>
  <c r="BA22" i="11"/>
  <c r="BB22" i="11" a="1"/>
  <c r="BB22" i="11"/>
  <c r="BC22" i="11"/>
  <c r="BD22" i="11"/>
  <c r="BE22" i="11"/>
  <c r="BF22" i="11"/>
  <c r="BG22" i="11"/>
  <c r="BH22" i="11"/>
  <c r="BI22" i="11"/>
  <c r="BJ22" i="11"/>
  <c r="BR22" i="11"/>
  <c r="BS22" i="11" a="1"/>
  <c r="BS22" i="11"/>
  <c r="BT22" i="11"/>
  <c r="BU22" i="11"/>
  <c r="BV22" i="11"/>
  <c r="BW22" i="11"/>
  <c r="BX22" i="11"/>
  <c r="BY22" i="11"/>
  <c r="BZ22" i="11"/>
  <c r="CA22" i="11"/>
  <c r="CI22" i="11"/>
  <c r="CJ22" i="11" a="1"/>
  <c r="CJ22" i="11"/>
  <c r="CK22" i="11"/>
  <c r="CL22" i="11"/>
  <c r="CM22" i="11"/>
  <c r="CN22" i="11"/>
  <c r="CO22" i="11"/>
  <c r="CP22" i="11"/>
  <c r="CQ22" i="11"/>
  <c r="CR22" i="11"/>
  <c r="CZ22" i="11"/>
  <c r="DA22" i="11" a="1"/>
  <c r="DA22" i="11"/>
  <c r="DB22" i="11"/>
  <c r="DC22" i="11"/>
  <c r="DD22" i="11"/>
  <c r="DE22" i="11"/>
  <c r="DF22" i="11"/>
  <c r="DG22" i="11"/>
  <c r="DH22" i="11"/>
  <c r="DI22" i="11"/>
  <c r="DQ22" i="11"/>
  <c r="DR22" i="11" a="1"/>
  <c r="DR22" i="11"/>
  <c r="DS22" i="11"/>
  <c r="DT22" i="11"/>
  <c r="DU22" i="11"/>
  <c r="DV22" i="11"/>
  <c r="DW22" i="11"/>
  <c r="DX22" i="11"/>
  <c r="DY22" i="11"/>
  <c r="DZ22" i="11"/>
  <c r="G23" i="11" a="1"/>
  <c r="G23" i="11"/>
  <c r="H23" i="11"/>
  <c r="S23" i="11"/>
  <c r="T23" i="11" a="1"/>
  <c r="T23" i="11"/>
  <c r="U23" i="11"/>
  <c r="V23" i="11"/>
  <c r="W23" i="11"/>
  <c r="X23" i="11"/>
  <c r="Y23" i="11"/>
  <c r="Z23" i="11"/>
  <c r="AA23" i="11"/>
  <c r="AB23" i="11"/>
  <c r="AJ23" i="11"/>
  <c r="AK23" i="11" a="1"/>
  <c r="AK23" i="11"/>
  <c r="AL23" i="11"/>
  <c r="AM23" i="11"/>
  <c r="AN23" i="11"/>
  <c r="AO23" i="11"/>
  <c r="AP23" i="11"/>
  <c r="AQ23" i="11"/>
  <c r="AR23" i="11"/>
  <c r="AS23" i="11"/>
  <c r="BA23" i="11"/>
  <c r="BB23" i="11" a="1"/>
  <c r="BB23" i="11"/>
  <c r="BC23" i="11"/>
  <c r="BD23" i="11"/>
  <c r="BE23" i="11"/>
  <c r="BF23" i="11"/>
  <c r="BG23" i="11"/>
  <c r="BH23" i="11"/>
  <c r="BI23" i="11"/>
  <c r="BJ23" i="11"/>
  <c r="BR23" i="11"/>
  <c r="BS23" i="11" a="1"/>
  <c r="BS23" i="11"/>
  <c r="BT23" i="11"/>
  <c r="BU23" i="11"/>
  <c r="BV23" i="11"/>
  <c r="BW23" i="11"/>
  <c r="BX23" i="11"/>
  <c r="BY23" i="11"/>
  <c r="BZ23" i="11"/>
  <c r="CA23" i="11"/>
  <c r="CI23" i="11"/>
  <c r="CJ23" i="11" a="1"/>
  <c r="CJ23" i="11"/>
  <c r="CK23" i="11"/>
  <c r="CL23" i="11"/>
  <c r="CM23" i="11"/>
  <c r="CN23" i="11"/>
  <c r="CO23" i="11"/>
  <c r="CP23" i="11"/>
  <c r="CQ23" i="11"/>
  <c r="CR23" i="11"/>
  <c r="CZ23" i="11"/>
  <c r="DA23" i="11" a="1"/>
  <c r="DA23" i="11"/>
  <c r="DB23" i="11"/>
  <c r="DC23" i="11"/>
  <c r="DD23" i="11"/>
  <c r="DE23" i="11"/>
  <c r="DF23" i="11"/>
  <c r="DG23" i="11"/>
  <c r="DH23" i="11"/>
  <c r="DI23" i="11"/>
  <c r="DQ23" i="11"/>
  <c r="DR23" i="11" a="1"/>
  <c r="DR23" i="11"/>
  <c r="DS23" i="11"/>
  <c r="DT23" i="11"/>
  <c r="DU23" i="11"/>
  <c r="DV23" i="11"/>
  <c r="DW23" i="11"/>
  <c r="DX23" i="11"/>
  <c r="DY23" i="11"/>
  <c r="DZ23" i="11"/>
  <c r="G24" i="11" a="1"/>
  <c r="G24" i="11"/>
  <c r="H24" i="11"/>
  <c r="S24" i="11"/>
  <c r="T24" i="11" a="1"/>
  <c r="T24" i="11"/>
  <c r="U24" i="11"/>
  <c r="V24" i="11"/>
  <c r="W24" i="11"/>
  <c r="X24" i="11"/>
  <c r="Y24" i="11"/>
  <c r="Z24" i="11"/>
  <c r="AA24" i="11"/>
  <c r="AB24" i="11"/>
  <c r="AJ24" i="11"/>
  <c r="AK24" i="11" a="1"/>
  <c r="AK24" i="11"/>
  <c r="AL24" i="11"/>
  <c r="AM24" i="11"/>
  <c r="AN24" i="11"/>
  <c r="AO24" i="11"/>
  <c r="AP24" i="11"/>
  <c r="AQ24" i="11"/>
  <c r="AR24" i="11"/>
  <c r="AS24" i="11"/>
  <c r="BA24" i="11"/>
  <c r="BB24" i="11" a="1"/>
  <c r="BB24" i="11"/>
  <c r="BC24" i="11"/>
  <c r="BD24" i="11"/>
  <c r="BE24" i="11"/>
  <c r="BF24" i="11"/>
  <c r="BG24" i="11"/>
  <c r="BH24" i="11"/>
  <c r="BI24" i="11"/>
  <c r="BJ24" i="11"/>
  <c r="BR24" i="11"/>
  <c r="BS24" i="11" a="1"/>
  <c r="BS24" i="11"/>
  <c r="BT24" i="11"/>
  <c r="BU24" i="11"/>
  <c r="BV24" i="11"/>
  <c r="BW24" i="11"/>
  <c r="BX24" i="11"/>
  <c r="BY24" i="11"/>
  <c r="BZ24" i="11"/>
  <c r="CA24" i="11"/>
  <c r="CI24" i="11"/>
  <c r="CJ24" i="11" a="1"/>
  <c r="CJ24" i="11"/>
  <c r="CK24" i="11"/>
  <c r="CL24" i="11"/>
  <c r="CM24" i="11"/>
  <c r="CN24" i="11"/>
  <c r="CO24" i="11"/>
  <c r="CP24" i="11"/>
  <c r="CQ24" i="11"/>
  <c r="CR24" i="11"/>
  <c r="CZ24" i="11"/>
  <c r="DA24" i="11" a="1"/>
  <c r="DA24" i="11"/>
  <c r="DB24" i="11"/>
  <c r="DC24" i="11"/>
  <c r="DD24" i="11"/>
  <c r="DE24" i="11"/>
  <c r="DF24" i="11"/>
  <c r="DG24" i="11"/>
  <c r="DH24" i="11"/>
  <c r="DI24" i="11"/>
  <c r="DQ24" i="11"/>
  <c r="DR24" i="11" a="1"/>
  <c r="DR24" i="11"/>
  <c r="DS24" i="11"/>
  <c r="DT24" i="11"/>
  <c r="DU24" i="11"/>
  <c r="DV24" i="11"/>
  <c r="DW24" i="11"/>
  <c r="DX24" i="11"/>
  <c r="DY24" i="11"/>
  <c r="DZ24" i="11"/>
  <c r="G25" i="11" a="1"/>
  <c r="G25" i="11"/>
  <c r="H25" i="11"/>
  <c r="L25" i="11"/>
  <c r="M25" i="11"/>
  <c r="N25" i="11"/>
  <c r="O25" i="11"/>
  <c r="P25" i="11"/>
  <c r="Q25" i="11"/>
  <c r="R25" i="11"/>
  <c r="S25" i="11"/>
  <c r="T25" i="11" a="1"/>
  <c r="T25" i="11"/>
  <c r="U25" i="11"/>
  <c r="V25" i="11"/>
  <c r="W25" i="11"/>
  <c r="X25" i="11"/>
  <c r="Y25" i="11"/>
  <c r="Z25" i="11"/>
  <c r="AA25" i="11"/>
  <c r="AB25" i="11"/>
  <c r="AC25" i="11"/>
  <c r="AD25" i="11"/>
  <c r="AE25" i="11"/>
  <c r="AF25" i="11"/>
  <c r="AG25" i="11"/>
  <c r="AH25" i="11"/>
  <c r="AI25" i="11"/>
  <c r="AJ25" i="11"/>
  <c r="AK25" i="11" a="1"/>
  <c r="AK25" i="11"/>
  <c r="AL25" i="11"/>
  <c r="AM25" i="11"/>
  <c r="AN25" i="11"/>
  <c r="AO25" i="11"/>
  <c r="AP25" i="11"/>
  <c r="AQ25" i="11"/>
  <c r="AR25" i="11"/>
  <c r="AS25" i="11"/>
  <c r="AT25" i="11"/>
  <c r="AU25" i="11"/>
  <c r="AV25" i="11"/>
  <c r="AW25" i="11"/>
  <c r="AX25" i="11"/>
  <c r="AY25" i="11"/>
  <c r="AZ25" i="11"/>
  <c r="BA25" i="11"/>
  <c r="BB25" i="11" a="1"/>
  <c r="BB25" i="11"/>
  <c r="BC25" i="11"/>
  <c r="BD25" i="11"/>
  <c r="BE25" i="11"/>
  <c r="BF25" i="11"/>
  <c r="BG25" i="11"/>
  <c r="BH25" i="11"/>
  <c r="BI25" i="11"/>
  <c r="BJ25" i="11"/>
  <c r="BK25" i="11"/>
  <c r="BL25" i="11"/>
  <c r="BM25" i="11"/>
  <c r="BN25" i="11"/>
  <c r="BO25" i="11"/>
  <c r="BP25" i="11"/>
  <c r="BQ25" i="11"/>
  <c r="BR25" i="11"/>
  <c r="BS25" i="11" a="1"/>
  <c r="BS25" i="11"/>
  <c r="BT25" i="11"/>
  <c r="BU25" i="11"/>
  <c r="BV25" i="11"/>
  <c r="BW25" i="11"/>
  <c r="BX25" i="11"/>
  <c r="BY25" i="11"/>
  <c r="BZ25" i="11"/>
  <c r="CA25" i="11"/>
  <c r="CB25" i="11"/>
  <c r="CC25" i="11"/>
  <c r="CD25" i="11"/>
  <c r="CE25" i="11"/>
  <c r="CF25" i="11"/>
  <c r="CG25" i="11"/>
  <c r="CH25" i="11"/>
  <c r="CI25" i="11"/>
  <c r="CJ25" i="11" a="1"/>
  <c r="CJ25" i="11"/>
  <c r="CK25" i="11"/>
  <c r="CL25" i="11"/>
  <c r="CM25" i="11"/>
  <c r="CN25" i="11"/>
  <c r="CO25" i="11"/>
  <c r="CP25" i="11"/>
  <c r="CQ25" i="11"/>
  <c r="CR25" i="11"/>
  <c r="CS25" i="11"/>
  <c r="CT25" i="11"/>
  <c r="CU25" i="11"/>
  <c r="CV25" i="11"/>
  <c r="CW25" i="11"/>
  <c r="CX25" i="11"/>
  <c r="CY25" i="11"/>
  <c r="CZ25" i="11"/>
  <c r="DA25" i="11" a="1"/>
  <c r="DA25" i="11"/>
  <c r="DB25" i="11"/>
  <c r="DC25" i="11"/>
  <c r="DD25" i="11"/>
  <c r="DE25" i="11"/>
  <c r="DF25" i="11"/>
  <c r="DG25" i="11"/>
  <c r="DH25" i="11"/>
  <c r="DI25" i="11"/>
  <c r="DJ25" i="11"/>
  <c r="DK25" i="11"/>
  <c r="DL25" i="11"/>
  <c r="DM25" i="11"/>
  <c r="DN25" i="11"/>
  <c r="DO25" i="11"/>
  <c r="DP25" i="11"/>
  <c r="DQ25" i="11"/>
  <c r="DR25" i="11" a="1"/>
  <c r="DR25" i="11"/>
  <c r="DS25" i="11"/>
  <c r="DT25" i="11"/>
  <c r="DU25" i="11"/>
  <c r="DV25" i="11"/>
  <c r="DW25" i="11"/>
  <c r="DX25" i="11"/>
  <c r="DY25" i="11"/>
  <c r="DZ25" i="11"/>
  <c r="G26" i="11" a="1"/>
  <c r="G26" i="11"/>
  <c r="H26" i="11"/>
  <c r="L26" i="11"/>
  <c r="M26" i="11"/>
  <c r="N26" i="11"/>
  <c r="O26" i="11"/>
  <c r="P26" i="11"/>
  <c r="Q26" i="11"/>
  <c r="R26" i="11"/>
  <c r="S26" i="11"/>
  <c r="T26" i="11" a="1"/>
  <c r="T26" i="11"/>
  <c r="U26" i="11"/>
  <c r="V26" i="11"/>
  <c r="W26" i="11"/>
  <c r="X26" i="11"/>
  <c r="Y26" i="11"/>
  <c r="Z26" i="11"/>
  <c r="AA26" i="11"/>
  <c r="AB26" i="11"/>
  <c r="AC26" i="11"/>
  <c r="AD26" i="11"/>
  <c r="AE26" i="11"/>
  <c r="AF26" i="11"/>
  <c r="AG26" i="11"/>
  <c r="AH26" i="11"/>
  <c r="AI26" i="11"/>
  <c r="AJ26" i="11"/>
  <c r="AK26" i="11" a="1"/>
  <c r="AK26" i="11"/>
  <c r="AL26" i="11"/>
  <c r="AM26" i="11"/>
  <c r="AN26" i="11"/>
  <c r="AO26" i="11"/>
  <c r="AP26" i="11"/>
  <c r="AQ26" i="11"/>
  <c r="AR26" i="11"/>
  <c r="AS26" i="11"/>
  <c r="AT26" i="11"/>
  <c r="AU26" i="11"/>
  <c r="AV26" i="11"/>
  <c r="AW26" i="11"/>
  <c r="AX26" i="11"/>
  <c r="AY26" i="11"/>
  <c r="AZ26" i="11"/>
  <c r="BA26" i="11"/>
  <c r="BB26" i="11" a="1"/>
  <c r="BB26" i="11"/>
  <c r="BC26" i="11"/>
  <c r="BD26" i="11"/>
  <c r="BE26" i="11"/>
  <c r="BF26" i="11"/>
  <c r="BG26" i="11"/>
  <c r="BH26" i="11"/>
  <c r="BI26" i="11"/>
  <c r="BJ26" i="11"/>
  <c r="BK26" i="11"/>
  <c r="BL26" i="11"/>
  <c r="BM26" i="11"/>
  <c r="BN26" i="11"/>
  <c r="BO26" i="11"/>
  <c r="BP26" i="11"/>
  <c r="BQ26" i="11"/>
  <c r="BR26" i="11"/>
  <c r="BS26" i="11" a="1"/>
  <c r="BS26" i="11"/>
  <c r="BT26" i="11"/>
  <c r="BU26" i="11"/>
  <c r="BV26" i="11"/>
  <c r="BW26" i="11"/>
  <c r="BX26" i="11"/>
  <c r="BY26" i="11"/>
  <c r="BZ26" i="11"/>
  <c r="CA26" i="11"/>
  <c r="CB26" i="11"/>
  <c r="CC26" i="11"/>
  <c r="CD26" i="11"/>
  <c r="CE26" i="11"/>
  <c r="CF26" i="11"/>
  <c r="CG26" i="11"/>
  <c r="CH26" i="11"/>
  <c r="CI26" i="11"/>
  <c r="CJ26" i="11" a="1"/>
  <c r="CJ26" i="11"/>
  <c r="CK26" i="11"/>
  <c r="CL26" i="11"/>
  <c r="CM26" i="11"/>
  <c r="CN26" i="11"/>
  <c r="CO26" i="11"/>
  <c r="CP26" i="11"/>
  <c r="CQ26" i="11"/>
  <c r="CR26" i="11"/>
  <c r="CS26" i="11"/>
  <c r="CT26" i="11"/>
  <c r="CU26" i="11"/>
  <c r="CV26" i="11"/>
  <c r="CW26" i="11"/>
  <c r="CX26" i="11"/>
  <c r="CY26" i="11"/>
  <c r="CZ26" i="11"/>
  <c r="DA26" i="11" a="1"/>
  <c r="DA26" i="11"/>
  <c r="DB26" i="11"/>
  <c r="DC26" i="11"/>
  <c r="DD26" i="11"/>
  <c r="DE26" i="11"/>
  <c r="DF26" i="11"/>
  <c r="DG26" i="11"/>
  <c r="DH26" i="11"/>
  <c r="DI26" i="11"/>
  <c r="DJ26" i="11"/>
  <c r="DK26" i="11"/>
  <c r="DL26" i="11"/>
  <c r="DM26" i="11"/>
  <c r="DN26" i="11"/>
  <c r="DO26" i="11"/>
  <c r="DP26" i="11"/>
  <c r="DQ26" i="11"/>
  <c r="DR26" i="11" a="1"/>
  <c r="DR26" i="11"/>
  <c r="DS26" i="11"/>
  <c r="DT26" i="11"/>
  <c r="DU26" i="11"/>
  <c r="DV26" i="11"/>
  <c r="DW26" i="11"/>
  <c r="DX26" i="11"/>
  <c r="DY26" i="11"/>
  <c r="DZ26" i="11"/>
  <c r="G27" i="11" a="1"/>
  <c r="G27" i="11"/>
  <c r="H27" i="11"/>
  <c r="L27" i="11"/>
  <c r="M27" i="11"/>
  <c r="N27" i="11"/>
  <c r="O27" i="11"/>
  <c r="P27" i="11"/>
  <c r="Q27" i="11"/>
  <c r="R27" i="11"/>
  <c r="S27" i="11"/>
  <c r="T27" i="11" a="1"/>
  <c r="T27" i="11"/>
  <c r="U27" i="11"/>
  <c r="V27" i="11"/>
  <c r="W27" i="11"/>
  <c r="X27" i="11"/>
  <c r="Y27" i="11"/>
  <c r="Z27" i="11"/>
  <c r="AA27" i="11"/>
  <c r="AB27" i="11"/>
  <c r="AC27" i="11"/>
  <c r="AD27" i="11"/>
  <c r="AE27" i="11"/>
  <c r="AF27" i="11"/>
  <c r="AG27" i="11"/>
  <c r="AH27" i="11"/>
  <c r="AI27" i="11"/>
  <c r="AJ27" i="11"/>
  <c r="AK27" i="11" a="1"/>
  <c r="AK27" i="11"/>
  <c r="AL27" i="11"/>
  <c r="AM27" i="11"/>
  <c r="AN27" i="11"/>
  <c r="AO27" i="11"/>
  <c r="AP27" i="11"/>
  <c r="AQ27" i="11"/>
  <c r="AR27" i="11"/>
  <c r="AS27" i="11"/>
  <c r="AT27" i="11"/>
  <c r="AU27" i="11"/>
  <c r="AV27" i="11"/>
  <c r="AW27" i="11"/>
  <c r="AX27" i="11"/>
  <c r="AY27" i="11"/>
  <c r="AZ27" i="11"/>
  <c r="BA27" i="11"/>
  <c r="BB27" i="11" a="1"/>
  <c r="BB27" i="11"/>
  <c r="BC27" i="11"/>
  <c r="BD27" i="11"/>
  <c r="BE27" i="11"/>
  <c r="BF27" i="11"/>
  <c r="BG27" i="11"/>
  <c r="BH27" i="11"/>
  <c r="BI27" i="11"/>
  <c r="BJ27" i="11"/>
  <c r="BK27" i="11"/>
  <c r="BL27" i="11"/>
  <c r="BM27" i="11"/>
  <c r="BN27" i="11"/>
  <c r="BO27" i="11"/>
  <c r="BP27" i="11"/>
  <c r="BQ27" i="11"/>
  <c r="BR27" i="11"/>
  <c r="BS27" i="11" a="1"/>
  <c r="BS27" i="11"/>
  <c r="BT27" i="11"/>
  <c r="BU27" i="11"/>
  <c r="BV27" i="11"/>
  <c r="BW27" i="11"/>
  <c r="BX27" i="11"/>
  <c r="BY27" i="11"/>
  <c r="BZ27" i="11"/>
  <c r="CA27" i="11"/>
  <c r="CB27" i="11"/>
  <c r="CC27" i="11"/>
  <c r="CD27" i="11"/>
  <c r="CE27" i="11"/>
  <c r="CF27" i="11"/>
  <c r="CG27" i="11"/>
  <c r="CH27" i="11"/>
  <c r="CI27" i="11"/>
  <c r="CJ27" i="11" a="1"/>
  <c r="CJ27" i="11"/>
  <c r="CK27" i="11"/>
  <c r="CL27" i="11"/>
  <c r="CM27" i="11"/>
  <c r="CN27" i="11"/>
  <c r="CO27" i="11"/>
  <c r="CP27" i="11"/>
  <c r="CQ27" i="11"/>
  <c r="CR27" i="11"/>
  <c r="CS27" i="11"/>
  <c r="CT27" i="11"/>
  <c r="CU27" i="11"/>
  <c r="CV27" i="11"/>
  <c r="CW27" i="11"/>
  <c r="CX27" i="11"/>
  <c r="CY27" i="11"/>
  <c r="CZ27" i="11"/>
  <c r="DA27" i="11" a="1"/>
  <c r="DA27" i="11"/>
  <c r="DB27" i="11"/>
  <c r="DC27" i="11"/>
  <c r="DD27" i="11"/>
  <c r="DE27" i="11"/>
  <c r="DF27" i="11"/>
  <c r="DG27" i="11"/>
  <c r="DH27" i="11"/>
  <c r="DI27" i="11"/>
  <c r="DJ27" i="11"/>
  <c r="DK27" i="11"/>
  <c r="DL27" i="11"/>
  <c r="DM27" i="11"/>
  <c r="DN27" i="11"/>
  <c r="DO27" i="11"/>
  <c r="DP27" i="11"/>
  <c r="DQ27" i="11"/>
  <c r="DR27" i="11" a="1"/>
  <c r="DR27" i="11"/>
  <c r="DS27" i="11"/>
  <c r="DT27" i="11"/>
  <c r="DU27" i="11"/>
  <c r="DV27" i="11"/>
  <c r="DW27" i="11"/>
  <c r="DX27" i="11"/>
  <c r="DY27" i="11"/>
  <c r="DZ27" i="11"/>
  <c r="O5" i="6"/>
  <c r="R5" i="6"/>
  <c r="S5" i="6"/>
  <c r="T5" i="6" a="1"/>
  <c r="T5" i="6"/>
  <c r="U5" i="6" a="1"/>
  <c r="U5" i="6"/>
  <c r="V5" i="6" a="1"/>
  <c r="V5" i="6"/>
  <c r="W5" i="6" a="1"/>
  <c r="W5" i="6"/>
  <c r="X5" i="6" a="1"/>
  <c r="X5" i="6"/>
  <c r="Y5" i="6" a="1"/>
  <c r="Y5" i="6"/>
  <c r="AB5" i="6"/>
  <c r="AC5" i="6"/>
  <c r="AE5" i="6"/>
  <c r="AF5" i="6"/>
  <c r="AH5" i="6" a="1"/>
  <c r="AH5" i="6"/>
  <c r="AI5" i="6" a="1"/>
  <c r="AI5" i="6"/>
  <c r="AJ5" i="6"/>
  <c r="AL5" i="6" a="1"/>
  <c r="AL5" i="6"/>
  <c r="AM5" i="6" a="1"/>
  <c r="AM5" i="6"/>
  <c r="AS5" i="6" a="1"/>
  <c r="AS5" i="6"/>
  <c r="AT5" i="6" a="1"/>
  <c r="AT5" i="6"/>
  <c r="BG5" i="6"/>
  <c r="BH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O6" i="6"/>
  <c r="R6" i="6"/>
  <c r="S6" i="6"/>
  <c r="T6" i="6" a="1"/>
  <c r="T6" i="6"/>
  <c r="U6" i="6" a="1"/>
  <c r="U6" i="6"/>
  <c r="V6" i="6" a="1"/>
  <c r="V6" i="6"/>
  <c r="W6" i="6" a="1"/>
  <c r="W6" i="6"/>
  <c r="X6" i="6" a="1"/>
  <c r="X6" i="6"/>
  <c r="Y6" i="6" a="1"/>
  <c r="Y6" i="6"/>
  <c r="AB6" i="6"/>
  <c r="AC6" i="6" a="1"/>
  <c r="AC6" i="6"/>
  <c r="AE6" i="6"/>
  <c r="AF6" i="6"/>
  <c r="AH6" i="6" a="1"/>
  <c r="AH6" i="6"/>
  <c r="AI6" i="6" a="1"/>
  <c r="AI6" i="6"/>
  <c r="AJ6" i="6"/>
  <c r="AL6" i="6" a="1"/>
  <c r="AL6" i="6"/>
  <c r="AM6" i="6" a="1"/>
  <c r="AM6" i="6"/>
  <c r="AS6" i="6" a="1"/>
  <c r="AS6" i="6"/>
  <c r="AT6" i="6" a="1"/>
  <c r="AT6" i="6"/>
  <c r="BG6" i="6"/>
  <c r="BH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HH6" i="6"/>
  <c r="HI6" i="6"/>
  <c r="HJ6" i="6"/>
  <c r="HK6" i="6"/>
  <c r="HL6" i="6"/>
  <c r="HM6" i="6"/>
  <c r="HN6" i="6"/>
  <c r="HO6" i="6"/>
  <c r="HP6" i="6"/>
  <c r="HQ6" i="6"/>
  <c r="HR6" i="6"/>
  <c r="HS6" i="6"/>
  <c r="HT6" i="6"/>
  <c r="HU6" i="6"/>
  <c r="HV6" i="6"/>
  <c r="HW6" i="6"/>
  <c r="HX6" i="6"/>
  <c r="HY6" i="6"/>
  <c r="HZ6" i="6"/>
  <c r="IA6" i="6"/>
  <c r="IB6" i="6"/>
  <c r="IC6" i="6"/>
  <c r="ID6" i="6"/>
  <c r="IE6" i="6"/>
  <c r="IF6" i="6"/>
  <c r="IG6" i="6"/>
  <c r="IH6" i="6"/>
  <c r="II6" i="6"/>
  <c r="H7" i="6"/>
  <c r="O7" i="6"/>
  <c r="R7" i="6"/>
  <c r="S7" i="6"/>
  <c r="T7" i="6" a="1"/>
  <c r="T7" i="6"/>
  <c r="U7" i="6" a="1"/>
  <c r="U7" i="6"/>
  <c r="V7" i="6" a="1"/>
  <c r="V7" i="6"/>
  <c r="W7" i="6" a="1"/>
  <c r="W7" i="6"/>
  <c r="X7" i="6" a="1"/>
  <c r="X7" i="6"/>
  <c r="Y7" i="6" a="1"/>
  <c r="Y7" i="6"/>
  <c r="AB7" i="6"/>
  <c r="AC7" i="6" a="1"/>
  <c r="AC7" i="6"/>
  <c r="AE7" i="6"/>
  <c r="AF7" i="6"/>
  <c r="BA7" i="6"/>
  <c r="BB7" i="6"/>
  <c r="BC7" i="6"/>
  <c r="BD7" i="6"/>
  <c r="BG7" i="6"/>
  <c r="BH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O8" i="6"/>
  <c r="R8" i="6"/>
  <c r="S8" i="6"/>
  <c r="T8" i="6" a="1"/>
  <c r="T8" i="6"/>
  <c r="U8" i="6" a="1"/>
  <c r="U8" i="6"/>
  <c r="V8" i="6" a="1"/>
  <c r="V8" i="6"/>
  <c r="W8" i="6" a="1"/>
  <c r="W8" i="6"/>
  <c r="X8" i="6" a="1"/>
  <c r="X8" i="6"/>
  <c r="Y8" i="6" a="1"/>
  <c r="Y8" i="6"/>
  <c r="AB8" i="6"/>
  <c r="AC8" i="6" a="1"/>
  <c r="AC8" i="6"/>
  <c r="AE8" i="6"/>
  <c r="AF8" i="6"/>
  <c r="AH8" i="6" a="1"/>
  <c r="AH8" i="6"/>
  <c r="AI8" i="6" a="1"/>
  <c r="AI8" i="6"/>
  <c r="AJ8" i="6"/>
  <c r="AL8" i="6" a="1"/>
  <c r="AL8" i="6"/>
  <c r="AM8" i="6" a="1"/>
  <c r="AM8" i="6"/>
  <c r="AS8" i="6" a="1"/>
  <c r="AS8" i="6"/>
  <c r="AT8" i="6" a="1"/>
  <c r="AT8" i="6"/>
  <c r="BG8" i="6"/>
  <c r="BH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HH8" i="6"/>
  <c r="HI8" i="6"/>
  <c r="HJ8" i="6"/>
  <c r="HK8" i="6"/>
  <c r="HL8" i="6"/>
  <c r="HM8" i="6"/>
  <c r="HN8" i="6"/>
  <c r="HO8" i="6"/>
  <c r="HP8" i="6"/>
  <c r="HQ8" i="6"/>
  <c r="HR8" i="6"/>
  <c r="HS8" i="6"/>
  <c r="HT8" i="6"/>
  <c r="HU8" i="6"/>
  <c r="HV8" i="6"/>
  <c r="HW8" i="6"/>
  <c r="HX8" i="6"/>
  <c r="HY8" i="6"/>
  <c r="HZ8" i="6"/>
  <c r="IA8" i="6"/>
  <c r="IB8" i="6"/>
  <c r="IC8" i="6"/>
  <c r="ID8" i="6"/>
  <c r="IE8" i="6"/>
  <c r="IF8" i="6"/>
  <c r="IG8" i="6"/>
  <c r="IH8" i="6"/>
  <c r="II8" i="6"/>
  <c r="O9" i="6"/>
  <c r="R9" i="6"/>
  <c r="S9" i="6"/>
  <c r="T9" i="6" a="1"/>
  <c r="T9" i="6"/>
  <c r="U9" i="6" a="1"/>
  <c r="U9" i="6"/>
  <c r="V9" i="6" a="1"/>
  <c r="V9" i="6"/>
  <c r="W9" i="6" a="1"/>
  <c r="W9" i="6"/>
  <c r="X9" i="6" a="1"/>
  <c r="X9" i="6"/>
  <c r="Y9" i="6" a="1"/>
  <c r="Y9" i="6"/>
  <c r="AB9" i="6"/>
  <c r="AC9" i="6" a="1"/>
  <c r="AC9" i="6"/>
  <c r="AE9" i="6"/>
  <c r="AF9" i="6"/>
  <c r="AH9" i="6" a="1"/>
  <c r="AH9" i="6"/>
  <c r="AI9" i="6" a="1"/>
  <c r="AI9" i="6"/>
  <c r="AJ9" i="6"/>
  <c r="AL9" i="6" a="1"/>
  <c r="AL9" i="6"/>
  <c r="AM9" i="6" a="1"/>
  <c r="AM9" i="6"/>
  <c r="AS9" i="6" a="1"/>
  <c r="AS9" i="6"/>
  <c r="AT9" i="6" a="1"/>
  <c r="AT9" i="6"/>
  <c r="BG9" i="6"/>
  <c r="BH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O10" i="6"/>
  <c r="R10" i="6"/>
  <c r="S10" i="6"/>
  <c r="T10" i="6" a="1"/>
  <c r="T10" i="6"/>
  <c r="U10" i="6" a="1"/>
  <c r="U10" i="6"/>
  <c r="V10" i="6" a="1"/>
  <c r="V10" i="6"/>
  <c r="W10" i="6" a="1"/>
  <c r="W10" i="6"/>
  <c r="X10" i="6" a="1"/>
  <c r="X10" i="6"/>
  <c r="Y10" i="6" a="1"/>
  <c r="Y10" i="6"/>
  <c r="AB10" i="6"/>
  <c r="AC10" i="6" a="1"/>
  <c r="AC10" i="6"/>
  <c r="AE10" i="6"/>
  <c r="AF10" i="6"/>
  <c r="BA10" i="6"/>
  <c r="BB10" i="6"/>
  <c r="BC10" i="6"/>
  <c r="BD10" i="6"/>
  <c r="BG10" i="6"/>
  <c r="BH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HH10" i="6"/>
  <c r="HI10" i="6"/>
  <c r="HJ10" i="6"/>
  <c r="HK10" i="6"/>
  <c r="HL10" i="6"/>
  <c r="HM10" i="6"/>
  <c r="HN10" i="6"/>
  <c r="HO10" i="6"/>
  <c r="HP10" i="6"/>
  <c r="HQ10" i="6"/>
  <c r="HR10" i="6"/>
  <c r="HS10" i="6"/>
  <c r="HT10" i="6"/>
  <c r="HU10" i="6"/>
  <c r="HV10" i="6"/>
  <c r="HW10" i="6"/>
  <c r="HX10" i="6"/>
  <c r="HY10" i="6"/>
  <c r="HZ10" i="6"/>
  <c r="IA10" i="6"/>
  <c r="IB10" i="6"/>
  <c r="IC10" i="6"/>
  <c r="ID10" i="6"/>
  <c r="IE10" i="6"/>
  <c r="IF10" i="6"/>
  <c r="IG10" i="6"/>
  <c r="IH10" i="6"/>
  <c r="II10" i="6"/>
  <c r="O11" i="6"/>
  <c r="R11" i="6"/>
  <c r="S11" i="6"/>
  <c r="T11" i="6" a="1"/>
  <c r="T11" i="6"/>
  <c r="U11" i="6" a="1"/>
  <c r="U11" i="6"/>
  <c r="V11" i="6" a="1"/>
  <c r="V11" i="6"/>
  <c r="W11" i="6" a="1"/>
  <c r="W11" i="6"/>
  <c r="X11" i="6" a="1"/>
  <c r="X11" i="6"/>
  <c r="Y11" i="6" a="1"/>
  <c r="Y11" i="6"/>
  <c r="AB11" i="6"/>
  <c r="AC11" i="6" a="1"/>
  <c r="AC11" i="6"/>
  <c r="AE11" i="6"/>
  <c r="AF11" i="6"/>
  <c r="AH11" i="6" a="1"/>
  <c r="AH11" i="6"/>
  <c r="AI11" i="6" a="1"/>
  <c r="AI11" i="6"/>
  <c r="AJ11" i="6"/>
  <c r="AL11" i="6" a="1"/>
  <c r="AL11" i="6"/>
  <c r="AM11" i="6" a="1"/>
  <c r="AM11" i="6"/>
  <c r="AS11" i="6" a="1"/>
  <c r="AS11" i="6"/>
  <c r="AT11" i="6" a="1"/>
  <c r="AT11" i="6"/>
  <c r="BG11" i="6"/>
  <c r="BH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O12" i="6"/>
  <c r="R12" i="6"/>
  <c r="S12" i="6"/>
  <c r="T12" i="6" a="1"/>
  <c r="T12" i="6"/>
  <c r="U12" i="6" a="1"/>
  <c r="U12" i="6"/>
  <c r="V12" i="6" a="1"/>
  <c r="V12" i="6"/>
  <c r="W12" i="6" a="1"/>
  <c r="W12" i="6"/>
  <c r="X12" i="6" a="1"/>
  <c r="X12" i="6"/>
  <c r="Y12" i="6" a="1"/>
  <c r="Y12" i="6"/>
  <c r="AB12" i="6"/>
  <c r="AC12" i="6" a="1"/>
  <c r="AC12" i="6"/>
  <c r="AE12" i="6"/>
  <c r="AF12" i="6"/>
  <c r="AH12" i="6" a="1"/>
  <c r="AH12" i="6"/>
  <c r="AI12" i="6" a="1"/>
  <c r="AI12" i="6"/>
  <c r="AJ12" i="6"/>
  <c r="AL12" i="6" a="1"/>
  <c r="AL12" i="6"/>
  <c r="AM12" i="6" a="1"/>
  <c r="AM12" i="6"/>
  <c r="AS12" i="6" a="1"/>
  <c r="AS12" i="6"/>
  <c r="AT12" i="6" a="1"/>
  <c r="AT12" i="6"/>
  <c r="BG12" i="6"/>
  <c r="BH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H12" i="6"/>
  <c r="HI12" i="6"/>
  <c r="HJ12" i="6"/>
  <c r="HK12" i="6"/>
  <c r="HL12" i="6"/>
  <c r="HM12" i="6"/>
  <c r="HN12" i="6"/>
  <c r="HO12" i="6"/>
  <c r="HP12" i="6"/>
  <c r="HQ12" i="6"/>
  <c r="HR12" i="6"/>
  <c r="HS12" i="6"/>
  <c r="HT12" i="6"/>
  <c r="HU12" i="6"/>
  <c r="HV12" i="6"/>
  <c r="HW12" i="6"/>
  <c r="HX12" i="6"/>
  <c r="HY12" i="6"/>
  <c r="HZ12" i="6"/>
  <c r="IA12" i="6"/>
  <c r="IB12" i="6"/>
  <c r="IC12" i="6"/>
  <c r="ID12" i="6"/>
  <c r="IE12" i="6"/>
  <c r="IF12" i="6"/>
  <c r="IG12" i="6"/>
  <c r="IH12" i="6"/>
  <c r="II12" i="6"/>
  <c r="O13" i="6"/>
  <c r="R13" i="6"/>
  <c r="S13" i="6"/>
  <c r="T13" i="6" a="1"/>
  <c r="T13" i="6"/>
  <c r="U13" i="6" a="1"/>
  <c r="U13" i="6"/>
  <c r="V13" i="6" a="1"/>
  <c r="V13" i="6"/>
  <c r="W13" i="6" a="1"/>
  <c r="W13" i="6"/>
  <c r="X13" i="6" a="1"/>
  <c r="X13" i="6"/>
  <c r="Y13" i="6" a="1"/>
  <c r="Y13" i="6"/>
  <c r="AB13" i="6"/>
  <c r="AC13" i="6" a="1"/>
  <c r="AC13" i="6"/>
  <c r="AE13" i="6"/>
  <c r="AF13" i="6"/>
  <c r="BA13" i="6"/>
  <c r="BB13" i="6"/>
  <c r="BC13" i="6"/>
  <c r="BD13" i="6"/>
  <c r="BG13" i="6"/>
  <c r="BH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O14" i="6"/>
  <c r="R14" i="6"/>
  <c r="S14" i="6"/>
  <c r="T14" i="6" a="1"/>
  <c r="T14" i="6"/>
  <c r="U14" i="6" a="1"/>
  <c r="U14" i="6"/>
  <c r="V14" i="6" a="1"/>
  <c r="V14" i="6"/>
  <c r="W14" i="6" a="1"/>
  <c r="W14" i="6"/>
  <c r="X14" i="6" a="1"/>
  <c r="X14" i="6"/>
  <c r="Y14" i="6" a="1"/>
  <c r="Y14" i="6"/>
  <c r="AB14" i="6"/>
  <c r="AC14" i="6" a="1"/>
  <c r="AC14" i="6"/>
  <c r="AE14" i="6"/>
  <c r="AF14" i="6"/>
  <c r="AH14" i="6" a="1"/>
  <c r="AH14" i="6"/>
  <c r="AI14" i="6" a="1"/>
  <c r="AI14" i="6"/>
  <c r="AJ14" i="6"/>
  <c r="AL14" i="6" a="1"/>
  <c r="AL14" i="6"/>
  <c r="AM14" i="6" a="1"/>
  <c r="AM14" i="6"/>
  <c r="AS14" i="6" a="1"/>
  <c r="AS14" i="6"/>
  <c r="AT14" i="6" a="1"/>
  <c r="AT14" i="6"/>
  <c r="BG14" i="6"/>
  <c r="BH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H14" i="6"/>
  <c r="HI14" i="6"/>
  <c r="HJ14" i="6"/>
  <c r="HK14" i="6"/>
  <c r="HL14" i="6"/>
  <c r="HM14" i="6"/>
  <c r="HN14" i="6"/>
  <c r="HO14" i="6"/>
  <c r="HP14" i="6"/>
  <c r="HQ14" i="6"/>
  <c r="HR14" i="6"/>
  <c r="HS14" i="6"/>
  <c r="HT14" i="6"/>
  <c r="HU14" i="6"/>
  <c r="HV14" i="6"/>
  <c r="HW14" i="6"/>
  <c r="HX14" i="6"/>
  <c r="HY14" i="6"/>
  <c r="HZ14" i="6"/>
  <c r="IA14" i="6"/>
  <c r="IB14" i="6"/>
  <c r="IC14" i="6"/>
  <c r="ID14" i="6"/>
  <c r="IE14" i="6"/>
  <c r="IF14" i="6"/>
  <c r="IG14" i="6"/>
  <c r="IH14" i="6"/>
  <c r="II14" i="6"/>
  <c r="O15" i="6"/>
  <c r="R15" i="6"/>
  <c r="S15" i="6"/>
  <c r="T15" i="6" a="1"/>
  <c r="T15" i="6"/>
  <c r="U15" i="6" a="1"/>
  <c r="U15" i="6"/>
  <c r="V15" i="6" a="1"/>
  <c r="V15" i="6"/>
  <c r="W15" i="6" a="1"/>
  <c r="W15" i="6"/>
  <c r="X15" i="6" a="1"/>
  <c r="X15" i="6"/>
  <c r="Y15" i="6" a="1"/>
  <c r="Y15" i="6"/>
  <c r="AB15" i="6"/>
  <c r="AC15" i="6" a="1"/>
  <c r="AC15" i="6"/>
  <c r="AE15" i="6"/>
  <c r="AF15" i="6"/>
  <c r="AH15" i="6" a="1"/>
  <c r="AH15" i="6"/>
  <c r="AI15" i="6" a="1"/>
  <c r="AI15" i="6"/>
  <c r="AJ15" i="6"/>
  <c r="AL15" i="6" a="1"/>
  <c r="AL15" i="6"/>
  <c r="AM15" i="6" a="1"/>
  <c r="AM15" i="6"/>
  <c r="AS15" i="6" a="1"/>
  <c r="AS15" i="6"/>
  <c r="AT15" i="6" a="1"/>
  <c r="AT15" i="6"/>
  <c r="BG15" i="6"/>
  <c r="BH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O16" i="6"/>
  <c r="R16" i="6"/>
  <c r="S16" i="6"/>
  <c r="T16" i="6" a="1"/>
  <c r="T16" i="6"/>
  <c r="U16" i="6" a="1"/>
  <c r="U16" i="6"/>
  <c r="V16" i="6" a="1"/>
  <c r="V16" i="6"/>
  <c r="W16" i="6" a="1"/>
  <c r="W16" i="6"/>
  <c r="X16" i="6" a="1"/>
  <c r="X16" i="6"/>
  <c r="Y16" i="6" a="1"/>
  <c r="Y16" i="6"/>
  <c r="AB16" i="6"/>
  <c r="AC16" i="6" a="1"/>
  <c r="AC16" i="6"/>
  <c r="AE16" i="6"/>
  <c r="AF16" i="6"/>
  <c r="BA16" i="6"/>
  <c r="BB16" i="6"/>
  <c r="BC16" i="6"/>
  <c r="BD16" i="6"/>
  <c r="BG16" i="6"/>
  <c r="BH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H16" i="6"/>
  <c r="HI16" i="6"/>
  <c r="HJ16" i="6"/>
  <c r="HK16" i="6"/>
  <c r="HL16" i="6"/>
  <c r="HM16" i="6"/>
  <c r="HN16" i="6"/>
  <c r="HO16" i="6"/>
  <c r="HP16" i="6"/>
  <c r="HQ16" i="6"/>
  <c r="HR16" i="6"/>
  <c r="HS16" i="6"/>
  <c r="HT16" i="6"/>
  <c r="HU16" i="6"/>
  <c r="HV16" i="6"/>
  <c r="HW16" i="6"/>
  <c r="HX16" i="6"/>
  <c r="HY16" i="6"/>
  <c r="HZ16" i="6"/>
  <c r="IA16" i="6"/>
  <c r="IB16" i="6"/>
  <c r="IC16" i="6"/>
  <c r="ID16" i="6"/>
  <c r="IE16" i="6"/>
  <c r="IF16" i="6"/>
  <c r="IG16" i="6"/>
  <c r="IH16" i="6"/>
  <c r="II16" i="6"/>
  <c r="O17" i="6"/>
  <c r="R17" i="6"/>
  <c r="S17" i="6"/>
  <c r="T17" i="6" a="1"/>
  <c r="T17" i="6"/>
  <c r="U17" i="6" a="1"/>
  <c r="U17" i="6"/>
  <c r="V17" i="6" a="1"/>
  <c r="V17" i="6"/>
  <c r="W17" i="6" a="1"/>
  <c r="W17" i="6"/>
  <c r="X17" i="6" a="1"/>
  <c r="X17" i="6"/>
  <c r="Y17" i="6" a="1"/>
  <c r="Y17" i="6"/>
  <c r="AB17" i="6"/>
  <c r="AC17" i="6" a="1"/>
  <c r="AC17" i="6"/>
  <c r="AE17" i="6"/>
  <c r="AF17" i="6"/>
  <c r="AH17" i="6" a="1"/>
  <c r="AH17" i="6"/>
  <c r="AI17" i="6" a="1"/>
  <c r="AI17" i="6"/>
  <c r="AJ17" i="6"/>
  <c r="AL17" i="6" a="1"/>
  <c r="AL17" i="6"/>
  <c r="AM17" i="6" a="1"/>
  <c r="AM17" i="6"/>
  <c r="AS17" i="6" a="1"/>
  <c r="AS17" i="6"/>
  <c r="AT17" i="6" a="1"/>
  <c r="AT17" i="6"/>
  <c r="BG17" i="6"/>
  <c r="BH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O18" i="6"/>
  <c r="R18" i="6"/>
  <c r="S18" i="6"/>
  <c r="T18" i="6" a="1"/>
  <c r="T18" i="6"/>
  <c r="U18" i="6" a="1"/>
  <c r="U18" i="6"/>
  <c r="V18" i="6" a="1"/>
  <c r="V18" i="6"/>
  <c r="W18" i="6" a="1"/>
  <c r="W18" i="6"/>
  <c r="X18" i="6" a="1"/>
  <c r="X18" i="6"/>
  <c r="Y18" i="6" a="1"/>
  <c r="Y18" i="6"/>
  <c r="AB18" i="6"/>
  <c r="AC18" i="6" a="1"/>
  <c r="AC18" i="6"/>
  <c r="AE18" i="6"/>
  <c r="AF18" i="6"/>
  <c r="AH18" i="6" a="1"/>
  <c r="AH18" i="6"/>
  <c r="AI18" i="6" a="1"/>
  <c r="AI18" i="6"/>
  <c r="AJ18" i="6"/>
  <c r="AL18" i="6" a="1"/>
  <c r="AL18" i="6"/>
  <c r="AM18" i="6" a="1"/>
  <c r="AM18" i="6"/>
  <c r="AS18" i="6" a="1"/>
  <c r="AS18" i="6"/>
  <c r="AT18" i="6" a="1"/>
  <c r="AT18" i="6"/>
  <c r="BG18" i="6"/>
  <c r="BH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H18" i="6"/>
  <c r="HI18" i="6"/>
  <c r="HJ18" i="6"/>
  <c r="HK18" i="6"/>
  <c r="HL18" i="6"/>
  <c r="HM18" i="6"/>
  <c r="HN18" i="6"/>
  <c r="HO18" i="6"/>
  <c r="HP18" i="6"/>
  <c r="HQ18" i="6"/>
  <c r="HR18" i="6"/>
  <c r="HS18" i="6"/>
  <c r="HT18" i="6"/>
  <c r="HU18" i="6"/>
  <c r="HV18" i="6"/>
  <c r="HW18" i="6"/>
  <c r="HX18" i="6"/>
  <c r="HY18" i="6"/>
  <c r="HZ18" i="6"/>
  <c r="IA18" i="6"/>
  <c r="IB18" i="6"/>
  <c r="IC18" i="6"/>
  <c r="ID18" i="6"/>
  <c r="IE18" i="6"/>
  <c r="IF18" i="6"/>
  <c r="IG18" i="6"/>
  <c r="IH18" i="6"/>
  <c r="II18" i="6"/>
  <c r="O19" i="6"/>
  <c r="R19" i="6"/>
  <c r="S19" i="6"/>
  <c r="T19" i="6" a="1"/>
  <c r="T19" i="6"/>
  <c r="U19" i="6" a="1"/>
  <c r="U19" i="6"/>
  <c r="V19" i="6" a="1"/>
  <c r="V19" i="6"/>
  <c r="W19" i="6" a="1"/>
  <c r="W19" i="6"/>
  <c r="X19" i="6" a="1"/>
  <c r="X19" i="6"/>
  <c r="Y19" i="6" a="1"/>
  <c r="Y19" i="6"/>
  <c r="AB19" i="6"/>
  <c r="AC19" i="6" a="1"/>
  <c r="AC19" i="6"/>
  <c r="AE19" i="6"/>
  <c r="AF19" i="6"/>
  <c r="BA19" i="6"/>
  <c r="BB19" i="6"/>
  <c r="BC19" i="6"/>
  <c r="BD19" i="6"/>
  <c r="BG19" i="6"/>
  <c r="BH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O20" i="6"/>
  <c r="R20" i="6"/>
  <c r="S20" i="6"/>
  <c r="T20" i="6" a="1"/>
  <c r="T20" i="6"/>
  <c r="U20" i="6" a="1"/>
  <c r="U20" i="6"/>
  <c r="V20" i="6" a="1"/>
  <c r="V20" i="6"/>
  <c r="W20" i="6" a="1"/>
  <c r="W20" i="6"/>
  <c r="X20" i="6" a="1"/>
  <c r="X20" i="6"/>
  <c r="Y20" i="6" a="1"/>
  <c r="Y20" i="6"/>
  <c r="AB20" i="6"/>
  <c r="AC20" i="6" a="1"/>
  <c r="AC20" i="6"/>
  <c r="AE20" i="6"/>
  <c r="AF20" i="6"/>
  <c r="AH20" i="6" a="1"/>
  <c r="AH20" i="6"/>
  <c r="AI20" i="6" a="1"/>
  <c r="AI20" i="6"/>
  <c r="AJ20" i="6"/>
  <c r="AL20" i="6" a="1"/>
  <c r="AL20" i="6"/>
  <c r="AM20" i="6" a="1"/>
  <c r="AM20" i="6"/>
  <c r="AO20" i="6"/>
  <c r="AP20" i="6"/>
  <c r="AS20" i="6" a="1"/>
  <c r="AS20" i="6"/>
  <c r="AT20" i="6" a="1"/>
  <c r="AT20" i="6"/>
  <c r="AV20" i="6"/>
  <c r="AW20" i="6"/>
  <c r="BA20" i="6"/>
  <c r="BB20" i="6"/>
  <c r="BC20" i="6"/>
  <c r="BD20" i="6"/>
  <c r="BG20" i="6"/>
  <c r="BH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H20" i="6"/>
  <c r="HI20" i="6"/>
  <c r="HJ20" i="6"/>
  <c r="HK20" i="6"/>
  <c r="HL20" i="6"/>
  <c r="HM20" i="6"/>
  <c r="HN20" i="6"/>
  <c r="HO20" i="6"/>
  <c r="HP20" i="6"/>
  <c r="HQ20" i="6"/>
  <c r="HR20" i="6"/>
  <c r="HS20" i="6"/>
  <c r="HT20" i="6"/>
  <c r="HU20" i="6"/>
  <c r="HV20" i="6"/>
  <c r="HW20" i="6"/>
  <c r="HX20" i="6"/>
  <c r="HY20" i="6"/>
  <c r="HZ20" i="6"/>
  <c r="IA20" i="6"/>
  <c r="IB20" i="6"/>
  <c r="IC20" i="6"/>
  <c r="ID20" i="6"/>
  <c r="IE20" i="6"/>
  <c r="IF20" i="6"/>
  <c r="IG20" i="6"/>
  <c r="IH20" i="6"/>
  <c r="II20" i="6"/>
  <c r="O21" i="6"/>
  <c r="R21" i="6"/>
  <c r="S21" i="6"/>
  <c r="T21" i="6" a="1"/>
  <c r="T21" i="6"/>
  <c r="U21" i="6" a="1"/>
  <c r="U21" i="6"/>
  <c r="V21" i="6" a="1"/>
  <c r="V21" i="6"/>
  <c r="W21" i="6" a="1"/>
  <c r="W21" i="6"/>
  <c r="X21" i="6" a="1"/>
  <c r="X21" i="6"/>
  <c r="Y21" i="6" a="1"/>
  <c r="Y21" i="6"/>
  <c r="AB21" i="6"/>
  <c r="AC21" i="6" a="1"/>
  <c r="AC21" i="6"/>
  <c r="AE21" i="6"/>
  <c r="AF21" i="6"/>
  <c r="AH21" i="6" a="1"/>
  <c r="AH21" i="6"/>
  <c r="AI21" i="6" a="1"/>
  <c r="AI21" i="6"/>
  <c r="AJ21" i="6"/>
  <c r="AL21" i="6" a="1"/>
  <c r="AL21" i="6"/>
  <c r="AM21" i="6" a="1"/>
  <c r="AM21" i="6"/>
  <c r="AO21" i="6"/>
  <c r="AP21" i="6"/>
  <c r="AS21" i="6" a="1"/>
  <c r="AS21" i="6"/>
  <c r="AT21" i="6" a="1"/>
  <c r="AT21" i="6"/>
  <c r="AV21" i="6"/>
  <c r="AW21" i="6"/>
  <c r="BA21" i="6"/>
  <c r="BB21" i="6"/>
  <c r="BC21" i="6"/>
  <c r="BD21" i="6"/>
  <c r="BG21" i="6"/>
  <c r="BH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O22" i="6"/>
  <c r="R22" i="6"/>
  <c r="S22" i="6"/>
  <c r="T22" i="6" a="1"/>
  <c r="T22" i="6"/>
  <c r="U22" i="6" a="1"/>
  <c r="U22" i="6"/>
  <c r="V22" i="6" a="1"/>
  <c r="V22" i="6"/>
  <c r="W22" i="6" a="1"/>
  <c r="W22" i="6"/>
  <c r="X22" i="6" a="1"/>
  <c r="X22" i="6"/>
  <c r="Y22" i="6" a="1"/>
  <c r="Y22" i="6"/>
  <c r="AB22" i="6"/>
  <c r="AC22" i="6" a="1"/>
  <c r="AC22" i="6"/>
  <c r="AE22" i="6"/>
  <c r="AF22" i="6"/>
  <c r="AY22" i="6"/>
  <c r="AZ22" i="6"/>
  <c r="BC22" i="6"/>
  <c r="BD22" i="6"/>
  <c r="BG22" i="6"/>
  <c r="BH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H22" i="6"/>
  <c r="HI22" i="6"/>
  <c r="HJ22" i="6"/>
  <c r="HK22" i="6"/>
  <c r="HL22" i="6"/>
  <c r="HM22" i="6"/>
  <c r="HN22" i="6"/>
  <c r="HO22" i="6"/>
  <c r="HP22" i="6"/>
  <c r="HQ22" i="6"/>
  <c r="HR22" i="6"/>
  <c r="HS22" i="6"/>
  <c r="HT22" i="6"/>
  <c r="HU22" i="6"/>
  <c r="HV22" i="6"/>
  <c r="HW22" i="6"/>
  <c r="HX22" i="6"/>
  <c r="HY22" i="6"/>
  <c r="HZ22" i="6"/>
  <c r="IA22" i="6"/>
  <c r="IB22" i="6"/>
  <c r="IC22" i="6"/>
  <c r="ID22" i="6"/>
  <c r="IE22" i="6"/>
  <c r="IF22" i="6"/>
  <c r="IG22" i="6"/>
  <c r="IH22" i="6"/>
  <c r="II22" i="6"/>
  <c r="O23" i="6"/>
  <c r="R23" i="6"/>
  <c r="S23" i="6"/>
  <c r="T23" i="6" a="1"/>
  <c r="T23" i="6"/>
  <c r="U23" i="6" a="1"/>
  <c r="U23" i="6"/>
  <c r="V23" i="6" a="1"/>
  <c r="V23" i="6"/>
  <c r="W23" i="6" a="1"/>
  <c r="W23" i="6"/>
  <c r="X23" i="6" a="1"/>
  <c r="X23" i="6"/>
  <c r="Y23" i="6" a="1"/>
  <c r="Y23" i="6"/>
  <c r="AB23" i="6"/>
  <c r="AC23" i="6" a="1"/>
  <c r="AC23" i="6"/>
  <c r="AE23" i="6"/>
  <c r="AF23" i="6"/>
  <c r="AH23" i="6" a="1"/>
  <c r="AH23" i="6"/>
  <c r="AI23" i="6" a="1"/>
  <c r="AI23" i="6"/>
  <c r="AJ23" i="6"/>
  <c r="AL23" i="6" a="1"/>
  <c r="AL23" i="6"/>
  <c r="AM23" i="6" a="1"/>
  <c r="AM23" i="6"/>
  <c r="AO23" i="6"/>
  <c r="AP23" i="6"/>
  <c r="AS23" i="6" a="1"/>
  <c r="AS23" i="6"/>
  <c r="AT23" i="6" a="1"/>
  <c r="AT23" i="6"/>
  <c r="AV23" i="6"/>
  <c r="AW23" i="6"/>
  <c r="BA23" i="6"/>
  <c r="BB23" i="6"/>
  <c r="BC23" i="6"/>
  <c r="BD23" i="6"/>
  <c r="BG23" i="6"/>
  <c r="BH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O24" i="6"/>
  <c r="R24" i="6"/>
  <c r="S24" i="6"/>
  <c r="T24" i="6" a="1"/>
  <c r="T24" i="6"/>
  <c r="U24" i="6" a="1"/>
  <c r="U24" i="6"/>
  <c r="V24" i="6" a="1"/>
  <c r="V24" i="6"/>
  <c r="W24" i="6" a="1"/>
  <c r="W24" i="6"/>
  <c r="X24" i="6" a="1"/>
  <c r="X24" i="6"/>
  <c r="Y24" i="6" a="1"/>
  <c r="Y24" i="6"/>
  <c r="AB24" i="6"/>
  <c r="AC24" i="6" a="1"/>
  <c r="AC24" i="6"/>
  <c r="AE24" i="6"/>
  <c r="AF24" i="6"/>
  <c r="AH24" i="6" a="1"/>
  <c r="AH24" i="6"/>
  <c r="AI24" i="6" a="1"/>
  <c r="AI24" i="6"/>
  <c r="AJ24" i="6"/>
  <c r="AL24" i="6" a="1"/>
  <c r="AL24" i="6"/>
  <c r="AM24" i="6" a="1"/>
  <c r="AM24" i="6"/>
  <c r="AO24" i="6"/>
  <c r="AP24" i="6"/>
  <c r="AS24" i="6" a="1"/>
  <c r="AS24" i="6"/>
  <c r="AT24" i="6" a="1"/>
  <c r="AT24" i="6"/>
  <c r="AV24" i="6"/>
  <c r="AW24" i="6"/>
  <c r="BA24" i="6"/>
  <c r="BB24" i="6"/>
  <c r="BC24" i="6"/>
  <c r="BD24" i="6"/>
  <c r="BG24" i="6"/>
  <c r="BH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H24" i="6"/>
  <c r="HI24" i="6"/>
  <c r="HJ24" i="6"/>
  <c r="HK24" i="6"/>
  <c r="HL24" i="6"/>
  <c r="HM24" i="6"/>
  <c r="HN24" i="6"/>
  <c r="HO24" i="6"/>
  <c r="HP24" i="6"/>
  <c r="HQ24" i="6"/>
  <c r="HR24" i="6"/>
  <c r="HS24" i="6"/>
  <c r="HT24" i="6"/>
  <c r="HU24" i="6"/>
  <c r="HV24" i="6"/>
  <c r="HW24" i="6"/>
  <c r="HX24" i="6"/>
  <c r="HY24" i="6"/>
  <c r="HZ24" i="6"/>
  <c r="IA24" i="6"/>
  <c r="IB24" i="6"/>
  <c r="IC24" i="6"/>
  <c r="ID24" i="6"/>
  <c r="IE24" i="6"/>
  <c r="IF24" i="6"/>
  <c r="IG24" i="6"/>
  <c r="IH24" i="6"/>
  <c r="II24" i="6"/>
  <c r="O25" i="6"/>
  <c r="R25" i="6"/>
  <c r="S25" i="6"/>
  <c r="T25" i="6" a="1"/>
  <c r="T25" i="6"/>
  <c r="U25" i="6" a="1"/>
  <c r="U25" i="6"/>
  <c r="V25" i="6" a="1"/>
  <c r="V25" i="6"/>
  <c r="W25" i="6" a="1"/>
  <c r="W25" i="6"/>
  <c r="X25" i="6" a="1"/>
  <c r="X25" i="6"/>
  <c r="Y25" i="6" a="1"/>
  <c r="Y25" i="6"/>
  <c r="AB25" i="6"/>
  <c r="AC25" i="6" a="1"/>
  <c r="AC25" i="6"/>
  <c r="AE25" i="6"/>
  <c r="AF25" i="6"/>
  <c r="AH25" i="6" a="1"/>
  <c r="AH25" i="6"/>
  <c r="AI25" i="6" a="1"/>
  <c r="AI25" i="6"/>
  <c r="AJ25" i="6"/>
  <c r="AL25" i="6" a="1"/>
  <c r="AL25" i="6"/>
  <c r="AM25" i="6" a="1"/>
  <c r="AM25" i="6"/>
  <c r="AO25" i="6"/>
  <c r="AP25" i="6"/>
  <c r="AS25" i="6" a="1"/>
  <c r="AS25" i="6"/>
  <c r="AT25" i="6" a="1"/>
  <c r="AT25" i="6"/>
  <c r="AV25" i="6"/>
  <c r="AW25" i="6"/>
  <c r="BA25" i="6"/>
  <c r="BB25" i="6"/>
  <c r="BC25" i="6"/>
  <c r="BD25" i="6"/>
  <c r="BG25" i="6"/>
  <c r="BH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O26" i="6"/>
  <c r="R26" i="6"/>
  <c r="S26" i="6"/>
  <c r="T26" i="6" a="1"/>
  <c r="T26" i="6"/>
  <c r="U26" i="6" a="1"/>
  <c r="U26" i="6"/>
  <c r="V26" i="6" a="1"/>
  <c r="V26" i="6"/>
  <c r="W26" i="6" a="1"/>
  <c r="W26" i="6"/>
  <c r="X26" i="6" a="1"/>
  <c r="X26" i="6"/>
  <c r="Y26" i="6" a="1"/>
  <c r="Y26" i="6"/>
  <c r="AB26" i="6"/>
  <c r="AC26" i="6" a="1"/>
  <c r="AC26" i="6"/>
  <c r="AE26" i="6"/>
  <c r="AF26" i="6"/>
  <c r="AH26" i="6" a="1"/>
  <c r="AH26" i="6"/>
  <c r="AI26" i="6" a="1"/>
  <c r="AI26" i="6"/>
  <c r="AJ26" i="6"/>
  <c r="AL26" i="6" a="1"/>
  <c r="AL26" i="6"/>
  <c r="AM26" i="6" a="1"/>
  <c r="AM26" i="6"/>
  <c r="AO26" i="6"/>
  <c r="AP26" i="6"/>
  <c r="AS26" i="6" a="1"/>
  <c r="AS26" i="6"/>
  <c r="AT26" i="6" a="1"/>
  <c r="AT26" i="6"/>
  <c r="AV26" i="6"/>
  <c r="AW26" i="6"/>
  <c r="BA26" i="6"/>
  <c r="BB26" i="6"/>
  <c r="BC26" i="6"/>
  <c r="BD26" i="6"/>
  <c r="BG26" i="6"/>
  <c r="BH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H26" i="6"/>
  <c r="HI26" i="6"/>
  <c r="HJ26" i="6"/>
  <c r="HK26" i="6"/>
  <c r="HL26" i="6"/>
  <c r="HM26" i="6"/>
  <c r="HN26" i="6"/>
  <c r="HO26" i="6"/>
  <c r="HP26" i="6"/>
  <c r="HQ26" i="6"/>
  <c r="HR26" i="6"/>
  <c r="HS26" i="6"/>
  <c r="HT26" i="6"/>
  <c r="HU26" i="6"/>
  <c r="HV26" i="6"/>
  <c r="HW26" i="6"/>
  <c r="HX26" i="6"/>
  <c r="HY26" i="6"/>
  <c r="HZ26" i="6"/>
  <c r="IA26" i="6"/>
  <c r="IB26" i="6"/>
  <c r="IC26" i="6"/>
  <c r="ID26" i="6"/>
  <c r="IE26" i="6"/>
  <c r="IF26" i="6"/>
  <c r="IG26" i="6"/>
  <c r="IH26" i="6"/>
  <c r="II26" i="6"/>
  <c r="O27" i="6"/>
  <c r="R27" i="6"/>
  <c r="S27" i="6"/>
  <c r="T27" i="6" a="1"/>
  <c r="T27" i="6"/>
  <c r="U27" i="6" a="1"/>
  <c r="U27" i="6"/>
  <c r="V27" i="6" a="1"/>
  <c r="V27" i="6"/>
  <c r="W27" i="6" a="1"/>
  <c r="W27" i="6"/>
  <c r="X27" i="6" a="1"/>
  <c r="X27" i="6"/>
  <c r="Y27" i="6" a="1"/>
  <c r="Y27" i="6"/>
  <c r="AB27" i="6"/>
  <c r="AC27" i="6" a="1"/>
  <c r="AC27" i="6"/>
  <c r="AE27" i="6"/>
  <c r="AF27" i="6"/>
  <c r="AH27" i="6" a="1"/>
  <c r="AH27" i="6"/>
  <c r="AI27" i="6" a="1"/>
  <c r="AI27" i="6"/>
  <c r="AJ27" i="6"/>
  <c r="AL27" i="6" a="1"/>
  <c r="AL27" i="6"/>
  <c r="AM27" i="6" a="1"/>
  <c r="AM27" i="6"/>
  <c r="AO27" i="6"/>
  <c r="AP27" i="6"/>
  <c r="AS27" i="6" a="1"/>
  <c r="AS27" i="6"/>
  <c r="AT27" i="6" a="1"/>
  <c r="AT27" i="6"/>
  <c r="AV27" i="6"/>
  <c r="AW27" i="6"/>
  <c r="BA27" i="6"/>
  <c r="BB27" i="6"/>
  <c r="BC27" i="6"/>
  <c r="BD27" i="6"/>
  <c r="BG27" i="6"/>
  <c r="BH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O28" i="6"/>
  <c r="R28" i="6"/>
  <c r="S28" i="6"/>
  <c r="T28" i="6" a="1"/>
  <c r="T28" i="6"/>
  <c r="U28" i="6" a="1"/>
  <c r="U28" i="6"/>
  <c r="V28" i="6" a="1"/>
  <c r="V28" i="6"/>
  <c r="W28" i="6" a="1"/>
  <c r="W28" i="6"/>
  <c r="X28" i="6" a="1"/>
  <c r="X28" i="6"/>
  <c r="Y28" i="6" a="1"/>
  <c r="Y28" i="6"/>
  <c r="AB28" i="6"/>
  <c r="AC28" i="6" a="1"/>
  <c r="AC28" i="6"/>
  <c r="AE28" i="6"/>
  <c r="AF28" i="6"/>
  <c r="AH28" i="6" a="1"/>
  <c r="AH28" i="6"/>
  <c r="AI28" i="6" a="1"/>
  <c r="AI28" i="6"/>
  <c r="AJ28" i="6"/>
  <c r="AK28" i="6" a="1"/>
  <c r="AK28" i="6"/>
  <c r="AL28" i="6" a="1"/>
  <c r="AL28" i="6"/>
  <c r="AM28" i="6" a="1"/>
  <c r="AM28" i="6"/>
  <c r="AN28" i="6"/>
  <c r="AO28" i="6"/>
  <c r="AP28" i="6"/>
  <c r="AR28" i="6" a="1"/>
  <c r="AR28" i="6"/>
  <c r="AS28" i="6" a="1"/>
  <c r="AS28" i="6"/>
  <c r="AT28" i="6" a="1"/>
  <c r="AT28" i="6"/>
  <c r="AU28" i="6"/>
  <c r="AV28" i="6"/>
  <c r="AW28" i="6"/>
  <c r="BG28" i="6"/>
  <c r="BH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HH28" i="6"/>
  <c r="HI28" i="6"/>
  <c r="HJ28" i="6"/>
  <c r="HK28" i="6"/>
  <c r="HL28" i="6"/>
  <c r="HM28" i="6"/>
  <c r="HN28" i="6"/>
  <c r="HO28" i="6"/>
  <c r="HP28" i="6"/>
  <c r="HQ28" i="6"/>
  <c r="HR28" i="6"/>
  <c r="HS28" i="6"/>
  <c r="HT28" i="6"/>
  <c r="HU28" i="6"/>
  <c r="HV28" i="6"/>
  <c r="HW28" i="6"/>
  <c r="HX28" i="6"/>
  <c r="HY28" i="6"/>
  <c r="HZ28" i="6"/>
  <c r="IA28" i="6"/>
  <c r="IB28" i="6"/>
  <c r="IC28" i="6"/>
  <c r="ID28" i="6"/>
  <c r="IE28" i="6"/>
  <c r="IF28" i="6"/>
  <c r="IG28" i="6"/>
  <c r="IH28" i="6"/>
  <c r="II28" i="6"/>
  <c r="O29" i="6"/>
  <c r="R29" i="6"/>
  <c r="S29" i="6"/>
  <c r="T29" i="6" a="1"/>
  <c r="T29" i="6"/>
  <c r="U29" i="6" a="1"/>
  <c r="U29" i="6"/>
  <c r="V29" i="6" a="1"/>
  <c r="V29" i="6"/>
  <c r="W29" i="6" a="1"/>
  <c r="W29" i="6"/>
  <c r="X29" i="6" a="1"/>
  <c r="X29" i="6"/>
  <c r="Y29" i="6" a="1"/>
  <c r="Y29" i="6"/>
  <c r="AB29" i="6"/>
  <c r="AC29" i="6" a="1"/>
  <c r="AC29" i="6"/>
  <c r="AE29" i="6"/>
  <c r="AF29" i="6"/>
  <c r="AH29" i="6" a="1"/>
  <c r="AH29" i="6"/>
  <c r="AI29" i="6" a="1"/>
  <c r="AI29" i="6"/>
  <c r="AJ29" i="6"/>
  <c r="AK29" i="6" a="1"/>
  <c r="AK29" i="6"/>
  <c r="AL29" i="6" a="1"/>
  <c r="AL29" i="6"/>
  <c r="AM29" i="6" a="1"/>
  <c r="AM29" i="6"/>
  <c r="AN29" i="6"/>
  <c r="AO29" i="6"/>
  <c r="AP29" i="6"/>
  <c r="AR29" i="6" a="1"/>
  <c r="AR29" i="6"/>
  <c r="AS29" i="6" a="1"/>
  <c r="AS29" i="6"/>
  <c r="AT29" i="6" a="1"/>
  <c r="AT29" i="6"/>
  <c r="AU29" i="6"/>
  <c r="AV29" i="6"/>
  <c r="AW29" i="6"/>
  <c r="BG29" i="6"/>
  <c r="BH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O30" i="6"/>
  <c r="R30" i="6"/>
  <c r="S30" i="6"/>
  <c r="T30" i="6" a="1"/>
  <c r="T30" i="6"/>
  <c r="U30" i="6" a="1"/>
  <c r="U30" i="6"/>
  <c r="V30" i="6" a="1"/>
  <c r="V30" i="6"/>
  <c r="W30" i="6" a="1"/>
  <c r="W30" i="6"/>
  <c r="X30" i="6" a="1"/>
  <c r="X30" i="6"/>
  <c r="Y30" i="6" a="1"/>
  <c r="Y30" i="6"/>
  <c r="AB30" i="6"/>
  <c r="AC30" i="6" a="1"/>
  <c r="AC30" i="6"/>
  <c r="AE30" i="6"/>
  <c r="AF30" i="6"/>
  <c r="AH30" i="6" a="1"/>
  <c r="AH30" i="6"/>
  <c r="AI30" i="6" a="1"/>
  <c r="AI30" i="6"/>
  <c r="AJ30" i="6"/>
  <c r="AK30" i="6" a="1"/>
  <c r="AK30" i="6"/>
  <c r="AL30" i="6" a="1"/>
  <c r="AL30" i="6"/>
  <c r="AM30" i="6" a="1"/>
  <c r="AM30" i="6"/>
  <c r="AN30" i="6"/>
  <c r="AO30" i="6"/>
  <c r="AP30" i="6"/>
  <c r="AR30" i="6" a="1"/>
  <c r="AR30" i="6"/>
  <c r="AS30" i="6" a="1"/>
  <c r="AS30" i="6"/>
  <c r="AT30" i="6" a="1"/>
  <c r="AT30" i="6"/>
  <c r="AU30" i="6"/>
  <c r="AV30" i="6"/>
  <c r="AW30" i="6"/>
  <c r="BG30" i="6"/>
  <c r="BH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HH30" i="6"/>
  <c r="HI30" i="6"/>
  <c r="HJ30" i="6"/>
  <c r="HK30" i="6"/>
  <c r="HL30" i="6"/>
  <c r="HM30" i="6"/>
  <c r="HN30" i="6"/>
  <c r="HO30" i="6"/>
  <c r="HP30" i="6"/>
  <c r="HQ30" i="6"/>
  <c r="HR30" i="6"/>
  <c r="HS30" i="6"/>
  <c r="HT30" i="6"/>
  <c r="HU30" i="6"/>
  <c r="HV30" i="6"/>
  <c r="HW30" i="6"/>
  <c r="HX30" i="6"/>
  <c r="HY30" i="6"/>
  <c r="HZ30" i="6"/>
  <c r="IA30" i="6"/>
  <c r="IB30" i="6"/>
  <c r="IC30" i="6"/>
  <c r="ID30" i="6"/>
  <c r="IE30" i="6"/>
  <c r="IF30" i="6"/>
  <c r="IG30" i="6"/>
  <c r="IH30" i="6"/>
  <c r="II30" i="6"/>
  <c r="O31" i="6"/>
  <c r="R31" i="6"/>
  <c r="S31" i="6"/>
  <c r="T31" i="6" a="1"/>
  <c r="T31" i="6"/>
  <c r="U31" i="6" a="1"/>
  <c r="U31" i="6"/>
  <c r="V31" i="6" a="1"/>
  <c r="V31" i="6"/>
  <c r="W31" i="6" a="1"/>
  <c r="W31" i="6"/>
  <c r="X31" i="6" a="1"/>
  <c r="X31" i="6"/>
  <c r="Y31" i="6" a="1"/>
  <c r="Y31" i="6"/>
  <c r="AB31" i="6"/>
  <c r="AC31" i="6" a="1"/>
  <c r="AC31" i="6"/>
  <c r="AE31" i="6"/>
  <c r="AF31" i="6"/>
  <c r="AH31" i="6" a="1"/>
  <c r="AH31" i="6"/>
  <c r="AI31" i="6" a="1"/>
  <c r="AI31" i="6"/>
  <c r="AJ31" i="6"/>
  <c r="AL31" i="6" a="1"/>
  <c r="AL31" i="6"/>
  <c r="AM31" i="6" a="1"/>
  <c r="AM31" i="6"/>
  <c r="AO31" i="6"/>
  <c r="AP31" i="6"/>
  <c r="AS31" i="6" a="1"/>
  <c r="AS31" i="6"/>
  <c r="AT31" i="6" a="1"/>
  <c r="AT31" i="6"/>
  <c r="AV31" i="6"/>
  <c r="AW31" i="6"/>
  <c r="BA31" i="6"/>
  <c r="BB31" i="6"/>
  <c r="BC31" i="6"/>
  <c r="BD31" i="6"/>
  <c r="BG31" i="6"/>
  <c r="BH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O32" i="6"/>
  <c r="R32" i="6"/>
  <c r="S32" i="6"/>
  <c r="T32" i="6" a="1"/>
  <c r="T32" i="6"/>
  <c r="U32" i="6" a="1"/>
  <c r="U32" i="6"/>
  <c r="V32" i="6" a="1"/>
  <c r="V32" i="6"/>
  <c r="W32" i="6" a="1"/>
  <c r="W32" i="6"/>
  <c r="X32" i="6" a="1"/>
  <c r="X32" i="6"/>
  <c r="Y32" i="6" a="1"/>
  <c r="Y32" i="6"/>
  <c r="AB32" i="6"/>
  <c r="AC32" i="6" a="1"/>
  <c r="AC32" i="6"/>
  <c r="AE32" i="6"/>
  <c r="AF32" i="6"/>
  <c r="AH32" i="6" a="1"/>
  <c r="AH32" i="6"/>
  <c r="AI32" i="6" a="1"/>
  <c r="AI32" i="6"/>
  <c r="AJ32" i="6"/>
  <c r="AL32" i="6" a="1"/>
  <c r="AL32" i="6"/>
  <c r="AM32" i="6" a="1"/>
  <c r="AM32" i="6"/>
  <c r="AO32" i="6"/>
  <c r="AP32" i="6"/>
  <c r="AS32" i="6" a="1"/>
  <c r="AS32" i="6"/>
  <c r="AT32" i="6" a="1"/>
  <c r="AT32" i="6"/>
  <c r="AV32" i="6"/>
  <c r="AW32" i="6"/>
  <c r="BA32" i="6"/>
  <c r="BB32" i="6"/>
  <c r="BC32" i="6"/>
  <c r="BD32" i="6"/>
  <c r="BG32" i="6"/>
  <c r="BH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HH32" i="6"/>
  <c r="HI32" i="6"/>
  <c r="HJ32" i="6"/>
  <c r="HK32" i="6"/>
  <c r="HL32" i="6"/>
  <c r="HM32" i="6"/>
  <c r="HN32" i="6"/>
  <c r="HO32" i="6"/>
  <c r="HP32" i="6"/>
  <c r="HQ32" i="6"/>
  <c r="HR32" i="6"/>
  <c r="HS32" i="6"/>
  <c r="HT32" i="6"/>
  <c r="HU32" i="6"/>
  <c r="HV32" i="6"/>
  <c r="HW32" i="6"/>
  <c r="HX32" i="6"/>
  <c r="HY32" i="6"/>
  <c r="HZ32" i="6"/>
  <c r="IA32" i="6"/>
  <c r="IB32" i="6"/>
  <c r="IC32" i="6"/>
  <c r="ID32" i="6"/>
  <c r="IE32" i="6"/>
  <c r="IF32" i="6"/>
  <c r="IG32" i="6"/>
  <c r="IH32" i="6"/>
  <c r="II32" i="6"/>
  <c r="O33" i="6"/>
  <c r="R33" i="6"/>
  <c r="S33" i="6"/>
  <c r="T33" i="6" a="1"/>
  <c r="T33" i="6"/>
  <c r="U33" i="6" a="1"/>
  <c r="U33" i="6"/>
  <c r="V33" i="6" a="1"/>
  <c r="V33" i="6"/>
  <c r="W33" i="6" a="1"/>
  <c r="W33" i="6"/>
  <c r="X33" i="6" a="1"/>
  <c r="X33" i="6"/>
  <c r="Y33" i="6" a="1"/>
  <c r="Y33" i="6"/>
  <c r="AB33" i="6"/>
  <c r="AC33" i="6" a="1"/>
  <c r="AC33" i="6"/>
  <c r="AE33" i="6"/>
  <c r="AF33" i="6"/>
  <c r="AH33" i="6" a="1"/>
  <c r="AH33" i="6"/>
  <c r="AI33" i="6" a="1"/>
  <c r="AI33" i="6"/>
  <c r="AJ33" i="6"/>
  <c r="AK33" i="6" a="1"/>
  <c r="AK33" i="6"/>
  <c r="AL33" i="6" a="1"/>
  <c r="AL33" i="6"/>
  <c r="AM33" i="6" a="1"/>
  <c r="AM33" i="6"/>
  <c r="AN33" i="6"/>
  <c r="AO33" i="6"/>
  <c r="AP33" i="6"/>
  <c r="AR33" i="6" a="1"/>
  <c r="AR33" i="6"/>
  <c r="AS33" i="6" a="1"/>
  <c r="AS33" i="6"/>
  <c r="AT33" i="6" a="1"/>
  <c r="AT33" i="6"/>
  <c r="AU33" i="6"/>
  <c r="AV33" i="6"/>
  <c r="AW33" i="6"/>
  <c r="BG33" i="6"/>
  <c r="BH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O34" i="6"/>
  <c r="R34" i="6"/>
  <c r="S34" i="6"/>
  <c r="T34" i="6" a="1"/>
  <c r="T34" i="6"/>
  <c r="U34" i="6" a="1"/>
  <c r="U34" i="6"/>
  <c r="V34" i="6" a="1"/>
  <c r="V34" i="6"/>
  <c r="W34" i="6" a="1"/>
  <c r="W34" i="6"/>
  <c r="X34" i="6" a="1"/>
  <c r="X34" i="6"/>
  <c r="Y34" i="6" a="1"/>
  <c r="Y34" i="6"/>
  <c r="AB34" i="6"/>
  <c r="AC34" i="6" a="1"/>
  <c r="AC34" i="6"/>
  <c r="AE34" i="6"/>
  <c r="AF34" i="6"/>
  <c r="AH34" i="6" a="1"/>
  <c r="AH34" i="6"/>
  <c r="AI34" i="6" a="1"/>
  <c r="AI34" i="6"/>
  <c r="AJ34" i="6"/>
  <c r="AK34" i="6" a="1"/>
  <c r="AK34" i="6"/>
  <c r="AL34" i="6" a="1"/>
  <c r="AL34" i="6"/>
  <c r="AM34" i="6" a="1"/>
  <c r="AM34" i="6"/>
  <c r="AN34" i="6"/>
  <c r="AO34" i="6"/>
  <c r="AP34" i="6"/>
  <c r="AR34" i="6" a="1"/>
  <c r="AR34" i="6"/>
  <c r="AS34" i="6" a="1"/>
  <c r="AS34" i="6"/>
  <c r="AT34" i="6" a="1"/>
  <c r="AT34" i="6"/>
  <c r="AU34" i="6"/>
  <c r="AV34" i="6"/>
  <c r="AW34" i="6"/>
  <c r="BG34" i="6"/>
  <c r="BH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H34" i="6"/>
  <c r="HI34" i="6"/>
  <c r="HJ34" i="6"/>
  <c r="HK34" i="6"/>
  <c r="HL34" i="6"/>
  <c r="HM34" i="6"/>
  <c r="HN34" i="6"/>
  <c r="HO34" i="6"/>
  <c r="HP34" i="6"/>
  <c r="HQ34" i="6"/>
  <c r="HR34" i="6"/>
  <c r="HS34" i="6"/>
  <c r="HT34" i="6"/>
  <c r="HU34" i="6"/>
  <c r="HV34" i="6"/>
  <c r="HW34" i="6"/>
  <c r="HX34" i="6"/>
  <c r="HY34" i="6"/>
  <c r="HZ34" i="6"/>
  <c r="IA34" i="6"/>
  <c r="IB34" i="6"/>
  <c r="IC34" i="6"/>
  <c r="ID34" i="6"/>
  <c r="IE34" i="6"/>
  <c r="IF34" i="6"/>
  <c r="IG34" i="6"/>
  <c r="IH34" i="6"/>
  <c r="II34" i="6"/>
  <c r="O35" i="6"/>
  <c r="R35" i="6"/>
  <c r="S35" i="6"/>
  <c r="T35" i="6" a="1"/>
  <c r="T35" i="6"/>
  <c r="U35" i="6" a="1"/>
  <c r="U35" i="6"/>
  <c r="V35" i="6" a="1"/>
  <c r="V35" i="6"/>
  <c r="W35" i="6" a="1"/>
  <c r="W35" i="6"/>
  <c r="X35" i="6" a="1"/>
  <c r="X35" i="6"/>
  <c r="Y35" i="6" a="1"/>
  <c r="Y35" i="6"/>
  <c r="AB35" i="6"/>
  <c r="AC35" i="6" a="1"/>
  <c r="AC35" i="6"/>
  <c r="AE35" i="6"/>
  <c r="AF35" i="6"/>
  <c r="AH35" i="6" a="1"/>
  <c r="AH35" i="6"/>
  <c r="AI35" i="6" a="1"/>
  <c r="AI35" i="6"/>
  <c r="AJ35" i="6"/>
  <c r="AK35" i="6" a="1"/>
  <c r="AK35" i="6"/>
  <c r="AL35" i="6" a="1"/>
  <c r="AL35" i="6"/>
  <c r="AM35" i="6" a="1"/>
  <c r="AM35" i="6"/>
  <c r="AN35" i="6"/>
  <c r="AO35" i="6"/>
  <c r="AP35" i="6"/>
  <c r="AR35" i="6" a="1"/>
  <c r="AR35" i="6"/>
  <c r="AS35" i="6" a="1"/>
  <c r="AS35" i="6"/>
  <c r="AT35" i="6" a="1"/>
  <c r="AT35" i="6"/>
  <c r="AU35" i="6"/>
  <c r="AV35" i="6"/>
  <c r="AW35" i="6"/>
  <c r="BG35" i="6"/>
  <c r="BH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O36" i="6"/>
  <c r="R36" i="6"/>
  <c r="S36" i="6"/>
  <c r="T36" i="6" a="1"/>
  <c r="T36" i="6"/>
  <c r="U36" i="6" a="1"/>
  <c r="U36" i="6"/>
  <c r="V36" i="6" a="1"/>
  <c r="V36" i="6"/>
  <c r="W36" i="6" a="1"/>
  <c r="W36" i="6"/>
  <c r="X36" i="6" a="1"/>
  <c r="X36" i="6"/>
  <c r="Y36" i="6" a="1"/>
  <c r="Y36" i="6"/>
  <c r="AB36" i="6"/>
  <c r="AC36" i="6" a="1"/>
  <c r="AC36" i="6"/>
  <c r="AE36" i="6"/>
  <c r="AF36" i="6"/>
  <c r="AH36" i="6" a="1"/>
  <c r="AH36" i="6"/>
  <c r="AI36" i="6" a="1"/>
  <c r="AI36" i="6"/>
  <c r="AJ36" i="6"/>
  <c r="AL36" i="6" a="1"/>
  <c r="AL36" i="6"/>
  <c r="AM36" i="6" a="1"/>
  <c r="AM36" i="6"/>
  <c r="AO36" i="6"/>
  <c r="AP36" i="6"/>
  <c r="AS36" i="6" a="1"/>
  <c r="AS36" i="6"/>
  <c r="AT36" i="6" a="1"/>
  <c r="AT36" i="6"/>
  <c r="AV36" i="6"/>
  <c r="AW36" i="6"/>
  <c r="BA36" i="6"/>
  <c r="BB36" i="6"/>
  <c r="BC36" i="6"/>
  <c r="BD36" i="6"/>
  <c r="BG36" i="6"/>
  <c r="BH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H36" i="6"/>
  <c r="HI36" i="6"/>
  <c r="HJ36" i="6"/>
  <c r="HK36" i="6"/>
  <c r="HL36" i="6"/>
  <c r="HM36" i="6"/>
  <c r="HN36" i="6"/>
  <c r="HO36" i="6"/>
  <c r="HP36" i="6"/>
  <c r="HQ36" i="6"/>
  <c r="HR36" i="6"/>
  <c r="HS36" i="6"/>
  <c r="HT36" i="6"/>
  <c r="HU36" i="6"/>
  <c r="HV36" i="6"/>
  <c r="HW36" i="6"/>
  <c r="HX36" i="6"/>
  <c r="HY36" i="6"/>
  <c r="HZ36" i="6"/>
  <c r="IA36" i="6"/>
  <c r="IB36" i="6"/>
  <c r="IC36" i="6"/>
  <c r="ID36" i="6"/>
  <c r="IE36" i="6"/>
  <c r="IF36" i="6"/>
  <c r="IG36" i="6"/>
  <c r="IH36" i="6"/>
  <c r="II36" i="6"/>
  <c r="O37" i="6"/>
  <c r="R37" i="6"/>
  <c r="S37" i="6"/>
  <c r="T37" i="6" a="1"/>
  <c r="T37" i="6"/>
  <c r="U37" i="6" a="1"/>
  <c r="U37" i="6"/>
  <c r="V37" i="6" a="1"/>
  <c r="V37" i="6"/>
  <c r="W37" i="6" a="1"/>
  <c r="W37" i="6"/>
  <c r="X37" i="6" a="1"/>
  <c r="X37" i="6"/>
  <c r="Y37" i="6" a="1"/>
  <c r="Y37" i="6"/>
  <c r="AB37" i="6"/>
  <c r="AC37" i="6" a="1"/>
  <c r="AC37" i="6"/>
  <c r="AE37" i="6"/>
  <c r="AF37" i="6"/>
  <c r="AH37" i="6" a="1"/>
  <c r="AH37" i="6"/>
  <c r="AI37" i="6" a="1"/>
  <c r="AI37" i="6"/>
  <c r="AJ37" i="6"/>
  <c r="AL37" i="6" a="1"/>
  <c r="AL37" i="6"/>
  <c r="AM37" i="6" a="1"/>
  <c r="AM37" i="6"/>
  <c r="AO37" i="6"/>
  <c r="AP37" i="6"/>
  <c r="AS37" i="6" a="1"/>
  <c r="AS37" i="6"/>
  <c r="AT37" i="6" a="1"/>
  <c r="AT37" i="6"/>
  <c r="AV37" i="6"/>
  <c r="AW37" i="6"/>
  <c r="BA37" i="6"/>
  <c r="BB37" i="6"/>
  <c r="BC37" i="6"/>
  <c r="BD37" i="6"/>
  <c r="BG37" i="6"/>
  <c r="BH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O38" i="6"/>
  <c r="R38" i="6"/>
  <c r="S38" i="6"/>
  <c r="T38" i="6" a="1"/>
  <c r="T38" i="6"/>
  <c r="U38" i="6" a="1"/>
  <c r="U38" i="6"/>
  <c r="V38" i="6" a="1"/>
  <c r="V38" i="6"/>
  <c r="W38" i="6" a="1"/>
  <c r="W38" i="6"/>
  <c r="X38" i="6" a="1"/>
  <c r="X38" i="6"/>
  <c r="Y38" i="6" a="1"/>
  <c r="Y38" i="6"/>
  <c r="AB38" i="6"/>
  <c r="AC38" i="6" a="1"/>
  <c r="AC38" i="6"/>
  <c r="AE38" i="6"/>
  <c r="AF38" i="6"/>
  <c r="AH38" i="6" a="1"/>
  <c r="AH38" i="6"/>
  <c r="AI38" i="6" a="1"/>
  <c r="AI38" i="6"/>
  <c r="AJ38" i="6"/>
  <c r="AL38" i="6" a="1"/>
  <c r="AL38" i="6"/>
  <c r="AM38" i="6" a="1"/>
  <c r="AM38" i="6"/>
  <c r="AO38" i="6"/>
  <c r="AP38" i="6"/>
  <c r="AS38" i="6" a="1"/>
  <c r="AS38" i="6"/>
  <c r="AT38" i="6" a="1"/>
  <c r="AT38" i="6"/>
  <c r="AV38" i="6"/>
  <c r="AW38" i="6"/>
  <c r="BA38" i="6"/>
  <c r="BB38" i="6"/>
  <c r="BC38" i="6"/>
  <c r="BD38" i="6"/>
  <c r="BG38" i="6"/>
  <c r="BH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H38" i="6"/>
  <c r="HI38" i="6"/>
  <c r="HJ38" i="6"/>
  <c r="HK38" i="6"/>
  <c r="HL38" i="6"/>
  <c r="HM38" i="6"/>
  <c r="HN38" i="6"/>
  <c r="HO38" i="6"/>
  <c r="HP38" i="6"/>
  <c r="HQ38" i="6"/>
  <c r="HR38" i="6"/>
  <c r="HS38" i="6"/>
  <c r="HT38" i="6"/>
  <c r="HU38" i="6"/>
  <c r="HV38" i="6"/>
  <c r="HW38" i="6"/>
  <c r="HX38" i="6"/>
  <c r="HY38" i="6"/>
  <c r="HZ38" i="6"/>
  <c r="IA38" i="6"/>
  <c r="IB38" i="6"/>
  <c r="IC38" i="6"/>
  <c r="ID38" i="6"/>
  <c r="IE38" i="6"/>
  <c r="IF38" i="6"/>
  <c r="IG38" i="6"/>
  <c r="IH38" i="6"/>
  <c r="II38" i="6"/>
  <c r="O39" i="6"/>
  <c r="R39" i="6"/>
  <c r="S39" i="6"/>
  <c r="T39" i="6" a="1"/>
  <c r="T39" i="6"/>
  <c r="U39" i="6" a="1"/>
  <c r="U39" i="6"/>
  <c r="V39" i="6" a="1"/>
  <c r="V39" i="6"/>
  <c r="W39" i="6" a="1"/>
  <c r="W39" i="6"/>
  <c r="X39" i="6" a="1"/>
  <c r="X39" i="6"/>
  <c r="Y39" i="6" a="1"/>
  <c r="Y39" i="6"/>
  <c r="AB39" i="6"/>
  <c r="AC39" i="6" a="1"/>
  <c r="AC39" i="6"/>
  <c r="AE39" i="6"/>
  <c r="AF39" i="6"/>
  <c r="AH39" i="6" a="1"/>
  <c r="AH39" i="6"/>
  <c r="AI39" i="6" a="1"/>
  <c r="AI39" i="6"/>
  <c r="AJ39" i="6"/>
  <c r="AL39" i="6" a="1"/>
  <c r="AL39" i="6"/>
  <c r="AM39" i="6" a="1"/>
  <c r="AM39" i="6"/>
  <c r="AO39" i="6"/>
  <c r="AP39" i="6"/>
  <c r="AS39" i="6" a="1"/>
  <c r="AS39" i="6"/>
  <c r="AT39" i="6" a="1"/>
  <c r="AT39" i="6"/>
  <c r="AV39" i="6"/>
  <c r="AW39" i="6"/>
  <c r="BA39" i="6"/>
  <c r="BB39" i="6"/>
  <c r="BC39" i="6"/>
  <c r="BD39" i="6"/>
  <c r="BG39" i="6"/>
  <c r="BH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O40" i="6"/>
  <c r="R40" i="6"/>
  <c r="S40" i="6"/>
  <c r="T40" i="6" a="1"/>
  <c r="T40" i="6"/>
  <c r="U40" i="6" a="1"/>
  <c r="U40" i="6"/>
  <c r="V40" i="6" a="1"/>
  <c r="V40" i="6"/>
  <c r="W40" i="6" a="1"/>
  <c r="W40" i="6"/>
  <c r="X40" i="6" a="1"/>
  <c r="X40" i="6"/>
  <c r="Y40" i="6" a="1"/>
  <c r="Y40" i="6"/>
  <c r="AB40" i="6"/>
  <c r="AC40" i="6" a="1"/>
  <c r="AC40" i="6"/>
  <c r="AE40" i="6"/>
  <c r="AF40" i="6"/>
  <c r="AY40" i="6"/>
  <c r="AZ40" i="6"/>
  <c r="BC40" i="6"/>
  <c r="BD40" i="6"/>
  <c r="BG40" i="6"/>
  <c r="BH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H40" i="6"/>
  <c r="HI40" i="6"/>
  <c r="HJ40" i="6"/>
  <c r="HK40" i="6"/>
  <c r="HL40" i="6"/>
  <c r="HM40" i="6"/>
  <c r="HN40" i="6"/>
  <c r="HO40" i="6"/>
  <c r="HP40" i="6"/>
  <c r="HQ40" i="6"/>
  <c r="HR40" i="6"/>
  <c r="HS40" i="6"/>
  <c r="HT40" i="6"/>
  <c r="HU40" i="6"/>
  <c r="HV40" i="6"/>
  <c r="HW40" i="6"/>
  <c r="HX40" i="6"/>
  <c r="HY40" i="6"/>
  <c r="HZ40" i="6"/>
  <c r="IA40" i="6"/>
  <c r="IB40" i="6"/>
  <c r="IC40" i="6"/>
  <c r="ID40" i="6"/>
  <c r="IE40" i="6"/>
  <c r="IF40" i="6"/>
  <c r="IG40" i="6"/>
  <c r="IH40" i="6"/>
  <c r="II40" i="6"/>
  <c r="O41" i="6"/>
  <c r="R41" i="6"/>
  <c r="S41" i="6"/>
  <c r="T41" i="6" a="1"/>
  <c r="T41" i="6"/>
  <c r="U41" i="6" a="1"/>
  <c r="U41" i="6"/>
  <c r="V41" i="6" a="1"/>
  <c r="V41" i="6"/>
  <c r="W41" i="6" a="1"/>
  <c r="W41" i="6"/>
  <c r="X41" i="6" a="1"/>
  <c r="X41" i="6"/>
  <c r="Y41" i="6" a="1"/>
  <c r="Y41" i="6"/>
  <c r="AB41" i="6"/>
  <c r="AC41" i="6" a="1"/>
  <c r="AC41" i="6"/>
  <c r="AE41" i="6"/>
  <c r="AF41" i="6"/>
  <c r="AH41" i="6" a="1"/>
  <c r="AH41" i="6"/>
  <c r="AI41" i="6" a="1"/>
  <c r="AI41" i="6"/>
  <c r="AJ41" i="6"/>
  <c r="AL41" i="6" a="1"/>
  <c r="AL41" i="6"/>
  <c r="AM41" i="6" a="1"/>
  <c r="AM41" i="6"/>
  <c r="AS41" i="6" a="1"/>
  <c r="AS41" i="6"/>
  <c r="AT41" i="6" a="1"/>
  <c r="AT41" i="6"/>
  <c r="BG41" i="6"/>
  <c r="BH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O42" i="6"/>
  <c r="R42" i="6"/>
  <c r="S42" i="6"/>
  <c r="T42" i="6" a="1"/>
  <c r="T42" i="6"/>
  <c r="U42" i="6" a="1"/>
  <c r="U42" i="6"/>
  <c r="V42" i="6" a="1"/>
  <c r="V42" i="6"/>
  <c r="W42" i="6" a="1"/>
  <c r="W42" i="6"/>
  <c r="X42" i="6" a="1"/>
  <c r="X42" i="6"/>
  <c r="Y42" i="6" a="1"/>
  <c r="Y42" i="6"/>
  <c r="AB42" i="6"/>
  <c r="AC42" i="6" a="1"/>
  <c r="AC42" i="6"/>
  <c r="AE42" i="6"/>
  <c r="AF42" i="6"/>
  <c r="AH42" i="6" a="1"/>
  <c r="AH42" i="6"/>
  <c r="AI42" i="6" a="1"/>
  <c r="AI42" i="6"/>
  <c r="AJ42" i="6"/>
  <c r="AL42" i="6" a="1"/>
  <c r="AL42" i="6"/>
  <c r="AM42" i="6" a="1"/>
  <c r="AM42" i="6"/>
  <c r="AS42" i="6" a="1"/>
  <c r="AS42" i="6"/>
  <c r="AT42" i="6" a="1"/>
  <c r="AT42" i="6"/>
  <c r="BG42" i="6"/>
  <c r="BH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H42" i="6"/>
  <c r="HI42" i="6"/>
  <c r="HJ42" i="6"/>
  <c r="HK42" i="6"/>
  <c r="HL42" i="6"/>
  <c r="HM42" i="6"/>
  <c r="HN42" i="6"/>
  <c r="HO42" i="6"/>
  <c r="HP42" i="6"/>
  <c r="HQ42" i="6"/>
  <c r="HR42" i="6"/>
  <c r="HS42" i="6"/>
  <c r="HT42" i="6"/>
  <c r="HU42" i="6"/>
  <c r="HV42" i="6"/>
  <c r="HW42" i="6"/>
  <c r="HX42" i="6"/>
  <c r="HY42" i="6"/>
  <c r="HZ42" i="6"/>
  <c r="IA42" i="6"/>
  <c r="IB42" i="6"/>
  <c r="IC42" i="6"/>
  <c r="ID42" i="6"/>
  <c r="IE42" i="6"/>
  <c r="IF42" i="6"/>
  <c r="IG42" i="6"/>
  <c r="IH42" i="6"/>
  <c r="II42" i="6"/>
  <c r="O43" i="6"/>
  <c r="R43" i="6"/>
  <c r="S43" i="6"/>
  <c r="T43" i="6" a="1"/>
  <c r="T43" i="6"/>
  <c r="U43" i="6" a="1"/>
  <c r="U43" i="6"/>
  <c r="V43" i="6" a="1"/>
  <c r="V43" i="6"/>
  <c r="W43" i="6" a="1"/>
  <c r="W43" i="6"/>
  <c r="X43" i="6" a="1"/>
  <c r="X43" i="6"/>
  <c r="Y43" i="6" a="1"/>
  <c r="Y43" i="6"/>
  <c r="AB43" i="6"/>
  <c r="AC43" i="6" a="1"/>
  <c r="AC43" i="6"/>
  <c r="AE43" i="6"/>
  <c r="AF43" i="6"/>
  <c r="BA43" i="6"/>
  <c r="BB43" i="6"/>
  <c r="BC43" i="6"/>
  <c r="BD43" i="6"/>
  <c r="BG43" i="6"/>
  <c r="BH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O44" i="6"/>
  <c r="R44" i="6"/>
  <c r="S44" i="6"/>
  <c r="T44" i="6" a="1"/>
  <c r="T44" i="6"/>
  <c r="U44" i="6" a="1"/>
  <c r="U44" i="6"/>
  <c r="V44" i="6" a="1"/>
  <c r="V44" i="6"/>
  <c r="W44" i="6" a="1"/>
  <c r="W44" i="6"/>
  <c r="X44" i="6" a="1"/>
  <c r="X44" i="6"/>
  <c r="Y44" i="6" a="1"/>
  <c r="Y44" i="6"/>
  <c r="AB44" i="6"/>
  <c r="AC44" i="6" a="1"/>
  <c r="AC44" i="6"/>
  <c r="AE44" i="6"/>
  <c r="AF44" i="6"/>
  <c r="AH44" i="6" a="1"/>
  <c r="AH44" i="6"/>
  <c r="AI44" i="6" a="1"/>
  <c r="AI44" i="6"/>
  <c r="AJ44" i="6"/>
  <c r="AL44" i="6" a="1"/>
  <c r="AL44" i="6"/>
  <c r="AM44" i="6" a="1"/>
  <c r="AM44" i="6"/>
  <c r="AS44" i="6" a="1"/>
  <c r="AS44" i="6"/>
  <c r="AT44" i="6" a="1"/>
  <c r="AT44" i="6"/>
  <c r="BG44" i="6"/>
  <c r="BH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H44" i="6"/>
  <c r="HI44" i="6"/>
  <c r="HJ44" i="6"/>
  <c r="HK44" i="6"/>
  <c r="HL44" i="6"/>
  <c r="HM44" i="6"/>
  <c r="HN44" i="6"/>
  <c r="HO44" i="6"/>
  <c r="HP44" i="6"/>
  <c r="HQ44" i="6"/>
  <c r="HR44" i="6"/>
  <c r="HS44" i="6"/>
  <c r="HT44" i="6"/>
  <c r="HU44" i="6"/>
  <c r="HV44" i="6"/>
  <c r="HW44" i="6"/>
  <c r="HX44" i="6"/>
  <c r="HY44" i="6"/>
  <c r="HZ44" i="6"/>
  <c r="IA44" i="6"/>
  <c r="IB44" i="6"/>
  <c r="IC44" i="6"/>
  <c r="ID44" i="6"/>
  <c r="IE44" i="6"/>
  <c r="IF44" i="6"/>
  <c r="IG44" i="6"/>
  <c r="IH44" i="6"/>
  <c r="II44" i="6"/>
  <c r="O45" i="6"/>
  <c r="R45" i="6"/>
  <c r="S45" i="6"/>
  <c r="T45" i="6" a="1"/>
  <c r="T45" i="6"/>
  <c r="U45" i="6" a="1"/>
  <c r="U45" i="6"/>
  <c r="V45" i="6" a="1"/>
  <c r="V45" i="6"/>
  <c r="W45" i="6" a="1"/>
  <c r="W45" i="6"/>
  <c r="X45" i="6" a="1"/>
  <c r="X45" i="6"/>
  <c r="Y45" i="6" a="1"/>
  <c r="Y45" i="6"/>
  <c r="AB45" i="6"/>
  <c r="AC45" i="6" a="1"/>
  <c r="AC45" i="6"/>
  <c r="AE45" i="6"/>
  <c r="AF45" i="6"/>
  <c r="AH45" i="6" a="1"/>
  <c r="AH45" i="6"/>
  <c r="AI45" i="6" a="1"/>
  <c r="AI45" i="6"/>
  <c r="AJ45" i="6"/>
  <c r="AL45" i="6" a="1"/>
  <c r="AL45" i="6"/>
  <c r="AM45" i="6" a="1"/>
  <c r="AM45" i="6"/>
  <c r="AS45" i="6" a="1"/>
  <c r="AS45" i="6"/>
  <c r="AT45" i="6" a="1"/>
  <c r="AT45" i="6"/>
  <c r="BG45" i="6"/>
  <c r="BH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O46" i="6"/>
  <c r="R46" i="6"/>
  <c r="S46" i="6"/>
  <c r="T46" i="6" a="1"/>
  <c r="T46" i="6"/>
  <c r="U46" i="6" a="1"/>
  <c r="U46" i="6"/>
  <c r="V46" i="6" a="1"/>
  <c r="V46" i="6"/>
  <c r="W46" i="6" a="1"/>
  <c r="W46" i="6"/>
  <c r="X46" i="6" a="1"/>
  <c r="X46" i="6"/>
  <c r="Y46" i="6" a="1"/>
  <c r="Y46" i="6"/>
  <c r="AB46" i="6"/>
  <c r="AC46" i="6" a="1"/>
  <c r="AC46" i="6"/>
  <c r="AE46" i="6"/>
  <c r="AF46" i="6"/>
  <c r="BA46" i="6"/>
  <c r="BB46" i="6"/>
  <c r="BC46" i="6"/>
  <c r="BD46" i="6"/>
  <c r="BG46" i="6"/>
  <c r="BH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H46" i="6"/>
  <c r="HI46" i="6"/>
  <c r="HJ46" i="6"/>
  <c r="HK46" i="6"/>
  <c r="HL46" i="6"/>
  <c r="HM46" i="6"/>
  <c r="HN46" i="6"/>
  <c r="HO46" i="6"/>
  <c r="HP46" i="6"/>
  <c r="HQ46" i="6"/>
  <c r="HR46" i="6"/>
  <c r="HS46" i="6"/>
  <c r="HT46" i="6"/>
  <c r="HU46" i="6"/>
  <c r="HV46" i="6"/>
  <c r="HW46" i="6"/>
  <c r="HX46" i="6"/>
  <c r="HY46" i="6"/>
  <c r="HZ46" i="6"/>
  <c r="IA46" i="6"/>
  <c r="IB46" i="6"/>
  <c r="IC46" i="6"/>
  <c r="ID46" i="6"/>
  <c r="IE46" i="6"/>
  <c r="IF46" i="6"/>
  <c r="IG46" i="6"/>
  <c r="IH46" i="6"/>
  <c r="II46" i="6"/>
  <c r="O47" i="6"/>
  <c r="R47" i="6"/>
  <c r="S47" i="6"/>
  <c r="T47" i="6" a="1"/>
  <c r="T47" i="6"/>
  <c r="U47" i="6" a="1"/>
  <c r="U47" i="6"/>
  <c r="V47" i="6" a="1"/>
  <c r="V47" i="6"/>
  <c r="W47" i="6" a="1"/>
  <c r="W47" i="6"/>
  <c r="X47" i="6" a="1"/>
  <c r="X47" i="6"/>
  <c r="Y47" i="6" a="1"/>
  <c r="Y47" i="6"/>
  <c r="AB47" i="6"/>
  <c r="AC47" i="6" a="1"/>
  <c r="AC47" i="6"/>
  <c r="AE47" i="6"/>
  <c r="AF47" i="6"/>
  <c r="AH47" i="6" a="1"/>
  <c r="AH47" i="6"/>
  <c r="AI47" i="6" a="1"/>
  <c r="AI47" i="6"/>
  <c r="AJ47" i="6"/>
  <c r="AL47" i="6" a="1"/>
  <c r="AL47" i="6"/>
  <c r="AM47" i="6" a="1"/>
  <c r="AM47" i="6"/>
  <c r="AS47" i="6" a="1"/>
  <c r="AS47" i="6"/>
  <c r="AT47" i="6" a="1"/>
  <c r="AT47" i="6"/>
  <c r="BG47" i="6"/>
  <c r="BH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O48" i="6"/>
  <c r="R48" i="6"/>
  <c r="S48" i="6"/>
  <c r="T48" i="6" a="1"/>
  <c r="T48" i="6"/>
  <c r="U48" i="6" a="1"/>
  <c r="U48" i="6"/>
  <c r="V48" i="6" a="1"/>
  <c r="V48" i="6"/>
  <c r="W48" i="6" a="1"/>
  <c r="W48" i="6"/>
  <c r="X48" i="6" a="1"/>
  <c r="X48" i="6"/>
  <c r="Y48" i="6" a="1"/>
  <c r="Y48" i="6"/>
  <c r="AB48" i="6"/>
  <c r="AC48" i="6" a="1"/>
  <c r="AC48" i="6"/>
  <c r="AE48" i="6"/>
  <c r="AF48" i="6"/>
  <c r="AH48" i="6" a="1"/>
  <c r="AH48" i="6"/>
  <c r="AI48" i="6" a="1"/>
  <c r="AI48" i="6"/>
  <c r="AJ48" i="6"/>
  <c r="AL48" i="6" a="1"/>
  <c r="AL48" i="6"/>
  <c r="AM48" i="6" a="1"/>
  <c r="AM48" i="6"/>
  <c r="AS48" i="6" a="1"/>
  <c r="AS48" i="6"/>
  <c r="AT48" i="6" a="1"/>
  <c r="AT48" i="6"/>
  <c r="BG48" i="6"/>
  <c r="BH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H48" i="6"/>
  <c r="HI48" i="6"/>
  <c r="HJ48" i="6"/>
  <c r="HK48" i="6"/>
  <c r="HL48" i="6"/>
  <c r="HM48" i="6"/>
  <c r="HN48" i="6"/>
  <c r="HO48" i="6"/>
  <c r="HP48" i="6"/>
  <c r="HQ48" i="6"/>
  <c r="HR48" i="6"/>
  <c r="HS48" i="6"/>
  <c r="HT48" i="6"/>
  <c r="HU48" i="6"/>
  <c r="HV48" i="6"/>
  <c r="HW48" i="6"/>
  <c r="HX48" i="6"/>
  <c r="HY48" i="6"/>
  <c r="HZ48" i="6"/>
  <c r="IA48" i="6"/>
  <c r="IB48" i="6"/>
  <c r="IC48" i="6"/>
  <c r="ID48" i="6"/>
  <c r="IE48" i="6"/>
  <c r="IF48" i="6"/>
  <c r="IG48" i="6"/>
  <c r="IH48" i="6"/>
  <c r="II48" i="6"/>
  <c r="O49" i="6"/>
  <c r="R49" i="6"/>
  <c r="S49" i="6"/>
  <c r="T49" i="6" a="1"/>
  <c r="T49" i="6"/>
  <c r="U49" i="6" a="1"/>
  <c r="U49" i="6"/>
  <c r="V49" i="6" a="1"/>
  <c r="V49" i="6"/>
  <c r="W49" i="6" a="1"/>
  <c r="W49" i="6"/>
  <c r="X49" i="6" a="1"/>
  <c r="X49" i="6"/>
  <c r="Y49" i="6" a="1"/>
  <c r="Y49" i="6"/>
  <c r="AB49" i="6"/>
  <c r="AC49" i="6" a="1"/>
  <c r="AC49" i="6"/>
  <c r="AE49" i="6"/>
  <c r="AF49" i="6"/>
  <c r="BA49" i="6"/>
  <c r="BB49" i="6"/>
  <c r="BC49" i="6"/>
  <c r="BD49" i="6"/>
  <c r="BG49" i="6"/>
  <c r="BH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O50" i="6"/>
  <c r="R50" i="6"/>
  <c r="S50" i="6"/>
  <c r="T50" i="6" a="1"/>
  <c r="T50" i="6"/>
  <c r="U50" i="6" a="1"/>
  <c r="U50" i="6"/>
  <c r="V50" i="6" a="1"/>
  <c r="V50" i="6"/>
  <c r="W50" i="6" a="1"/>
  <c r="W50" i="6"/>
  <c r="X50" i="6" a="1"/>
  <c r="X50" i="6"/>
  <c r="Y50" i="6" a="1"/>
  <c r="Y50" i="6"/>
  <c r="AB50" i="6"/>
  <c r="AC50" i="6" a="1"/>
  <c r="AC50" i="6"/>
  <c r="AE50" i="6"/>
  <c r="AF50" i="6"/>
  <c r="AH50" i="6" a="1"/>
  <c r="AH50" i="6"/>
  <c r="AI50" i="6" a="1"/>
  <c r="AI50" i="6"/>
  <c r="AJ50" i="6"/>
  <c r="AL50" i="6" a="1"/>
  <c r="AL50" i="6"/>
  <c r="AM50" i="6" a="1"/>
  <c r="AM50" i="6"/>
  <c r="AS50" i="6" a="1"/>
  <c r="AS50" i="6"/>
  <c r="AT50" i="6" a="1"/>
  <c r="AT50" i="6"/>
  <c r="BG50" i="6"/>
  <c r="BH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H50" i="6"/>
  <c r="HI50" i="6"/>
  <c r="HJ50" i="6"/>
  <c r="HK50" i="6"/>
  <c r="HL50" i="6"/>
  <c r="HM50" i="6"/>
  <c r="HN50" i="6"/>
  <c r="HO50" i="6"/>
  <c r="HP50" i="6"/>
  <c r="HQ50" i="6"/>
  <c r="HR50" i="6"/>
  <c r="HS50" i="6"/>
  <c r="HT50" i="6"/>
  <c r="HU50" i="6"/>
  <c r="HV50" i="6"/>
  <c r="HW50" i="6"/>
  <c r="HX50" i="6"/>
  <c r="HY50" i="6"/>
  <c r="HZ50" i="6"/>
  <c r="IA50" i="6"/>
  <c r="IB50" i="6"/>
  <c r="IC50" i="6"/>
  <c r="ID50" i="6"/>
  <c r="IE50" i="6"/>
  <c r="IF50" i="6"/>
  <c r="IG50" i="6"/>
  <c r="IH50" i="6"/>
  <c r="II50" i="6"/>
  <c r="O51" i="6"/>
  <c r="R51" i="6"/>
  <c r="S51" i="6"/>
  <c r="T51" i="6" a="1"/>
  <c r="T51" i="6"/>
  <c r="U51" i="6" a="1"/>
  <c r="U51" i="6"/>
  <c r="V51" i="6" a="1"/>
  <c r="V51" i="6"/>
  <c r="W51" i="6" a="1"/>
  <c r="W51" i="6"/>
  <c r="X51" i="6" a="1"/>
  <c r="X51" i="6"/>
  <c r="Y51" i="6" a="1"/>
  <c r="Y51" i="6"/>
  <c r="AB51" i="6"/>
  <c r="AC51" i="6" a="1"/>
  <c r="AC51" i="6"/>
  <c r="AE51" i="6"/>
  <c r="AF51" i="6"/>
  <c r="AH51" i="6" a="1"/>
  <c r="AH51" i="6"/>
  <c r="AI51" i="6" a="1"/>
  <c r="AI51" i="6"/>
  <c r="AJ51" i="6"/>
  <c r="AL51" i="6" a="1"/>
  <c r="AL51" i="6"/>
  <c r="AM51" i="6" a="1"/>
  <c r="AM51" i="6"/>
  <c r="AS51" i="6" a="1"/>
  <c r="AS51" i="6"/>
  <c r="AT51" i="6" a="1"/>
  <c r="AT51" i="6"/>
  <c r="BG51" i="6"/>
  <c r="BH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O52" i="6"/>
  <c r="R52" i="6"/>
  <c r="S52" i="6"/>
  <c r="T52" i="6" a="1"/>
  <c r="T52" i="6"/>
  <c r="U52" i="6" a="1"/>
  <c r="U52" i="6"/>
  <c r="V52" i="6" a="1"/>
  <c r="V52" i="6"/>
  <c r="W52" i="6" a="1"/>
  <c r="W52" i="6"/>
  <c r="X52" i="6" a="1"/>
  <c r="X52" i="6"/>
  <c r="Y52" i="6" a="1"/>
  <c r="Y52" i="6"/>
  <c r="AB52" i="6"/>
  <c r="AC52" i="6" a="1"/>
  <c r="AC52" i="6"/>
  <c r="AE52" i="6"/>
  <c r="AF52" i="6"/>
  <c r="BA52" i="6"/>
  <c r="BB52" i="6"/>
  <c r="BC52" i="6"/>
  <c r="BD52" i="6"/>
  <c r="BG52" i="6"/>
  <c r="BH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H52" i="6"/>
  <c r="HI52" i="6"/>
  <c r="HJ52" i="6"/>
  <c r="HK52" i="6"/>
  <c r="HL52" i="6"/>
  <c r="HM52" i="6"/>
  <c r="HN52" i="6"/>
  <c r="HO52" i="6"/>
  <c r="HP52" i="6"/>
  <c r="HQ52" i="6"/>
  <c r="HR52" i="6"/>
  <c r="HS52" i="6"/>
  <c r="HT52" i="6"/>
  <c r="HU52" i="6"/>
  <c r="HV52" i="6"/>
  <c r="HW52" i="6"/>
  <c r="HX52" i="6"/>
  <c r="HY52" i="6"/>
  <c r="HZ52" i="6"/>
  <c r="IA52" i="6"/>
  <c r="IB52" i="6"/>
  <c r="IC52" i="6"/>
  <c r="ID52" i="6"/>
  <c r="IE52" i="6"/>
  <c r="IF52" i="6"/>
  <c r="IG52" i="6"/>
  <c r="IH52" i="6"/>
  <c r="II52" i="6"/>
  <c r="O53" i="6"/>
  <c r="R53" i="6"/>
  <c r="S53" i="6"/>
  <c r="T53" i="6" a="1"/>
  <c r="T53" i="6"/>
  <c r="U53" i="6" a="1"/>
  <c r="U53" i="6"/>
  <c r="V53" i="6" a="1"/>
  <c r="V53" i="6"/>
  <c r="W53" i="6" a="1"/>
  <c r="W53" i="6"/>
  <c r="X53" i="6" a="1"/>
  <c r="X53" i="6"/>
  <c r="Y53" i="6" a="1"/>
  <c r="Y53" i="6"/>
  <c r="AB53" i="6"/>
  <c r="AC53" i="6" a="1"/>
  <c r="AC53" i="6"/>
  <c r="AE53" i="6"/>
  <c r="AF53" i="6"/>
  <c r="AH53" i="6" a="1"/>
  <c r="AH53" i="6"/>
  <c r="AI53" i="6" a="1"/>
  <c r="AI53" i="6"/>
  <c r="AJ53" i="6"/>
  <c r="AK53" i="6" a="1"/>
  <c r="AK53" i="6"/>
  <c r="AL53" i="6" a="1"/>
  <c r="AL53" i="6"/>
  <c r="AM53" i="6" a="1"/>
  <c r="AM53" i="6"/>
  <c r="AN53" i="6"/>
  <c r="AO53" i="6"/>
  <c r="AP53" i="6"/>
  <c r="AR53" i="6" a="1"/>
  <c r="AR53" i="6"/>
  <c r="AS53" i="6" a="1"/>
  <c r="AS53" i="6"/>
  <c r="AT53" i="6" a="1"/>
  <c r="AT53" i="6"/>
  <c r="AU53" i="6"/>
  <c r="AV53" i="6"/>
  <c r="AW53" i="6"/>
  <c r="BG53" i="6"/>
  <c r="BH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O54" i="6"/>
  <c r="R54" i="6"/>
  <c r="S54" i="6"/>
  <c r="T54" i="6" a="1"/>
  <c r="T54" i="6"/>
  <c r="U54" i="6" a="1"/>
  <c r="U54" i="6"/>
  <c r="V54" i="6" a="1"/>
  <c r="V54" i="6"/>
  <c r="W54" i="6" a="1"/>
  <c r="W54" i="6"/>
  <c r="X54" i="6" a="1"/>
  <c r="X54" i="6"/>
  <c r="Y54" i="6" a="1"/>
  <c r="Y54" i="6"/>
  <c r="AB54" i="6"/>
  <c r="AC54" i="6" a="1"/>
  <c r="AC54" i="6"/>
  <c r="AE54" i="6"/>
  <c r="AF54" i="6"/>
  <c r="AH54" i="6" a="1"/>
  <c r="AH54" i="6"/>
  <c r="AI54" i="6" a="1"/>
  <c r="AI54" i="6"/>
  <c r="AJ54" i="6"/>
  <c r="AL54" i="6" a="1"/>
  <c r="AL54" i="6"/>
  <c r="AM54" i="6" a="1"/>
  <c r="AM54" i="6"/>
  <c r="AO54" i="6"/>
  <c r="AP54" i="6"/>
  <c r="AS54" i="6" a="1"/>
  <c r="AS54" i="6"/>
  <c r="AT54" i="6" a="1"/>
  <c r="AT54" i="6"/>
  <c r="AV54" i="6"/>
  <c r="AW54" i="6"/>
  <c r="BA54" i="6"/>
  <c r="BB54" i="6"/>
  <c r="BC54" i="6"/>
  <c r="BD54" i="6"/>
  <c r="BG54" i="6"/>
  <c r="BH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HH54" i="6"/>
  <c r="HI54" i="6"/>
  <c r="HJ54" i="6"/>
  <c r="HK54" i="6"/>
  <c r="HL54" i="6"/>
  <c r="HM54" i="6"/>
  <c r="HN54" i="6"/>
  <c r="HO54" i="6"/>
  <c r="HP54" i="6"/>
  <c r="HQ54" i="6"/>
  <c r="HR54" i="6"/>
  <c r="HS54" i="6"/>
  <c r="HT54" i="6"/>
  <c r="HU54" i="6"/>
  <c r="HV54" i="6"/>
  <c r="HW54" i="6"/>
  <c r="HX54" i="6"/>
  <c r="HY54" i="6"/>
  <c r="HZ54" i="6"/>
  <c r="IA54" i="6"/>
  <c r="IB54" i="6"/>
  <c r="IC54" i="6"/>
  <c r="ID54" i="6"/>
  <c r="IE54" i="6"/>
  <c r="IF54" i="6"/>
  <c r="IG54" i="6"/>
  <c r="IH54" i="6"/>
  <c r="II54" i="6"/>
  <c r="O55" i="6"/>
  <c r="R55" i="6"/>
  <c r="S55" i="6"/>
  <c r="T55" i="6" a="1"/>
  <c r="T55" i="6"/>
  <c r="U55" i="6" a="1"/>
  <c r="U55" i="6"/>
  <c r="V55" i="6" a="1"/>
  <c r="V55" i="6"/>
  <c r="W55" i="6" a="1"/>
  <c r="W55" i="6"/>
  <c r="X55" i="6" a="1"/>
  <c r="X55" i="6"/>
  <c r="Y55" i="6" a="1"/>
  <c r="Y55" i="6"/>
  <c r="AB55" i="6"/>
  <c r="AC55" i="6" a="1"/>
  <c r="AC55" i="6"/>
  <c r="AE55" i="6"/>
  <c r="AF55" i="6"/>
  <c r="AH55" i="6" a="1"/>
  <c r="AH55" i="6"/>
  <c r="AI55" i="6" a="1"/>
  <c r="AI55" i="6"/>
  <c r="AJ55" i="6"/>
  <c r="AK55" i="6" a="1"/>
  <c r="AK55" i="6"/>
  <c r="AL55" i="6" a="1"/>
  <c r="AL55" i="6"/>
  <c r="AM55" i="6" a="1"/>
  <c r="AM55" i="6"/>
  <c r="AN55" i="6"/>
  <c r="AO55" i="6"/>
  <c r="AP55" i="6"/>
  <c r="AR55" i="6" a="1"/>
  <c r="AR55" i="6"/>
  <c r="AS55" i="6" a="1"/>
  <c r="AS55" i="6"/>
  <c r="AT55" i="6" a="1"/>
  <c r="AT55" i="6"/>
  <c r="AU55" i="6"/>
  <c r="AV55" i="6"/>
  <c r="AW55" i="6"/>
  <c r="BG55" i="6"/>
  <c r="BH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O56" i="6"/>
  <c r="R56" i="6"/>
  <c r="S56" i="6"/>
  <c r="T56" i="6" a="1"/>
  <c r="T56" i="6"/>
  <c r="U56" i="6" a="1"/>
  <c r="U56" i="6"/>
  <c r="V56" i="6" a="1"/>
  <c r="V56" i="6"/>
  <c r="W56" i="6" a="1"/>
  <c r="W56" i="6"/>
  <c r="X56" i="6" a="1"/>
  <c r="X56" i="6"/>
  <c r="Y56" i="6" a="1"/>
  <c r="Y56" i="6"/>
  <c r="AB56" i="6"/>
  <c r="AC56" i="6" a="1"/>
  <c r="AC56" i="6"/>
  <c r="AE56" i="6"/>
  <c r="AF56" i="6"/>
  <c r="AH56" i="6" a="1"/>
  <c r="AH56" i="6"/>
  <c r="AI56" i="6" a="1"/>
  <c r="AI56" i="6"/>
  <c r="AJ56" i="6"/>
  <c r="AL56" i="6" a="1"/>
  <c r="AL56" i="6"/>
  <c r="AM56" i="6" a="1"/>
  <c r="AM56" i="6"/>
  <c r="AO56" i="6"/>
  <c r="AP56" i="6"/>
  <c r="AS56" i="6" a="1"/>
  <c r="AS56" i="6"/>
  <c r="AT56" i="6" a="1"/>
  <c r="AT56" i="6"/>
  <c r="AV56" i="6"/>
  <c r="AW56" i="6"/>
  <c r="BA56" i="6"/>
  <c r="BB56" i="6"/>
  <c r="BC56" i="6"/>
  <c r="BD56" i="6"/>
  <c r="BG56" i="6"/>
  <c r="BH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HH56" i="6"/>
  <c r="HI56" i="6"/>
  <c r="HJ56" i="6"/>
  <c r="HK56" i="6"/>
  <c r="HL56" i="6"/>
  <c r="HM56" i="6"/>
  <c r="HN56" i="6"/>
  <c r="HO56" i="6"/>
  <c r="HP56" i="6"/>
  <c r="HQ56" i="6"/>
  <c r="HR56" i="6"/>
  <c r="HS56" i="6"/>
  <c r="HT56" i="6"/>
  <c r="HU56" i="6"/>
  <c r="HV56" i="6"/>
  <c r="HW56" i="6"/>
  <c r="HX56" i="6"/>
  <c r="HY56" i="6"/>
  <c r="HZ56" i="6"/>
  <c r="IA56" i="6"/>
  <c r="IB56" i="6"/>
  <c r="IC56" i="6"/>
  <c r="ID56" i="6"/>
  <c r="IE56" i="6"/>
  <c r="IF56" i="6"/>
  <c r="IG56" i="6"/>
  <c r="IH56" i="6"/>
  <c r="II56" i="6"/>
  <c r="O57" i="6"/>
  <c r="R57" i="6"/>
  <c r="S57" i="6"/>
  <c r="T57" i="6" a="1"/>
  <c r="T57" i="6"/>
  <c r="U57" i="6" a="1"/>
  <c r="U57" i="6"/>
  <c r="V57" i="6" a="1"/>
  <c r="V57" i="6"/>
  <c r="W57" i="6" a="1"/>
  <c r="W57" i="6"/>
  <c r="X57" i="6" a="1"/>
  <c r="X57" i="6"/>
  <c r="Y57" i="6" a="1"/>
  <c r="Y57" i="6"/>
  <c r="AB57" i="6"/>
  <c r="AC57" i="6" a="1"/>
  <c r="AC57" i="6"/>
  <c r="AE57" i="6"/>
  <c r="AF57" i="6"/>
  <c r="AH57" i="6" a="1"/>
  <c r="AH57" i="6"/>
  <c r="AI57" i="6" a="1"/>
  <c r="AI57" i="6"/>
  <c r="AJ57" i="6"/>
  <c r="AL57" i="6" a="1"/>
  <c r="AL57" i="6"/>
  <c r="AM57" i="6" a="1"/>
  <c r="AM57" i="6"/>
  <c r="AO57" i="6"/>
  <c r="AP57" i="6"/>
  <c r="AS57" i="6" a="1"/>
  <c r="AS57" i="6"/>
  <c r="AT57" i="6" a="1"/>
  <c r="AT57" i="6"/>
  <c r="AV57" i="6"/>
  <c r="AW57" i="6"/>
  <c r="BA57" i="6"/>
  <c r="BB57" i="6"/>
  <c r="BC57" i="6"/>
  <c r="BD57" i="6"/>
  <c r="BG57" i="6"/>
  <c r="BH57" i="6"/>
  <c r="BQ57" i="6"/>
  <c r="BR57" i="6"/>
  <c r="BS57" i="6"/>
  <c r="BT57" i="6"/>
  <c r="BU57" i="6"/>
  <c r="BV57" i="6"/>
  <c r="BW57" i="6"/>
  <c r="BX57" i="6"/>
  <c r="BY57" i="6"/>
  <c r="BZ57" i="6"/>
  <c r="CA57" i="6"/>
  <c r="CB57" i="6"/>
  <c r="CC57" i="6"/>
  <c r="CD57" i="6"/>
  <c r="CL57" i="6"/>
  <c r="CM57" i="6"/>
  <c r="CN57" i="6"/>
  <c r="CO57" i="6"/>
  <c r="CP57" i="6"/>
  <c r="CQ57" i="6"/>
  <c r="CR57" i="6"/>
  <c r="CS57" i="6"/>
  <c r="CT57" i="6"/>
  <c r="CU57" i="6"/>
  <c r="CV57" i="6"/>
  <c r="CW57" i="6"/>
  <c r="CX57" i="6"/>
  <c r="CY57" i="6"/>
  <c r="CZ57" i="6"/>
  <c r="DA57" i="6"/>
  <c r="DB57" i="6"/>
  <c r="DJ57" i="6"/>
  <c r="DK57" i="6"/>
  <c r="DL57" i="6"/>
  <c r="DM57" i="6"/>
  <c r="DN57" i="6"/>
  <c r="DO57" i="6"/>
  <c r="DP57" i="6"/>
  <c r="DQ57" i="6"/>
  <c r="DR57" i="6"/>
  <c r="DS57" i="6"/>
  <c r="DT57" i="6"/>
  <c r="DU57" i="6"/>
  <c r="DV57" i="6"/>
  <c r="DW57" i="6"/>
  <c r="DX57" i="6"/>
  <c r="DY57" i="6"/>
  <c r="DZ57" i="6"/>
  <c r="EH57" i="6"/>
  <c r="EI57" i="6"/>
  <c r="EJ57" i="6"/>
  <c r="EK57" i="6"/>
  <c r="EL57" i="6"/>
  <c r="EM57" i="6"/>
  <c r="EN57" i="6"/>
  <c r="EO57" i="6"/>
  <c r="EP57" i="6"/>
  <c r="EQ57" i="6"/>
  <c r="ER57" i="6"/>
  <c r="ES57" i="6"/>
  <c r="ET57" i="6"/>
  <c r="EU57" i="6"/>
  <c r="EV57" i="6"/>
  <c r="EW57" i="6"/>
  <c r="EX57" i="6"/>
  <c r="FF57" i="6"/>
  <c r="FG57" i="6"/>
  <c r="FH57" i="6"/>
  <c r="FI57" i="6"/>
  <c r="FJ57" i="6"/>
  <c r="FK57" i="6"/>
  <c r="FL57" i="6"/>
  <c r="FM57" i="6"/>
  <c r="FN57" i="6"/>
  <c r="FO57" i="6"/>
  <c r="FP57" i="6"/>
  <c r="FQ57" i="6"/>
  <c r="FR57" i="6"/>
  <c r="FS57" i="6"/>
  <c r="FT57" i="6"/>
  <c r="FU57" i="6"/>
  <c r="FV57" i="6"/>
  <c r="GD57" i="6"/>
  <c r="GE57" i="6"/>
  <c r="GF57" i="6"/>
  <c r="GG57" i="6"/>
  <c r="GH57" i="6"/>
  <c r="GI57" i="6"/>
  <c r="GJ57" i="6"/>
  <c r="GK57" i="6"/>
  <c r="GL57" i="6"/>
  <c r="GM57" i="6"/>
  <c r="GN57" i="6"/>
  <c r="GO57" i="6"/>
  <c r="GP57" i="6"/>
  <c r="GQ57" i="6"/>
  <c r="GR57" i="6"/>
  <c r="GS57" i="6"/>
  <c r="GT57" i="6"/>
  <c r="HB57" i="6"/>
  <c r="HC57" i="6"/>
  <c r="HD57" i="6"/>
  <c r="HE57" i="6"/>
  <c r="HF57" i="6"/>
  <c r="HG57" i="6"/>
  <c r="HH57" i="6"/>
  <c r="HI57" i="6"/>
  <c r="HJ57" i="6"/>
  <c r="HK57" i="6"/>
  <c r="HL57" i="6"/>
  <c r="HM57" i="6"/>
  <c r="HN57" i="6"/>
  <c r="HO57" i="6"/>
  <c r="HP57" i="6"/>
  <c r="HQ57" i="6"/>
  <c r="HR57" i="6"/>
  <c r="HZ57" i="6"/>
  <c r="IA57" i="6"/>
  <c r="IB57" i="6"/>
  <c r="IC57" i="6"/>
  <c r="ID57" i="6"/>
  <c r="IE57" i="6"/>
  <c r="IF57" i="6"/>
  <c r="IG57" i="6"/>
  <c r="IH57" i="6"/>
  <c r="II57" i="6"/>
  <c r="O58" i="6"/>
  <c r="R58" i="6"/>
  <c r="S58" i="6"/>
  <c r="T58" i="6" a="1"/>
  <c r="T58" i="6"/>
  <c r="U58" i="6" a="1"/>
  <c r="U58" i="6"/>
  <c r="V58" i="6" a="1"/>
  <c r="V58" i="6"/>
  <c r="W58" i="6" a="1"/>
  <c r="W58" i="6"/>
  <c r="X58" i="6" a="1"/>
  <c r="X58" i="6"/>
  <c r="Y58" i="6" a="1"/>
  <c r="Y58" i="6"/>
  <c r="AB58" i="6"/>
  <c r="AC58" i="6" a="1"/>
  <c r="AC58" i="6"/>
  <c r="AE58" i="6"/>
  <c r="AF58" i="6"/>
  <c r="AH58" i="6" a="1"/>
  <c r="AH58" i="6"/>
  <c r="AI58" i="6" a="1"/>
  <c r="AI58" i="6"/>
  <c r="AJ58" i="6"/>
  <c r="AK58" i="6" a="1"/>
  <c r="AK58" i="6"/>
  <c r="AL58" i="6" a="1"/>
  <c r="AL58" i="6"/>
  <c r="AM58" i="6" a="1"/>
  <c r="AM58" i="6"/>
  <c r="AN58" i="6"/>
  <c r="AO58" i="6"/>
  <c r="AP58" i="6"/>
  <c r="AR58" i="6" a="1"/>
  <c r="AR58" i="6"/>
  <c r="AS58" i="6" a="1"/>
  <c r="AS58" i="6"/>
  <c r="AT58" i="6" a="1"/>
  <c r="AT58" i="6"/>
  <c r="AU58" i="6"/>
  <c r="AV58" i="6"/>
  <c r="AW58" i="6"/>
  <c r="BG58" i="6"/>
  <c r="BH58" i="6"/>
  <c r="BQ58" i="6"/>
  <c r="BR58" i="6"/>
  <c r="BS58" i="6"/>
  <c r="BT58" i="6"/>
  <c r="BU58" i="6"/>
  <c r="BV58" i="6"/>
  <c r="BW58" i="6"/>
  <c r="BX58" i="6"/>
  <c r="BY58" i="6"/>
  <c r="BZ58" i="6"/>
  <c r="CA58" i="6"/>
  <c r="CB58" i="6"/>
  <c r="CC58" i="6"/>
  <c r="CD58" i="6"/>
  <c r="CL58" i="6"/>
  <c r="CM58" i="6"/>
  <c r="CN58" i="6"/>
  <c r="CO58" i="6"/>
  <c r="CP58" i="6"/>
  <c r="CQ58" i="6"/>
  <c r="CR58" i="6"/>
  <c r="CS58" i="6"/>
  <c r="CT58" i="6"/>
  <c r="CU58" i="6"/>
  <c r="CV58" i="6"/>
  <c r="CW58" i="6"/>
  <c r="CX58" i="6"/>
  <c r="CY58" i="6"/>
  <c r="CZ58" i="6"/>
  <c r="DA58" i="6"/>
  <c r="DB58" i="6"/>
  <c r="DJ58" i="6"/>
  <c r="DK58" i="6"/>
  <c r="DL58" i="6"/>
  <c r="DM58" i="6"/>
  <c r="DN58" i="6"/>
  <c r="DO58" i="6"/>
  <c r="DP58" i="6"/>
  <c r="DQ58" i="6"/>
  <c r="DR58" i="6"/>
  <c r="DS58" i="6"/>
  <c r="DT58" i="6"/>
  <c r="DU58" i="6"/>
  <c r="DV58" i="6"/>
  <c r="DW58" i="6"/>
  <c r="DX58" i="6"/>
  <c r="DY58" i="6"/>
  <c r="DZ58" i="6"/>
  <c r="EH58" i="6"/>
  <c r="EI58" i="6"/>
  <c r="EJ58" i="6"/>
  <c r="EK58" i="6"/>
  <c r="EL58" i="6"/>
  <c r="EM58" i="6"/>
  <c r="EN58" i="6"/>
  <c r="EO58" i="6"/>
  <c r="EP58" i="6"/>
  <c r="EQ58" i="6"/>
  <c r="ER58" i="6"/>
  <c r="ES58" i="6"/>
  <c r="ET58" i="6"/>
  <c r="EU58" i="6"/>
  <c r="EV58" i="6"/>
  <c r="EW58" i="6"/>
  <c r="EX58" i="6"/>
  <c r="FF58" i="6"/>
  <c r="FG58" i="6"/>
  <c r="FH58" i="6"/>
  <c r="FI58" i="6"/>
  <c r="FJ58" i="6"/>
  <c r="FK58" i="6"/>
  <c r="FL58" i="6"/>
  <c r="FM58" i="6"/>
  <c r="FN58" i="6"/>
  <c r="FO58" i="6"/>
  <c r="FP58" i="6"/>
  <c r="FQ58" i="6"/>
  <c r="FR58" i="6"/>
  <c r="FS58" i="6"/>
  <c r="FT58" i="6"/>
  <c r="FU58" i="6"/>
  <c r="FV58" i="6"/>
  <c r="GD58" i="6"/>
  <c r="GE58" i="6"/>
  <c r="GF58" i="6"/>
  <c r="GG58" i="6"/>
  <c r="GH58" i="6"/>
  <c r="GI58" i="6"/>
  <c r="GJ58" i="6"/>
  <c r="GK58" i="6"/>
  <c r="GL58" i="6"/>
  <c r="GM58" i="6"/>
  <c r="GN58" i="6"/>
  <c r="GO58" i="6"/>
  <c r="GP58" i="6"/>
  <c r="GQ58" i="6"/>
  <c r="GR58" i="6"/>
  <c r="GS58" i="6"/>
  <c r="GT58" i="6"/>
  <c r="HB58" i="6"/>
  <c r="HC58" i="6"/>
  <c r="HD58" i="6"/>
  <c r="HE58" i="6"/>
  <c r="HF58" i="6"/>
  <c r="HG58" i="6"/>
  <c r="HH58" i="6"/>
  <c r="HI58" i="6"/>
  <c r="HJ58" i="6"/>
  <c r="HK58" i="6"/>
  <c r="HL58" i="6"/>
  <c r="HM58" i="6"/>
  <c r="HN58" i="6"/>
  <c r="HO58" i="6"/>
  <c r="HP58" i="6"/>
  <c r="HQ58" i="6"/>
  <c r="HR58" i="6"/>
  <c r="HZ58" i="6"/>
  <c r="IA58" i="6"/>
  <c r="IB58" i="6"/>
  <c r="IC58" i="6"/>
  <c r="ID58" i="6"/>
  <c r="IE58" i="6"/>
  <c r="IF58" i="6"/>
  <c r="IG58" i="6"/>
  <c r="IH58" i="6"/>
  <c r="II58" i="6"/>
  <c r="O59" i="6"/>
  <c r="R59" i="6"/>
  <c r="S59" i="6"/>
  <c r="T59" i="6" a="1"/>
  <c r="T59" i="6"/>
  <c r="U59" i="6" a="1"/>
  <c r="U59" i="6"/>
  <c r="V59" i="6" a="1"/>
  <c r="V59" i="6"/>
  <c r="W59" i="6" a="1"/>
  <c r="W59" i="6"/>
  <c r="X59" i="6" a="1"/>
  <c r="X59" i="6"/>
  <c r="Y59" i="6" a="1"/>
  <c r="Y59" i="6"/>
  <c r="AB59" i="6"/>
  <c r="AC59" i="6" a="1"/>
  <c r="AC59" i="6"/>
  <c r="AE59" i="6"/>
  <c r="AF59" i="6"/>
  <c r="AH59" i="6" a="1"/>
  <c r="AH59" i="6"/>
  <c r="AI59" i="6" a="1"/>
  <c r="AI59" i="6"/>
  <c r="AJ59" i="6"/>
  <c r="AK59" i="6" a="1"/>
  <c r="AK59" i="6"/>
  <c r="AL59" i="6" a="1"/>
  <c r="AL59" i="6"/>
  <c r="AM59" i="6" a="1"/>
  <c r="AM59" i="6"/>
  <c r="AN59" i="6"/>
  <c r="AO59" i="6"/>
  <c r="AP59" i="6"/>
  <c r="AR59" i="6" a="1"/>
  <c r="AR59" i="6"/>
  <c r="AS59" i="6" a="1"/>
  <c r="AS59" i="6"/>
  <c r="AT59" i="6" a="1"/>
  <c r="AT59" i="6"/>
  <c r="AU59" i="6"/>
  <c r="AV59" i="6"/>
  <c r="AW59" i="6"/>
  <c r="BG59" i="6"/>
  <c r="BH59" i="6"/>
  <c r="BQ59" i="6"/>
  <c r="BR59" i="6"/>
  <c r="BS59" i="6"/>
  <c r="BT59" i="6"/>
  <c r="BU59" i="6"/>
  <c r="BV59" i="6"/>
  <c r="BW59" i="6"/>
  <c r="BX59" i="6"/>
  <c r="BY59" i="6"/>
  <c r="BZ59" i="6"/>
  <c r="CA59" i="6"/>
  <c r="CB59" i="6"/>
  <c r="CC59" i="6"/>
  <c r="CD59" i="6"/>
  <c r="CL59" i="6"/>
  <c r="CM59" i="6"/>
  <c r="CN59" i="6"/>
  <c r="CO59" i="6"/>
  <c r="CP59" i="6"/>
  <c r="CQ59" i="6"/>
  <c r="CR59" i="6"/>
  <c r="CS59" i="6"/>
  <c r="CT59" i="6"/>
  <c r="CU59" i="6"/>
  <c r="CV59" i="6"/>
  <c r="CW59" i="6"/>
  <c r="CX59" i="6"/>
  <c r="CY59" i="6"/>
  <c r="CZ59" i="6"/>
  <c r="DA59" i="6"/>
  <c r="DB59" i="6"/>
  <c r="DJ59" i="6"/>
  <c r="DK59" i="6"/>
  <c r="DL59" i="6"/>
  <c r="DM59" i="6"/>
  <c r="DN59" i="6"/>
  <c r="DO59" i="6"/>
  <c r="DP59" i="6"/>
  <c r="DQ59" i="6"/>
  <c r="DR59" i="6"/>
  <c r="DS59" i="6"/>
  <c r="DT59" i="6"/>
  <c r="DU59" i="6"/>
  <c r="DV59" i="6"/>
  <c r="DW59" i="6"/>
  <c r="DX59" i="6"/>
  <c r="DY59" i="6"/>
  <c r="DZ59" i="6"/>
  <c r="EH59" i="6"/>
  <c r="EI59" i="6"/>
  <c r="EJ59" i="6"/>
  <c r="EK59" i="6"/>
  <c r="EL59" i="6"/>
  <c r="EM59" i="6"/>
  <c r="EN59" i="6"/>
  <c r="EO59" i="6"/>
  <c r="EP59" i="6"/>
  <c r="EQ59" i="6"/>
  <c r="ER59" i="6"/>
  <c r="ES59" i="6"/>
  <c r="ET59" i="6"/>
  <c r="EU59" i="6"/>
  <c r="EV59" i="6"/>
  <c r="EW59" i="6"/>
  <c r="EX59" i="6"/>
  <c r="FF59" i="6"/>
  <c r="FG59" i="6"/>
  <c r="FH59" i="6"/>
  <c r="FI59" i="6"/>
  <c r="FJ59" i="6"/>
  <c r="FK59" i="6"/>
  <c r="FL59" i="6"/>
  <c r="FM59" i="6"/>
  <c r="FN59" i="6"/>
  <c r="FO59" i="6"/>
  <c r="FP59" i="6"/>
  <c r="FQ59" i="6"/>
  <c r="FR59" i="6"/>
  <c r="FS59" i="6"/>
  <c r="FT59" i="6"/>
  <c r="FU59" i="6"/>
  <c r="FV59" i="6"/>
  <c r="GD59" i="6"/>
  <c r="GE59" i="6"/>
  <c r="GF59" i="6"/>
  <c r="GG59" i="6"/>
  <c r="GH59" i="6"/>
  <c r="GI59" i="6"/>
  <c r="GJ59" i="6"/>
  <c r="GK59" i="6"/>
  <c r="GL59" i="6"/>
  <c r="GM59" i="6"/>
  <c r="GN59" i="6"/>
  <c r="GO59" i="6"/>
  <c r="GP59" i="6"/>
  <c r="GQ59" i="6"/>
  <c r="GR59" i="6"/>
  <c r="GS59" i="6"/>
  <c r="GT59" i="6"/>
  <c r="HB59" i="6"/>
  <c r="HC59" i="6"/>
  <c r="HD59" i="6"/>
  <c r="HE59" i="6"/>
  <c r="HF59" i="6"/>
  <c r="HG59" i="6"/>
  <c r="HH59" i="6"/>
  <c r="HI59" i="6"/>
  <c r="HJ59" i="6"/>
  <c r="HK59" i="6"/>
  <c r="HL59" i="6"/>
  <c r="HM59" i="6"/>
  <c r="HN59" i="6"/>
  <c r="HO59" i="6"/>
  <c r="HP59" i="6"/>
  <c r="HQ59" i="6"/>
  <c r="HR59" i="6"/>
  <c r="HZ59" i="6"/>
  <c r="IA59" i="6"/>
  <c r="IB59" i="6"/>
  <c r="IC59" i="6"/>
  <c r="ID59" i="6"/>
  <c r="IE59" i="6"/>
  <c r="IF59" i="6"/>
  <c r="IG59" i="6"/>
  <c r="IH59" i="6"/>
  <c r="II59" i="6"/>
  <c r="O60" i="6"/>
  <c r="R60" i="6"/>
  <c r="S60" i="6"/>
  <c r="T60" i="6" a="1"/>
  <c r="T60" i="6"/>
  <c r="U60" i="6" a="1"/>
  <c r="U60" i="6"/>
  <c r="V60" i="6" a="1"/>
  <c r="V60" i="6"/>
  <c r="W60" i="6" a="1"/>
  <c r="W60" i="6"/>
  <c r="X60" i="6" a="1"/>
  <c r="X60" i="6"/>
  <c r="Y60" i="6" a="1"/>
  <c r="Y60" i="6"/>
  <c r="AB60" i="6"/>
  <c r="AC60" i="6" a="1"/>
  <c r="AC60" i="6"/>
  <c r="AE60" i="6"/>
  <c r="AF60" i="6"/>
  <c r="AH60" i="6" a="1"/>
  <c r="AH60" i="6"/>
  <c r="AI60" i="6" a="1"/>
  <c r="AI60" i="6"/>
  <c r="AJ60" i="6"/>
  <c r="AK60" i="6" a="1"/>
  <c r="AK60" i="6"/>
  <c r="AL60" i="6" a="1"/>
  <c r="AL60" i="6"/>
  <c r="AM60" i="6" a="1"/>
  <c r="AM60" i="6"/>
  <c r="AN60" i="6"/>
  <c r="AO60" i="6"/>
  <c r="AP60" i="6"/>
  <c r="AR60" i="6" a="1"/>
  <c r="AR60" i="6"/>
  <c r="AS60" i="6" a="1"/>
  <c r="AS60" i="6"/>
  <c r="AT60" i="6" a="1"/>
  <c r="AT60" i="6"/>
  <c r="AU60" i="6"/>
  <c r="AV60" i="6"/>
  <c r="AW60" i="6"/>
  <c r="BG60" i="6"/>
  <c r="BH60" i="6"/>
  <c r="BQ60" i="6"/>
  <c r="BR60" i="6"/>
  <c r="BS60" i="6"/>
  <c r="BT60" i="6"/>
  <c r="BU60" i="6"/>
  <c r="BV60" i="6"/>
  <c r="BW60" i="6"/>
  <c r="BX60" i="6"/>
  <c r="BY60" i="6"/>
  <c r="BZ60" i="6"/>
  <c r="CA60" i="6"/>
  <c r="CB60" i="6"/>
  <c r="CC60" i="6"/>
  <c r="CD60" i="6"/>
  <c r="CL60" i="6"/>
  <c r="CM60" i="6"/>
  <c r="CN60" i="6"/>
  <c r="CO60" i="6"/>
  <c r="CP60" i="6"/>
  <c r="CQ60" i="6"/>
  <c r="CR60" i="6"/>
  <c r="CS60" i="6"/>
  <c r="CT60" i="6"/>
  <c r="CU60" i="6"/>
  <c r="CV60" i="6"/>
  <c r="CW60" i="6"/>
  <c r="CX60" i="6"/>
  <c r="CY60" i="6"/>
  <c r="CZ60" i="6"/>
  <c r="DA60" i="6"/>
  <c r="DB60" i="6"/>
  <c r="DJ60" i="6"/>
  <c r="DK60" i="6"/>
  <c r="DL60" i="6"/>
  <c r="DM60" i="6"/>
  <c r="DN60" i="6"/>
  <c r="DO60" i="6"/>
  <c r="DP60" i="6"/>
  <c r="DQ60" i="6"/>
  <c r="DR60" i="6"/>
  <c r="DS60" i="6"/>
  <c r="DT60" i="6"/>
  <c r="DU60" i="6"/>
  <c r="DV60" i="6"/>
  <c r="DW60" i="6"/>
  <c r="DX60" i="6"/>
  <c r="DY60" i="6"/>
  <c r="DZ60" i="6"/>
  <c r="EH60" i="6"/>
  <c r="EI60" i="6"/>
  <c r="EJ60" i="6"/>
  <c r="EK60" i="6"/>
  <c r="EL60" i="6"/>
  <c r="EM60" i="6"/>
  <c r="EN60" i="6"/>
  <c r="EO60" i="6"/>
  <c r="EP60" i="6"/>
  <c r="EQ60" i="6"/>
  <c r="ER60" i="6"/>
  <c r="ES60" i="6"/>
  <c r="ET60" i="6"/>
  <c r="EU60" i="6"/>
  <c r="EV60" i="6"/>
  <c r="EW60" i="6"/>
  <c r="EX60" i="6"/>
  <c r="FF60" i="6"/>
  <c r="FG60" i="6"/>
  <c r="FH60" i="6"/>
  <c r="FI60" i="6"/>
  <c r="FJ60" i="6"/>
  <c r="FK60" i="6"/>
  <c r="FL60" i="6"/>
  <c r="FM60" i="6"/>
  <c r="FN60" i="6"/>
  <c r="FO60" i="6"/>
  <c r="FP60" i="6"/>
  <c r="FQ60" i="6"/>
  <c r="FR60" i="6"/>
  <c r="FS60" i="6"/>
  <c r="FT60" i="6"/>
  <c r="FU60" i="6"/>
  <c r="FV60" i="6"/>
  <c r="GD60" i="6"/>
  <c r="GE60" i="6"/>
  <c r="GF60" i="6"/>
  <c r="GG60" i="6"/>
  <c r="GH60" i="6"/>
  <c r="GI60" i="6"/>
  <c r="GJ60" i="6"/>
  <c r="GK60" i="6"/>
  <c r="GL60" i="6"/>
  <c r="GM60" i="6"/>
  <c r="GN60" i="6"/>
  <c r="GO60" i="6"/>
  <c r="GP60" i="6"/>
  <c r="GQ60" i="6"/>
  <c r="GR60" i="6"/>
  <c r="GS60" i="6"/>
  <c r="GT60" i="6"/>
  <c r="HB60" i="6"/>
  <c r="HC60" i="6"/>
  <c r="HD60" i="6"/>
  <c r="HE60" i="6"/>
  <c r="HF60" i="6"/>
  <c r="HG60" i="6"/>
  <c r="HH60" i="6"/>
  <c r="HI60" i="6"/>
  <c r="HJ60" i="6"/>
  <c r="HK60" i="6"/>
  <c r="HL60" i="6"/>
  <c r="HM60" i="6"/>
  <c r="HN60" i="6"/>
  <c r="HO60" i="6"/>
  <c r="HP60" i="6"/>
  <c r="HQ60" i="6"/>
  <c r="HR60" i="6"/>
  <c r="HZ60" i="6"/>
  <c r="IA60" i="6"/>
  <c r="IB60" i="6"/>
  <c r="IC60" i="6"/>
  <c r="ID60" i="6"/>
  <c r="IE60" i="6"/>
  <c r="IF60" i="6"/>
  <c r="IG60" i="6"/>
  <c r="IH60" i="6"/>
  <c r="II60" i="6"/>
  <c r="O61" i="6"/>
  <c r="R61" i="6"/>
  <c r="S61" i="6"/>
  <c r="T61" i="6" a="1"/>
  <c r="T61" i="6"/>
  <c r="U61" i="6" a="1"/>
  <c r="U61" i="6"/>
  <c r="V61" i="6" a="1"/>
  <c r="V61" i="6"/>
  <c r="W61" i="6" a="1"/>
  <c r="W61" i="6"/>
  <c r="X61" i="6" a="1"/>
  <c r="X61" i="6"/>
  <c r="Y61" i="6" a="1"/>
  <c r="Y61" i="6"/>
  <c r="AB61" i="6"/>
  <c r="AC61" i="6" a="1"/>
  <c r="AC61" i="6"/>
  <c r="AE61" i="6"/>
  <c r="AF61" i="6"/>
  <c r="AY61" i="6"/>
  <c r="AZ61" i="6"/>
  <c r="BC61" i="6"/>
  <c r="BD61" i="6"/>
  <c r="BG61" i="6"/>
  <c r="BH61" i="6"/>
  <c r="BQ61" i="6"/>
  <c r="BR61" i="6"/>
  <c r="BS61" i="6"/>
  <c r="BT61" i="6"/>
  <c r="BU61" i="6"/>
  <c r="BV61" i="6"/>
  <c r="BW61" i="6"/>
  <c r="BX61" i="6"/>
  <c r="BY61" i="6"/>
  <c r="BZ61" i="6"/>
  <c r="CA61" i="6"/>
  <c r="CB61" i="6"/>
  <c r="CC61" i="6"/>
  <c r="CD61" i="6"/>
  <c r="CL61" i="6"/>
  <c r="CM61" i="6"/>
  <c r="CN61" i="6"/>
  <c r="CO61" i="6"/>
  <c r="CP61" i="6"/>
  <c r="CQ61" i="6"/>
  <c r="CR61" i="6"/>
  <c r="CS61" i="6"/>
  <c r="CT61" i="6"/>
  <c r="CU61" i="6"/>
  <c r="CV61" i="6"/>
  <c r="CW61" i="6"/>
  <c r="CX61" i="6"/>
  <c r="CY61" i="6"/>
  <c r="CZ61" i="6"/>
  <c r="DA61" i="6"/>
  <c r="DB61" i="6"/>
  <c r="DJ61" i="6"/>
  <c r="DK61" i="6"/>
  <c r="DL61" i="6"/>
  <c r="DM61" i="6"/>
  <c r="DN61" i="6"/>
  <c r="DO61" i="6"/>
  <c r="DP61" i="6"/>
  <c r="DQ61" i="6"/>
  <c r="DR61" i="6"/>
  <c r="DS61" i="6"/>
  <c r="DT61" i="6"/>
  <c r="DU61" i="6"/>
  <c r="DV61" i="6"/>
  <c r="DW61" i="6"/>
  <c r="DX61" i="6"/>
  <c r="DY61" i="6"/>
  <c r="DZ61" i="6"/>
  <c r="EH61" i="6"/>
  <c r="EI61" i="6"/>
  <c r="EJ61" i="6"/>
  <c r="EK61" i="6"/>
  <c r="EL61" i="6"/>
  <c r="EM61" i="6"/>
  <c r="EN61" i="6"/>
  <c r="EO61" i="6"/>
  <c r="EP61" i="6"/>
  <c r="EQ61" i="6"/>
  <c r="ER61" i="6"/>
  <c r="ES61" i="6"/>
  <c r="ET61" i="6"/>
  <c r="EU61" i="6"/>
  <c r="EV61" i="6"/>
  <c r="EW61" i="6"/>
  <c r="EX61" i="6"/>
  <c r="FF61" i="6"/>
  <c r="FG61" i="6"/>
  <c r="FH61" i="6"/>
  <c r="FI61" i="6"/>
  <c r="FJ61" i="6"/>
  <c r="FK61" i="6"/>
  <c r="FL61" i="6"/>
  <c r="FM61" i="6"/>
  <c r="FN61" i="6"/>
  <c r="FO61" i="6"/>
  <c r="FP61" i="6"/>
  <c r="FQ61" i="6"/>
  <c r="FR61" i="6"/>
  <c r="FS61" i="6"/>
  <c r="FT61" i="6"/>
  <c r="FU61" i="6"/>
  <c r="FV61" i="6"/>
  <c r="GD61" i="6"/>
  <c r="GE61" i="6"/>
  <c r="GF61" i="6"/>
  <c r="GG61" i="6"/>
  <c r="GH61" i="6"/>
  <c r="GI61" i="6"/>
  <c r="GJ61" i="6"/>
  <c r="GK61" i="6"/>
  <c r="GL61" i="6"/>
  <c r="GM61" i="6"/>
  <c r="GN61" i="6"/>
  <c r="GO61" i="6"/>
  <c r="GP61" i="6"/>
  <c r="GQ61" i="6"/>
  <c r="GR61" i="6"/>
  <c r="GS61" i="6"/>
  <c r="GT61" i="6"/>
  <c r="HB61" i="6"/>
  <c r="HC61" i="6"/>
  <c r="HD61" i="6"/>
  <c r="HE61" i="6"/>
  <c r="HF61" i="6"/>
  <c r="HG61" i="6"/>
  <c r="HH61" i="6"/>
  <c r="HI61" i="6"/>
  <c r="HJ61" i="6"/>
  <c r="HK61" i="6"/>
  <c r="HL61" i="6"/>
  <c r="HM61" i="6"/>
  <c r="HN61" i="6"/>
  <c r="HO61" i="6"/>
  <c r="HP61" i="6"/>
  <c r="HQ61" i="6"/>
  <c r="HR61" i="6"/>
  <c r="HZ61" i="6"/>
  <c r="IA61" i="6"/>
  <c r="IB61" i="6"/>
  <c r="IC61" i="6"/>
  <c r="ID61" i="6"/>
  <c r="IE61" i="6"/>
  <c r="IF61" i="6"/>
  <c r="IG61" i="6"/>
  <c r="IH61" i="6"/>
  <c r="II61" i="6"/>
  <c r="O62" i="6"/>
  <c r="R62" i="6"/>
  <c r="S62" i="6"/>
  <c r="T62" i="6" a="1"/>
  <c r="T62" i="6"/>
  <c r="U62" i="6" a="1"/>
  <c r="U62" i="6"/>
  <c r="V62" i="6" a="1"/>
  <c r="V62" i="6"/>
  <c r="W62" i="6" a="1"/>
  <c r="W62" i="6"/>
  <c r="X62" i="6" a="1"/>
  <c r="X62" i="6"/>
  <c r="Y62" i="6" a="1"/>
  <c r="Y62" i="6"/>
  <c r="AB62" i="6"/>
  <c r="AC62" i="6" a="1"/>
  <c r="AC62" i="6"/>
  <c r="AE62" i="6"/>
  <c r="AF62" i="6"/>
  <c r="AH62" i="6" a="1"/>
  <c r="AH62" i="6"/>
  <c r="AI62" i="6" a="1"/>
  <c r="AI62" i="6"/>
  <c r="AJ62" i="6"/>
  <c r="AL62" i="6" a="1"/>
  <c r="AL62" i="6"/>
  <c r="AM62" i="6" a="1"/>
  <c r="AM62" i="6"/>
  <c r="AS62" i="6" a="1"/>
  <c r="AS62" i="6"/>
  <c r="AT62" i="6" a="1"/>
  <c r="AT62" i="6"/>
  <c r="BG62" i="6"/>
  <c r="BH62" i="6"/>
  <c r="BQ62" i="6"/>
  <c r="BR62" i="6"/>
  <c r="BS62" i="6"/>
  <c r="BT62" i="6"/>
  <c r="BU62" i="6"/>
  <c r="BV62" i="6"/>
  <c r="BW62" i="6"/>
  <c r="BX62" i="6"/>
  <c r="BY62" i="6"/>
  <c r="BZ62" i="6"/>
  <c r="CA62" i="6"/>
  <c r="CB62" i="6"/>
  <c r="CC62" i="6"/>
  <c r="CD62" i="6"/>
  <c r="CL62" i="6"/>
  <c r="CM62" i="6"/>
  <c r="CN62" i="6"/>
  <c r="CO62" i="6"/>
  <c r="CP62" i="6"/>
  <c r="CQ62" i="6"/>
  <c r="CR62" i="6"/>
  <c r="CS62" i="6"/>
  <c r="CT62" i="6"/>
  <c r="CU62" i="6"/>
  <c r="CV62" i="6"/>
  <c r="CW62" i="6"/>
  <c r="CX62" i="6"/>
  <c r="CY62" i="6"/>
  <c r="CZ62" i="6"/>
  <c r="DA62" i="6"/>
  <c r="DB62" i="6"/>
  <c r="DJ62" i="6"/>
  <c r="DK62" i="6"/>
  <c r="DL62" i="6"/>
  <c r="DM62" i="6"/>
  <c r="DN62" i="6"/>
  <c r="DO62" i="6"/>
  <c r="DP62" i="6"/>
  <c r="DQ62" i="6"/>
  <c r="DR62" i="6"/>
  <c r="DS62" i="6"/>
  <c r="DT62" i="6"/>
  <c r="DU62" i="6"/>
  <c r="DV62" i="6"/>
  <c r="DW62" i="6"/>
  <c r="DX62" i="6"/>
  <c r="DY62" i="6"/>
  <c r="DZ62" i="6"/>
  <c r="EH62" i="6"/>
  <c r="EI62" i="6"/>
  <c r="EJ62" i="6"/>
  <c r="EK62" i="6"/>
  <c r="EL62" i="6"/>
  <c r="EM62" i="6"/>
  <c r="EN62" i="6"/>
  <c r="EO62" i="6"/>
  <c r="EP62" i="6"/>
  <c r="EQ62" i="6"/>
  <c r="ER62" i="6"/>
  <c r="ES62" i="6"/>
  <c r="ET62" i="6"/>
  <c r="EU62" i="6"/>
  <c r="EV62" i="6"/>
  <c r="EW62" i="6"/>
  <c r="EX62" i="6"/>
  <c r="FF62" i="6"/>
  <c r="FG62" i="6"/>
  <c r="FH62" i="6"/>
  <c r="FI62" i="6"/>
  <c r="FJ62" i="6"/>
  <c r="FK62" i="6"/>
  <c r="FL62" i="6"/>
  <c r="FM62" i="6"/>
  <c r="FN62" i="6"/>
  <c r="FO62" i="6"/>
  <c r="FP62" i="6"/>
  <c r="FQ62" i="6"/>
  <c r="FR62" i="6"/>
  <c r="FS62" i="6"/>
  <c r="FT62" i="6"/>
  <c r="FU62" i="6"/>
  <c r="FV62" i="6"/>
  <c r="GD62" i="6"/>
  <c r="GE62" i="6"/>
  <c r="GF62" i="6"/>
  <c r="GG62" i="6"/>
  <c r="GH62" i="6"/>
  <c r="GI62" i="6"/>
  <c r="GJ62" i="6"/>
  <c r="GK62" i="6"/>
  <c r="GL62" i="6"/>
  <c r="GM62" i="6"/>
  <c r="GN62" i="6"/>
  <c r="GO62" i="6"/>
  <c r="GP62" i="6"/>
  <c r="GQ62" i="6"/>
  <c r="GR62" i="6"/>
  <c r="GS62" i="6"/>
  <c r="GT62" i="6"/>
  <c r="HB62" i="6"/>
  <c r="HC62" i="6"/>
  <c r="HD62" i="6"/>
  <c r="HE62" i="6"/>
  <c r="HF62" i="6"/>
  <c r="HG62" i="6"/>
  <c r="HH62" i="6"/>
  <c r="HI62" i="6"/>
  <c r="HJ62" i="6"/>
  <c r="HK62" i="6"/>
  <c r="HL62" i="6"/>
  <c r="HM62" i="6"/>
  <c r="HN62" i="6"/>
  <c r="HO62" i="6"/>
  <c r="HP62" i="6"/>
  <c r="HQ62" i="6"/>
  <c r="HR62" i="6"/>
  <c r="HZ62" i="6"/>
  <c r="IA62" i="6"/>
  <c r="IB62" i="6"/>
  <c r="IC62" i="6"/>
  <c r="ID62" i="6"/>
  <c r="IE62" i="6"/>
  <c r="IF62" i="6"/>
  <c r="IG62" i="6"/>
  <c r="IH62" i="6"/>
  <c r="II62" i="6"/>
  <c r="O63" i="6"/>
  <c r="R63" i="6"/>
  <c r="S63" i="6"/>
  <c r="T63" i="6" a="1"/>
  <c r="T63" i="6"/>
  <c r="U63" i="6" a="1"/>
  <c r="U63" i="6"/>
  <c r="V63" i="6" a="1"/>
  <c r="V63" i="6"/>
  <c r="W63" i="6" a="1"/>
  <c r="W63" i="6"/>
  <c r="X63" i="6" a="1"/>
  <c r="X63" i="6"/>
  <c r="Y63" i="6" a="1"/>
  <c r="Y63" i="6"/>
  <c r="AB63" i="6"/>
  <c r="AC63" i="6" a="1"/>
  <c r="AC63" i="6"/>
  <c r="AE63" i="6"/>
  <c r="AF63" i="6"/>
  <c r="AH63" i="6" a="1"/>
  <c r="AH63" i="6"/>
  <c r="AI63" i="6" a="1"/>
  <c r="AI63" i="6"/>
  <c r="AJ63" i="6"/>
  <c r="AL63" i="6" a="1"/>
  <c r="AL63" i="6"/>
  <c r="AM63" i="6" a="1"/>
  <c r="AM63" i="6"/>
  <c r="AS63" i="6" a="1"/>
  <c r="AS63" i="6"/>
  <c r="AT63" i="6" a="1"/>
  <c r="AT63" i="6"/>
  <c r="BG63" i="6"/>
  <c r="BH63" i="6"/>
  <c r="BQ63" i="6"/>
  <c r="BR63" i="6"/>
  <c r="BS63" i="6"/>
  <c r="BT63" i="6"/>
  <c r="BU63" i="6"/>
  <c r="BV63" i="6"/>
  <c r="BW63" i="6"/>
  <c r="BX63" i="6"/>
  <c r="BY63" i="6"/>
  <c r="BZ63" i="6"/>
  <c r="CA63" i="6"/>
  <c r="CB63" i="6"/>
  <c r="CC63" i="6"/>
  <c r="CD63" i="6"/>
  <c r="CL63" i="6"/>
  <c r="CM63" i="6"/>
  <c r="CN63" i="6"/>
  <c r="CO63" i="6"/>
  <c r="CP63" i="6"/>
  <c r="CQ63" i="6"/>
  <c r="CR63" i="6"/>
  <c r="CS63" i="6"/>
  <c r="CT63" i="6"/>
  <c r="CU63" i="6"/>
  <c r="CV63" i="6"/>
  <c r="CW63" i="6"/>
  <c r="CX63" i="6"/>
  <c r="CY63" i="6"/>
  <c r="CZ63" i="6"/>
  <c r="DA63" i="6"/>
  <c r="DB63" i="6"/>
  <c r="DJ63" i="6"/>
  <c r="DK63" i="6"/>
  <c r="DL63" i="6"/>
  <c r="DM63" i="6"/>
  <c r="DN63" i="6"/>
  <c r="DO63" i="6"/>
  <c r="DP63" i="6"/>
  <c r="DQ63" i="6"/>
  <c r="DR63" i="6"/>
  <c r="DS63" i="6"/>
  <c r="DT63" i="6"/>
  <c r="DU63" i="6"/>
  <c r="DV63" i="6"/>
  <c r="DW63" i="6"/>
  <c r="DX63" i="6"/>
  <c r="DY63" i="6"/>
  <c r="DZ63" i="6"/>
  <c r="EH63" i="6"/>
  <c r="EI63" i="6"/>
  <c r="EJ63" i="6"/>
  <c r="EK63" i="6"/>
  <c r="EL63" i="6"/>
  <c r="EM63" i="6"/>
  <c r="EN63" i="6"/>
  <c r="EO63" i="6"/>
  <c r="EP63" i="6"/>
  <c r="EQ63" i="6"/>
  <c r="ER63" i="6"/>
  <c r="ES63" i="6"/>
  <c r="ET63" i="6"/>
  <c r="EU63" i="6"/>
  <c r="EV63" i="6"/>
  <c r="EW63" i="6"/>
  <c r="EX63" i="6"/>
  <c r="FF63" i="6"/>
  <c r="FG63" i="6"/>
  <c r="FH63" i="6"/>
  <c r="FI63" i="6"/>
  <c r="FJ63" i="6"/>
  <c r="FK63" i="6"/>
  <c r="FL63" i="6"/>
  <c r="FM63" i="6"/>
  <c r="FN63" i="6"/>
  <c r="FO63" i="6"/>
  <c r="FP63" i="6"/>
  <c r="FQ63" i="6"/>
  <c r="FR63" i="6"/>
  <c r="FS63" i="6"/>
  <c r="FT63" i="6"/>
  <c r="FU63" i="6"/>
  <c r="FV63" i="6"/>
  <c r="GD63" i="6"/>
  <c r="GE63" i="6"/>
  <c r="GF63" i="6"/>
  <c r="GG63" i="6"/>
  <c r="GH63" i="6"/>
  <c r="GI63" i="6"/>
  <c r="GJ63" i="6"/>
  <c r="GK63" i="6"/>
  <c r="GL63" i="6"/>
  <c r="GM63" i="6"/>
  <c r="GN63" i="6"/>
  <c r="GO63" i="6"/>
  <c r="GP63" i="6"/>
  <c r="GQ63" i="6"/>
  <c r="GR63" i="6"/>
  <c r="GS63" i="6"/>
  <c r="GT63" i="6"/>
  <c r="HB63" i="6"/>
  <c r="HC63" i="6"/>
  <c r="HD63" i="6"/>
  <c r="HE63" i="6"/>
  <c r="HF63" i="6"/>
  <c r="HG63" i="6"/>
  <c r="HH63" i="6"/>
  <c r="HI63" i="6"/>
  <c r="HJ63" i="6"/>
  <c r="HK63" i="6"/>
  <c r="HL63" i="6"/>
  <c r="HM63" i="6"/>
  <c r="HN63" i="6"/>
  <c r="HO63" i="6"/>
  <c r="HP63" i="6"/>
  <c r="HQ63" i="6"/>
  <c r="HR63" i="6"/>
  <c r="HZ63" i="6"/>
  <c r="IA63" i="6"/>
  <c r="IB63" i="6"/>
  <c r="IC63" i="6"/>
  <c r="ID63" i="6"/>
  <c r="IE63" i="6"/>
  <c r="IF63" i="6"/>
  <c r="IG63" i="6"/>
  <c r="IH63" i="6"/>
  <c r="II63" i="6"/>
  <c r="O64" i="6"/>
  <c r="R64" i="6"/>
  <c r="S64" i="6"/>
  <c r="T64" i="6" a="1"/>
  <c r="T64" i="6"/>
  <c r="U64" i="6" a="1"/>
  <c r="U64" i="6"/>
  <c r="V64" i="6" a="1"/>
  <c r="V64" i="6"/>
  <c r="W64" i="6" a="1"/>
  <c r="W64" i="6"/>
  <c r="X64" i="6" a="1"/>
  <c r="X64" i="6"/>
  <c r="Y64" i="6" a="1"/>
  <c r="Y64" i="6"/>
  <c r="AB64" i="6"/>
  <c r="AC64" i="6" a="1"/>
  <c r="AC64" i="6"/>
  <c r="AE64" i="6"/>
  <c r="AF64" i="6"/>
  <c r="BA64" i="6"/>
  <c r="BB64" i="6"/>
  <c r="BC64" i="6"/>
  <c r="BD64" i="6"/>
  <c r="BG64" i="6"/>
  <c r="BH64" i="6"/>
  <c r="BQ64" i="6"/>
  <c r="BR64" i="6"/>
  <c r="BS64" i="6"/>
  <c r="BT64" i="6"/>
  <c r="BU64" i="6"/>
  <c r="BV64" i="6"/>
  <c r="BW64" i="6"/>
  <c r="BX64" i="6"/>
  <c r="BY64" i="6"/>
  <c r="BZ64" i="6"/>
  <c r="CA64" i="6"/>
  <c r="CB64" i="6"/>
  <c r="CC64" i="6"/>
  <c r="CD64" i="6"/>
  <c r="CL64" i="6"/>
  <c r="CM64" i="6"/>
  <c r="CN64" i="6"/>
  <c r="CO64" i="6"/>
  <c r="CP64" i="6"/>
  <c r="CQ64" i="6"/>
  <c r="CR64" i="6"/>
  <c r="CS64" i="6"/>
  <c r="CT64" i="6"/>
  <c r="CU64" i="6"/>
  <c r="CV64" i="6"/>
  <c r="CW64" i="6"/>
  <c r="CX64" i="6"/>
  <c r="CY64" i="6"/>
  <c r="CZ64" i="6"/>
  <c r="DA64" i="6"/>
  <c r="DB64" i="6"/>
  <c r="DJ64" i="6"/>
  <c r="DK64" i="6"/>
  <c r="DL64" i="6"/>
  <c r="DM64" i="6"/>
  <c r="DN64" i="6"/>
  <c r="DO64" i="6"/>
  <c r="DP64" i="6"/>
  <c r="DQ64" i="6"/>
  <c r="DR64" i="6"/>
  <c r="DS64" i="6"/>
  <c r="DT64" i="6"/>
  <c r="DU64" i="6"/>
  <c r="DV64" i="6"/>
  <c r="DW64" i="6"/>
  <c r="DX64" i="6"/>
  <c r="DY64" i="6"/>
  <c r="DZ64" i="6"/>
  <c r="EH64" i="6"/>
  <c r="EI64" i="6"/>
  <c r="EJ64" i="6"/>
  <c r="EK64" i="6"/>
  <c r="EL64" i="6"/>
  <c r="EM64" i="6"/>
  <c r="EN64" i="6"/>
  <c r="EO64" i="6"/>
  <c r="EP64" i="6"/>
  <c r="EQ64" i="6"/>
  <c r="ER64" i="6"/>
  <c r="ES64" i="6"/>
  <c r="ET64" i="6"/>
  <c r="EU64" i="6"/>
  <c r="EV64" i="6"/>
  <c r="EW64" i="6"/>
  <c r="EX64" i="6"/>
  <c r="FF64" i="6"/>
  <c r="FG64" i="6"/>
  <c r="FH64" i="6"/>
  <c r="FI64" i="6"/>
  <c r="FJ64" i="6"/>
  <c r="FK64" i="6"/>
  <c r="FL64" i="6"/>
  <c r="FM64" i="6"/>
  <c r="FN64" i="6"/>
  <c r="FO64" i="6"/>
  <c r="FP64" i="6"/>
  <c r="FQ64" i="6"/>
  <c r="FR64" i="6"/>
  <c r="FS64" i="6"/>
  <c r="FT64" i="6"/>
  <c r="FU64" i="6"/>
  <c r="FV64" i="6"/>
  <c r="GD64" i="6"/>
  <c r="GE64" i="6"/>
  <c r="GF64" i="6"/>
  <c r="GG64" i="6"/>
  <c r="GH64" i="6"/>
  <c r="GI64" i="6"/>
  <c r="GJ64" i="6"/>
  <c r="GK64" i="6"/>
  <c r="GL64" i="6"/>
  <c r="GM64" i="6"/>
  <c r="GN64" i="6"/>
  <c r="GO64" i="6"/>
  <c r="GP64" i="6"/>
  <c r="GQ64" i="6"/>
  <c r="GR64" i="6"/>
  <c r="GS64" i="6"/>
  <c r="GT64" i="6"/>
  <c r="HB64" i="6"/>
  <c r="HC64" i="6"/>
  <c r="HD64" i="6"/>
  <c r="HE64" i="6"/>
  <c r="HF64" i="6"/>
  <c r="HG64" i="6"/>
  <c r="HH64" i="6"/>
  <c r="HI64" i="6"/>
  <c r="HJ64" i="6"/>
  <c r="HK64" i="6"/>
  <c r="HL64" i="6"/>
  <c r="HM64" i="6"/>
  <c r="HN64" i="6"/>
  <c r="HO64" i="6"/>
  <c r="HP64" i="6"/>
  <c r="HQ64" i="6"/>
  <c r="HR64" i="6"/>
  <c r="HZ64" i="6"/>
  <c r="IA64" i="6"/>
  <c r="IB64" i="6"/>
  <c r="IC64" i="6"/>
  <c r="ID64" i="6"/>
  <c r="IE64" i="6"/>
  <c r="IF64" i="6"/>
  <c r="IG64" i="6"/>
  <c r="IH64" i="6"/>
  <c r="II64" i="6"/>
  <c r="O65" i="6"/>
  <c r="R65" i="6"/>
  <c r="S65" i="6"/>
  <c r="T65" i="6" a="1"/>
  <c r="T65" i="6"/>
  <c r="U65" i="6" a="1"/>
  <c r="U65" i="6"/>
  <c r="V65" i="6" a="1"/>
  <c r="V65" i="6"/>
  <c r="W65" i="6" a="1"/>
  <c r="W65" i="6"/>
  <c r="X65" i="6" a="1"/>
  <c r="X65" i="6"/>
  <c r="Y65" i="6" a="1"/>
  <c r="Y65" i="6"/>
  <c r="AB65" i="6"/>
  <c r="AC65" i="6" a="1"/>
  <c r="AC65" i="6"/>
  <c r="AE65" i="6"/>
  <c r="AF65" i="6"/>
  <c r="AH65" i="6" a="1"/>
  <c r="AH65" i="6"/>
  <c r="AI65" i="6" a="1"/>
  <c r="AI65" i="6"/>
  <c r="AJ65" i="6"/>
  <c r="AK65" i="6" a="1"/>
  <c r="AK65" i="6"/>
  <c r="AL65" i="6" a="1"/>
  <c r="AL65" i="6"/>
  <c r="AM65" i="6" a="1"/>
  <c r="AM65" i="6"/>
  <c r="AN65" i="6"/>
  <c r="AO65" i="6"/>
  <c r="AP65" i="6"/>
  <c r="AR65" i="6" a="1"/>
  <c r="AR65" i="6"/>
  <c r="AS65" i="6" a="1"/>
  <c r="AS65" i="6"/>
  <c r="AT65" i="6" a="1"/>
  <c r="AT65" i="6"/>
  <c r="AU65" i="6"/>
  <c r="AV65" i="6"/>
  <c r="AW65" i="6"/>
  <c r="BG65" i="6"/>
  <c r="BH65" i="6"/>
  <c r="BQ65" i="6"/>
  <c r="BR65" i="6"/>
  <c r="BS65" i="6"/>
  <c r="BT65" i="6"/>
  <c r="BU65" i="6"/>
  <c r="BV65" i="6"/>
  <c r="BW65" i="6"/>
  <c r="BX65" i="6"/>
  <c r="BY65" i="6"/>
  <c r="BZ65" i="6"/>
  <c r="CA65" i="6"/>
  <c r="CB65" i="6"/>
  <c r="CC65" i="6"/>
  <c r="CD65" i="6"/>
  <c r="CL65" i="6"/>
  <c r="CM65" i="6"/>
  <c r="CN65" i="6"/>
  <c r="CO65" i="6"/>
  <c r="CP65" i="6"/>
  <c r="CQ65" i="6"/>
  <c r="CR65" i="6"/>
  <c r="CS65" i="6"/>
  <c r="CT65" i="6"/>
  <c r="CU65" i="6"/>
  <c r="CV65" i="6"/>
  <c r="CW65" i="6"/>
  <c r="CX65" i="6"/>
  <c r="CY65" i="6"/>
  <c r="CZ65" i="6"/>
  <c r="DA65" i="6"/>
  <c r="DB65" i="6"/>
  <c r="DJ65" i="6"/>
  <c r="DK65" i="6"/>
  <c r="DL65" i="6"/>
  <c r="DM65" i="6"/>
  <c r="DN65" i="6"/>
  <c r="DO65" i="6"/>
  <c r="DP65" i="6"/>
  <c r="DQ65" i="6"/>
  <c r="DR65" i="6"/>
  <c r="DS65" i="6"/>
  <c r="DT65" i="6"/>
  <c r="DU65" i="6"/>
  <c r="DV65" i="6"/>
  <c r="DW65" i="6"/>
  <c r="DX65" i="6"/>
  <c r="DY65" i="6"/>
  <c r="DZ65" i="6"/>
  <c r="EH65" i="6"/>
  <c r="EI65" i="6"/>
  <c r="EJ65" i="6"/>
  <c r="EK65" i="6"/>
  <c r="EL65" i="6"/>
  <c r="EM65" i="6"/>
  <c r="EN65" i="6"/>
  <c r="EO65" i="6"/>
  <c r="EP65" i="6"/>
  <c r="EQ65" i="6"/>
  <c r="ER65" i="6"/>
  <c r="ES65" i="6"/>
  <c r="ET65" i="6"/>
  <c r="EU65" i="6"/>
  <c r="EV65" i="6"/>
  <c r="EW65" i="6"/>
  <c r="EX65" i="6"/>
  <c r="FF65" i="6"/>
  <c r="FG65" i="6"/>
  <c r="FH65" i="6"/>
  <c r="FI65" i="6"/>
  <c r="FJ65" i="6"/>
  <c r="FK65" i="6"/>
  <c r="FL65" i="6"/>
  <c r="FM65" i="6"/>
  <c r="FN65" i="6"/>
  <c r="FO65" i="6"/>
  <c r="FP65" i="6"/>
  <c r="FQ65" i="6"/>
  <c r="FR65" i="6"/>
  <c r="FS65" i="6"/>
  <c r="FT65" i="6"/>
  <c r="FU65" i="6"/>
  <c r="FV65" i="6"/>
  <c r="GD65" i="6"/>
  <c r="GE65" i="6"/>
  <c r="GF65" i="6"/>
  <c r="GG65" i="6"/>
  <c r="GH65" i="6"/>
  <c r="GI65" i="6"/>
  <c r="GJ65" i="6"/>
  <c r="GK65" i="6"/>
  <c r="GL65" i="6"/>
  <c r="GM65" i="6"/>
  <c r="GN65" i="6"/>
  <c r="GO65" i="6"/>
  <c r="GP65" i="6"/>
  <c r="GQ65" i="6"/>
  <c r="GR65" i="6"/>
  <c r="GS65" i="6"/>
  <c r="GT65" i="6"/>
  <c r="HB65" i="6"/>
  <c r="HC65" i="6"/>
  <c r="HD65" i="6"/>
  <c r="HE65" i="6"/>
  <c r="HF65" i="6"/>
  <c r="HG65" i="6"/>
  <c r="HH65" i="6"/>
  <c r="HI65" i="6"/>
  <c r="HJ65" i="6"/>
  <c r="HK65" i="6"/>
  <c r="HL65" i="6"/>
  <c r="HM65" i="6"/>
  <c r="HN65" i="6"/>
  <c r="HO65" i="6"/>
  <c r="HP65" i="6"/>
  <c r="HQ65" i="6"/>
  <c r="HR65" i="6"/>
  <c r="HZ65" i="6"/>
  <c r="IA65" i="6"/>
  <c r="IB65" i="6"/>
  <c r="IC65" i="6"/>
  <c r="ID65" i="6"/>
  <c r="IE65" i="6"/>
  <c r="IF65" i="6"/>
  <c r="IG65" i="6"/>
  <c r="IH65" i="6"/>
  <c r="II65" i="6"/>
  <c r="O66" i="6"/>
  <c r="R66" i="6"/>
  <c r="S66" i="6"/>
  <c r="T66" i="6" a="1"/>
  <c r="T66" i="6"/>
  <c r="U66" i="6" a="1"/>
  <c r="U66" i="6"/>
  <c r="V66" i="6" a="1"/>
  <c r="V66" i="6"/>
  <c r="W66" i="6" a="1"/>
  <c r="W66" i="6"/>
  <c r="X66" i="6" a="1"/>
  <c r="X66" i="6"/>
  <c r="Y66" i="6" a="1"/>
  <c r="Y66" i="6"/>
  <c r="AB66" i="6"/>
  <c r="AC66" i="6" a="1"/>
  <c r="AC66" i="6"/>
  <c r="AE66" i="6"/>
  <c r="AF66" i="6"/>
  <c r="AH66" i="6" a="1"/>
  <c r="AH66" i="6"/>
  <c r="AI66" i="6" a="1"/>
  <c r="AI66" i="6"/>
  <c r="AJ66" i="6"/>
  <c r="AK66" i="6" a="1"/>
  <c r="AK66" i="6"/>
  <c r="AL66" i="6" a="1"/>
  <c r="AL66" i="6"/>
  <c r="AM66" i="6" a="1"/>
  <c r="AM66" i="6"/>
  <c r="AN66" i="6"/>
  <c r="AO66" i="6"/>
  <c r="AP66" i="6"/>
  <c r="AR66" i="6" a="1"/>
  <c r="AR66" i="6"/>
  <c r="AS66" i="6" a="1"/>
  <c r="AS66" i="6"/>
  <c r="AT66" i="6" a="1"/>
  <c r="AT66" i="6"/>
  <c r="AU66" i="6"/>
  <c r="AV66" i="6"/>
  <c r="AW66" i="6"/>
  <c r="BG66" i="6"/>
  <c r="BH66" i="6"/>
  <c r="BQ66" i="6"/>
  <c r="BR66" i="6"/>
  <c r="BS66" i="6"/>
  <c r="BT66" i="6"/>
  <c r="BU66" i="6"/>
  <c r="BV66" i="6"/>
  <c r="BW66" i="6"/>
  <c r="BX66" i="6"/>
  <c r="BY66" i="6"/>
  <c r="BZ66" i="6"/>
  <c r="CA66" i="6"/>
  <c r="CB66" i="6"/>
  <c r="CC66" i="6"/>
  <c r="CD66" i="6"/>
  <c r="CL66" i="6"/>
  <c r="CM66" i="6"/>
  <c r="CN66" i="6"/>
  <c r="CO66" i="6"/>
  <c r="CP66" i="6"/>
  <c r="CQ66" i="6"/>
  <c r="CR66" i="6"/>
  <c r="CS66" i="6"/>
  <c r="CT66" i="6"/>
  <c r="CU66" i="6"/>
  <c r="CV66" i="6"/>
  <c r="CW66" i="6"/>
  <c r="CX66" i="6"/>
  <c r="CY66" i="6"/>
  <c r="CZ66" i="6"/>
  <c r="DA66" i="6"/>
  <c r="DB66" i="6"/>
  <c r="DJ66" i="6"/>
  <c r="DK66" i="6"/>
  <c r="DL66" i="6"/>
  <c r="DM66" i="6"/>
  <c r="DN66" i="6"/>
  <c r="DO66" i="6"/>
  <c r="DP66" i="6"/>
  <c r="DQ66" i="6"/>
  <c r="DR66" i="6"/>
  <c r="DS66" i="6"/>
  <c r="DT66" i="6"/>
  <c r="DU66" i="6"/>
  <c r="DV66" i="6"/>
  <c r="DW66" i="6"/>
  <c r="DX66" i="6"/>
  <c r="DY66" i="6"/>
  <c r="DZ66" i="6"/>
  <c r="EH66" i="6"/>
  <c r="EI66" i="6"/>
  <c r="EJ66" i="6"/>
  <c r="EK66" i="6"/>
  <c r="EL66" i="6"/>
  <c r="EM66" i="6"/>
  <c r="EN66" i="6"/>
  <c r="EO66" i="6"/>
  <c r="EP66" i="6"/>
  <c r="EQ66" i="6"/>
  <c r="ER66" i="6"/>
  <c r="ES66" i="6"/>
  <c r="ET66" i="6"/>
  <c r="EU66" i="6"/>
  <c r="EV66" i="6"/>
  <c r="EW66" i="6"/>
  <c r="EX66" i="6"/>
  <c r="FF66" i="6"/>
  <c r="FG66" i="6"/>
  <c r="FH66" i="6"/>
  <c r="FI66" i="6"/>
  <c r="FJ66" i="6"/>
  <c r="FK66" i="6"/>
  <c r="FL66" i="6"/>
  <c r="FM66" i="6"/>
  <c r="FN66" i="6"/>
  <c r="FO66" i="6"/>
  <c r="FP66" i="6"/>
  <c r="FQ66" i="6"/>
  <c r="FR66" i="6"/>
  <c r="FS66" i="6"/>
  <c r="FT66" i="6"/>
  <c r="FU66" i="6"/>
  <c r="FV66" i="6"/>
  <c r="GD66" i="6"/>
  <c r="GE66" i="6"/>
  <c r="GF66" i="6"/>
  <c r="GG66" i="6"/>
  <c r="GH66" i="6"/>
  <c r="GI66" i="6"/>
  <c r="GJ66" i="6"/>
  <c r="GK66" i="6"/>
  <c r="GL66" i="6"/>
  <c r="GM66" i="6"/>
  <c r="GN66" i="6"/>
  <c r="GO66" i="6"/>
  <c r="GP66" i="6"/>
  <c r="GQ66" i="6"/>
  <c r="GR66" i="6"/>
  <c r="GS66" i="6"/>
  <c r="GT66" i="6"/>
  <c r="HB66" i="6"/>
  <c r="HC66" i="6"/>
  <c r="HD66" i="6"/>
  <c r="HE66" i="6"/>
  <c r="HF66" i="6"/>
  <c r="HG66" i="6"/>
  <c r="HH66" i="6"/>
  <c r="HI66" i="6"/>
  <c r="HJ66" i="6"/>
  <c r="HK66" i="6"/>
  <c r="HL66" i="6"/>
  <c r="HM66" i="6"/>
  <c r="HN66" i="6"/>
  <c r="HO66" i="6"/>
  <c r="HP66" i="6"/>
  <c r="HQ66" i="6"/>
  <c r="HR66" i="6"/>
  <c r="HZ66" i="6"/>
  <c r="IA66" i="6"/>
  <c r="IB66" i="6"/>
  <c r="IC66" i="6"/>
  <c r="ID66" i="6"/>
  <c r="IE66" i="6"/>
  <c r="IF66" i="6"/>
  <c r="IG66" i="6"/>
  <c r="IH66" i="6"/>
  <c r="II66" i="6"/>
  <c r="O67" i="6"/>
  <c r="R67" i="6"/>
  <c r="S67" i="6"/>
  <c r="T67" i="6" a="1"/>
  <c r="T67" i="6"/>
  <c r="U67" i="6" a="1"/>
  <c r="U67" i="6"/>
  <c r="V67" i="6" a="1"/>
  <c r="V67" i="6"/>
  <c r="W67" i="6" a="1"/>
  <c r="W67" i="6"/>
  <c r="X67" i="6" a="1"/>
  <c r="X67" i="6"/>
  <c r="Y67" i="6" a="1"/>
  <c r="Y67" i="6"/>
  <c r="AB67" i="6"/>
  <c r="AC67" i="6" a="1"/>
  <c r="AC67" i="6"/>
  <c r="AE67" i="6"/>
  <c r="AF67" i="6"/>
  <c r="AH67" i="6" a="1"/>
  <c r="AH67" i="6"/>
  <c r="AI67" i="6" a="1"/>
  <c r="AI67" i="6"/>
  <c r="AJ67" i="6"/>
  <c r="AK67" i="6" a="1"/>
  <c r="AK67" i="6"/>
  <c r="AL67" i="6" a="1"/>
  <c r="AL67" i="6"/>
  <c r="AM67" i="6" a="1"/>
  <c r="AM67" i="6"/>
  <c r="AN67" i="6"/>
  <c r="AO67" i="6"/>
  <c r="AP67" i="6"/>
  <c r="AR67" i="6" a="1"/>
  <c r="AR67" i="6"/>
  <c r="AS67" i="6" a="1"/>
  <c r="AS67" i="6"/>
  <c r="AT67" i="6" a="1"/>
  <c r="AT67" i="6"/>
  <c r="AU67" i="6"/>
  <c r="AV67" i="6"/>
  <c r="AW67" i="6"/>
  <c r="BG67" i="6"/>
  <c r="BH67" i="6"/>
  <c r="BQ67" i="6"/>
  <c r="BR67" i="6"/>
  <c r="BS67" i="6"/>
  <c r="BT67" i="6"/>
  <c r="BU67" i="6"/>
  <c r="BV67" i="6"/>
  <c r="BW67" i="6"/>
  <c r="BX67" i="6"/>
  <c r="BY67" i="6"/>
  <c r="BZ67" i="6"/>
  <c r="CA67" i="6"/>
  <c r="CB67" i="6"/>
  <c r="CC67" i="6"/>
  <c r="CD67" i="6"/>
  <c r="CL67" i="6"/>
  <c r="CM67" i="6"/>
  <c r="CN67" i="6"/>
  <c r="CO67" i="6"/>
  <c r="CP67" i="6"/>
  <c r="CQ67" i="6"/>
  <c r="CR67" i="6"/>
  <c r="CS67" i="6"/>
  <c r="CT67" i="6"/>
  <c r="CU67" i="6"/>
  <c r="CV67" i="6"/>
  <c r="CW67" i="6"/>
  <c r="CX67" i="6"/>
  <c r="CY67" i="6"/>
  <c r="CZ67" i="6"/>
  <c r="DA67" i="6"/>
  <c r="DB67" i="6"/>
  <c r="DJ67" i="6"/>
  <c r="DK67" i="6"/>
  <c r="DL67" i="6"/>
  <c r="DM67" i="6"/>
  <c r="DN67" i="6"/>
  <c r="DO67" i="6"/>
  <c r="DP67" i="6"/>
  <c r="DQ67" i="6"/>
  <c r="DR67" i="6"/>
  <c r="DS67" i="6"/>
  <c r="DT67" i="6"/>
  <c r="DU67" i="6"/>
  <c r="DV67" i="6"/>
  <c r="DW67" i="6"/>
  <c r="DX67" i="6"/>
  <c r="DY67" i="6"/>
  <c r="DZ67" i="6"/>
  <c r="EH67" i="6"/>
  <c r="EI67" i="6"/>
  <c r="EJ67" i="6"/>
  <c r="EK67" i="6"/>
  <c r="EL67" i="6"/>
  <c r="EM67" i="6"/>
  <c r="EN67" i="6"/>
  <c r="EO67" i="6"/>
  <c r="EP67" i="6"/>
  <c r="EQ67" i="6"/>
  <c r="ER67" i="6"/>
  <c r="ES67" i="6"/>
  <c r="ET67" i="6"/>
  <c r="EU67" i="6"/>
  <c r="EV67" i="6"/>
  <c r="EW67" i="6"/>
  <c r="EX67" i="6"/>
  <c r="FF67" i="6"/>
  <c r="FG67" i="6"/>
  <c r="FH67" i="6"/>
  <c r="FI67" i="6"/>
  <c r="FJ67" i="6"/>
  <c r="FK67" i="6"/>
  <c r="FL67" i="6"/>
  <c r="FM67" i="6"/>
  <c r="FN67" i="6"/>
  <c r="FO67" i="6"/>
  <c r="FP67" i="6"/>
  <c r="FQ67" i="6"/>
  <c r="FR67" i="6"/>
  <c r="FS67" i="6"/>
  <c r="FT67" i="6"/>
  <c r="FU67" i="6"/>
  <c r="FV67" i="6"/>
  <c r="GD67" i="6"/>
  <c r="GE67" i="6"/>
  <c r="GF67" i="6"/>
  <c r="GG67" i="6"/>
  <c r="GH67" i="6"/>
  <c r="GI67" i="6"/>
  <c r="GJ67" i="6"/>
  <c r="GK67" i="6"/>
  <c r="GL67" i="6"/>
  <c r="GM67" i="6"/>
  <c r="GN67" i="6"/>
  <c r="GO67" i="6"/>
  <c r="GP67" i="6"/>
  <c r="GQ67" i="6"/>
  <c r="GR67" i="6"/>
  <c r="GS67" i="6"/>
  <c r="GT67" i="6"/>
  <c r="HB67" i="6"/>
  <c r="HC67" i="6"/>
  <c r="HD67" i="6"/>
  <c r="HE67" i="6"/>
  <c r="HF67" i="6"/>
  <c r="HG67" i="6"/>
  <c r="HH67" i="6"/>
  <c r="HI67" i="6"/>
  <c r="HJ67" i="6"/>
  <c r="HK67" i="6"/>
  <c r="HL67" i="6"/>
  <c r="HM67" i="6"/>
  <c r="HN67" i="6"/>
  <c r="HO67" i="6"/>
  <c r="HP67" i="6"/>
  <c r="HQ67" i="6"/>
  <c r="HR67" i="6"/>
  <c r="HZ67" i="6"/>
  <c r="IA67" i="6"/>
  <c r="IB67" i="6"/>
  <c r="IC67" i="6"/>
  <c r="ID67" i="6"/>
  <c r="IE67" i="6"/>
  <c r="IF67" i="6"/>
  <c r="IG67" i="6"/>
  <c r="IH67" i="6"/>
  <c r="II67" i="6"/>
  <c r="O68" i="6"/>
  <c r="R68" i="6"/>
  <c r="S68" i="6"/>
  <c r="T68" i="6" a="1"/>
  <c r="T68" i="6"/>
  <c r="U68" i="6" a="1"/>
  <c r="U68" i="6"/>
  <c r="V68" i="6" a="1"/>
  <c r="V68" i="6"/>
  <c r="W68" i="6" a="1"/>
  <c r="W68" i="6"/>
  <c r="X68" i="6" a="1"/>
  <c r="X68" i="6"/>
  <c r="Y68" i="6" a="1"/>
  <c r="Y68" i="6"/>
  <c r="AB68" i="6"/>
  <c r="AC68" i="6" a="1"/>
  <c r="AC68" i="6"/>
  <c r="AE68" i="6"/>
  <c r="AF68" i="6"/>
  <c r="AH68" i="6" a="1"/>
  <c r="AH68" i="6"/>
  <c r="AI68" i="6" a="1"/>
  <c r="AI68" i="6"/>
  <c r="AJ68" i="6"/>
  <c r="AL68" i="6" a="1"/>
  <c r="AL68" i="6"/>
  <c r="AM68" i="6" a="1"/>
  <c r="AM68" i="6"/>
  <c r="AO68" i="6"/>
  <c r="AP68" i="6"/>
  <c r="AS68" i="6" a="1"/>
  <c r="AS68" i="6"/>
  <c r="AT68" i="6" a="1"/>
  <c r="AT68" i="6"/>
  <c r="AV68" i="6"/>
  <c r="AW68" i="6"/>
  <c r="BA68" i="6"/>
  <c r="BB68" i="6"/>
  <c r="BC68" i="6"/>
  <c r="BD68" i="6"/>
  <c r="BG68" i="6"/>
  <c r="BH68" i="6"/>
  <c r="BQ68" i="6"/>
  <c r="BR68" i="6"/>
  <c r="BS68" i="6"/>
  <c r="BT68" i="6"/>
  <c r="BU68" i="6"/>
  <c r="BV68" i="6"/>
  <c r="BW68" i="6"/>
  <c r="BX68" i="6"/>
  <c r="BY68" i="6"/>
  <c r="BZ68" i="6"/>
  <c r="CA68" i="6"/>
  <c r="CB68" i="6"/>
  <c r="CC68" i="6"/>
  <c r="CD68" i="6"/>
  <c r="CL68" i="6"/>
  <c r="CM68" i="6"/>
  <c r="CN68" i="6"/>
  <c r="CO68" i="6"/>
  <c r="CP68" i="6"/>
  <c r="CQ68" i="6"/>
  <c r="CR68" i="6"/>
  <c r="CS68" i="6"/>
  <c r="CT68" i="6"/>
  <c r="CU68" i="6"/>
  <c r="CV68" i="6"/>
  <c r="CW68" i="6"/>
  <c r="CX68" i="6"/>
  <c r="CY68" i="6"/>
  <c r="CZ68" i="6"/>
  <c r="DA68" i="6"/>
  <c r="DB68" i="6"/>
  <c r="DJ68" i="6"/>
  <c r="DK68" i="6"/>
  <c r="DL68" i="6"/>
  <c r="DM68" i="6"/>
  <c r="DN68" i="6"/>
  <c r="DO68" i="6"/>
  <c r="DP68" i="6"/>
  <c r="DQ68" i="6"/>
  <c r="DR68" i="6"/>
  <c r="DS68" i="6"/>
  <c r="DT68" i="6"/>
  <c r="DU68" i="6"/>
  <c r="DV68" i="6"/>
  <c r="DW68" i="6"/>
  <c r="DX68" i="6"/>
  <c r="DY68" i="6"/>
  <c r="DZ68" i="6"/>
  <c r="EH68" i="6"/>
  <c r="EI68" i="6"/>
  <c r="EJ68" i="6"/>
  <c r="EK68" i="6"/>
  <c r="EL68" i="6"/>
  <c r="EM68" i="6"/>
  <c r="EN68" i="6"/>
  <c r="EO68" i="6"/>
  <c r="EP68" i="6"/>
  <c r="EQ68" i="6"/>
  <c r="ER68" i="6"/>
  <c r="ES68" i="6"/>
  <c r="ET68" i="6"/>
  <c r="EU68" i="6"/>
  <c r="EV68" i="6"/>
  <c r="EW68" i="6"/>
  <c r="EX68" i="6"/>
  <c r="FF68" i="6"/>
  <c r="FG68" i="6"/>
  <c r="FH68" i="6"/>
  <c r="FI68" i="6"/>
  <c r="FJ68" i="6"/>
  <c r="FK68" i="6"/>
  <c r="FL68" i="6"/>
  <c r="FM68" i="6"/>
  <c r="FN68" i="6"/>
  <c r="FO68" i="6"/>
  <c r="FP68" i="6"/>
  <c r="FQ68" i="6"/>
  <c r="FR68" i="6"/>
  <c r="FS68" i="6"/>
  <c r="FT68" i="6"/>
  <c r="FU68" i="6"/>
  <c r="FV68" i="6"/>
  <c r="GD68" i="6"/>
  <c r="GE68" i="6"/>
  <c r="GF68" i="6"/>
  <c r="GG68" i="6"/>
  <c r="GH68" i="6"/>
  <c r="GI68" i="6"/>
  <c r="GJ68" i="6"/>
  <c r="GK68" i="6"/>
  <c r="GL68" i="6"/>
  <c r="GM68" i="6"/>
  <c r="GN68" i="6"/>
  <c r="GO68" i="6"/>
  <c r="GP68" i="6"/>
  <c r="GQ68" i="6"/>
  <c r="GR68" i="6"/>
  <c r="GS68" i="6"/>
  <c r="GT68" i="6"/>
  <c r="HB68" i="6"/>
  <c r="HC68" i="6"/>
  <c r="HD68" i="6"/>
  <c r="HE68" i="6"/>
  <c r="HF68" i="6"/>
  <c r="HG68" i="6"/>
  <c r="HH68" i="6"/>
  <c r="HI68" i="6"/>
  <c r="HJ68" i="6"/>
  <c r="HK68" i="6"/>
  <c r="HL68" i="6"/>
  <c r="HM68" i="6"/>
  <c r="HN68" i="6"/>
  <c r="HO68" i="6"/>
  <c r="HP68" i="6"/>
  <c r="HQ68" i="6"/>
  <c r="HR68" i="6"/>
  <c r="HZ68" i="6"/>
  <c r="IA68" i="6"/>
  <c r="IB68" i="6"/>
  <c r="IC68" i="6"/>
  <c r="ID68" i="6"/>
  <c r="IE68" i="6"/>
  <c r="IF68" i="6"/>
  <c r="IG68" i="6"/>
  <c r="IH68" i="6"/>
  <c r="II68" i="6"/>
  <c r="O69" i="6"/>
  <c r="R69" i="6"/>
  <c r="S69" i="6"/>
  <c r="T69" i="6" a="1"/>
  <c r="T69" i="6"/>
  <c r="U69" i="6" a="1"/>
  <c r="U69" i="6"/>
  <c r="V69" i="6" a="1"/>
  <c r="V69" i="6"/>
  <c r="W69" i="6" a="1"/>
  <c r="W69" i="6"/>
  <c r="X69" i="6" a="1"/>
  <c r="X69" i="6"/>
  <c r="Y69" i="6" a="1"/>
  <c r="Y69" i="6"/>
  <c r="AB69" i="6"/>
  <c r="AC69" i="6" a="1"/>
  <c r="AC69" i="6"/>
  <c r="AE69" i="6"/>
  <c r="AF69" i="6"/>
  <c r="AH69" i="6" a="1"/>
  <c r="AH69" i="6"/>
  <c r="AI69" i="6" a="1"/>
  <c r="AI69" i="6"/>
  <c r="AJ69" i="6"/>
  <c r="AL69" i="6" a="1"/>
  <c r="AL69" i="6"/>
  <c r="AM69" i="6" a="1"/>
  <c r="AM69" i="6"/>
  <c r="AO69" i="6"/>
  <c r="AP69" i="6"/>
  <c r="AS69" i="6" a="1"/>
  <c r="AS69" i="6"/>
  <c r="AT69" i="6" a="1"/>
  <c r="AT69" i="6"/>
  <c r="AV69" i="6"/>
  <c r="AW69" i="6"/>
  <c r="BA69" i="6"/>
  <c r="BB69" i="6"/>
  <c r="BC69" i="6"/>
  <c r="BD69" i="6"/>
  <c r="BG69" i="6"/>
  <c r="BH69" i="6"/>
  <c r="BQ69" i="6"/>
  <c r="BR69" i="6"/>
  <c r="BS69" i="6"/>
  <c r="BT69" i="6"/>
  <c r="BU69" i="6"/>
  <c r="BV69" i="6"/>
  <c r="BW69" i="6"/>
  <c r="BX69" i="6"/>
  <c r="BY69" i="6"/>
  <c r="BZ69" i="6"/>
  <c r="CA69" i="6"/>
  <c r="CB69" i="6"/>
  <c r="CC69" i="6"/>
  <c r="CD69" i="6"/>
  <c r="CL69" i="6"/>
  <c r="CM69" i="6"/>
  <c r="CN69" i="6"/>
  <c r="CO69" i="6"/>
  <c r="CP69" i="6"/>
  <c r="CQ69" i="6"/>
  <c r="CR69" i="6"/>
  <c r="CS69" i="6"/>
  <c r="CT69" i="6"/>
  <c r="CU69" i="6"/>
  <c r="CV69" i="6"/>
  <c r="CW69" i="6"/>
  <c r="CX69" i="6"/>
  <c r="CY69" i="6"/>
  <c r="CZ69" i="6"/>
  <c r="DA69" i="6"/>
  <c r="DB69" i="6"/>
  <c r="DJ69" i="6"/>
  <c r="DK69" i="6"/>
  <c r="DL69" i="6"/>
  <c r="DM69" i="6"/>
  <c r="DN69" i="6"/>
  <c r="DO69" i="6"/>
  <c r="DP69" i="6"/>
  <c r="DQ69" i="6"/>
  <c r="DR69" i="6"/>
  <c r="DS69" i="6"/>
  <c r="DT69" i="6"/>
  <c r="DU69" i="6"/>
  <c r="DV69" i="6"/>
  <c r="DW69" i="6"/>
  <c r="DX69" i="6"/>
  <c r="DY69" i="6"/>
  <c r="DZ69" i="6"/>
  <c r="EH69" i="6"/>
  <c r="EI69" i="6"/>
  <c r="EJ69" i="6"/>
  <c r="EK69" i="6"/>
  <c r="EL69" i="6"/>
  <c r="EM69" i="6"/>
  <c r="EN69" i="6"/>
  <c r="EO69" i="6"/>
  <c r="EP69" i="6"/>
  <c r="EQ69" i="6"/>
  <c r="ER69" i="6"/>
  <c r="ES69" i="6"/>
  <c r="ET69" i="6"/>
  <c r="EU69" i="6"/>
  <c r="EV69" i="6"/>
  <c r="EW69" i="6"/>
  <c r="EX69" i="6"/>
  <c r="FF69" i="6"/>
  <c r="FG69" i="6"/>
  <c r="FH69" i="6"/>
  <c r="FI69" i="6"/>
  <c r="FJ69" i="6"/>
  <c r="FK69" i="6"/>
  <c r="FL69" i="6"/>
  <c r="FM69" i="6"/>
  <c r="FN69" i="6"/>
  <c r="FO69" i="6"/>
  <c r="FP69" i="6"/>
  <c r="FQ69" i="6"/>
  <c r="FR69" i="6"/>
  <c r="FS69" i="6"/>
  <c r="FT69" i="6"/>
  <c r="FU69" i="6"/>
  <c r="FV69" i="6"/>
  <c r="GD69" i="6"/>
  <c r="GE69" i="6"/>
  <c r="GF69" i="6"/>
  <c r="GG69" i="6"/>
  <c r="GH69" i="6"/>
  <c r="GI69" i="6"/>
  <c r="GJ69" i="6"/>
  <c r="GK69" i="6"/>
  <c r="GL69" i="6"/>
  <c r="GM69" i="6"/>
  <c r="GN69" i="6"/>
  <c r="GO69" i="6"/>
  <c r="GP69" i="6"/>
  <c r="GQ69" i="6"/>
  <c r="GR69" i="6"/>
  <c r="GS69" i="6"/>
  <c r="GT69" i="6"/>
  <c r="HB69" i="6"/>
  <c r="HC69" i="6"/>
  <c r="HD69" i="6"/>
  <c r="HE69" i="6"/>
  <c r="HF69" i="6"/>
  <c r="HG69" i="6"/>
  <c r="HH69" i="6"/>
  <c r="HI69" i="6"/>
  <c r="HJ69" i="6"/>
  <c r="HK69" i="6"/>
  <c r="HL69" i="6"/>
  <c r="HM69" i="6"/>
  <c r="HN69" i="6"/>
  <c r="HO69" i="6"/>
  <c r="HP69" i="6"/>
  <c r="HQ69" i="6"/>
  <c r="HR69" i="6"/>
  <c r="HZ69" i="6"/>
  <c r="IA69" i="6"/>
  <c r="IB69" i="6"/>
  <c r="IC69" i="6"/>
  <c r="ID69" i="6"/>
  <c r="IE69" i="6"/>
  <c r="IF69" i="6"/>
  <c r="IG69" i="6"/>
  <c r="IH69" i="6"/>
  <c r="II69" i="6"/>
  <c r="O70" i="6"/>
  <c r="R70" i="6"/>
  <c r="S70" i="6"/>
  <c r="T70" i="6" a="1"/>
  <c r="T70" i="6"/>
  <c r="U70" i="6" a="1"/>
  <c r="U70" i="6"/>
  <c r="V70" i="6" a="1"/>
  <c r="V70" i="6"/>
  <c r="W70" i="6" a="1"/>
  <c r="W70" i="6"/>
  <c r="X70" i="6" a="1"/>
  <c r="X70" i="6"/>
  <c r="Y70" i="6" a="1"/>
  <c r="Y70" i="6"/>
  <c r="AB70" i="6"/>
  <c r="AC70" i="6" a="1"/>
  <c r="AC70" i="6"/>
  <c r="AE70" i="6"/>
  <c r="AF70" i="6"/>
  <c r="AH70" i="6" a="1"/>
  <c r="AH70" i="6"/>
  <c r="AI70" i="6" a="1"/>
  <c r="AI70" i="6"/>
  <c r="AJ70" i="6"/>
  <c r="AL70" i="6" a="1"/>
  <c r="AL70" i="6"/>
  <c r="AM70" i="6" a="1"/>
  <c r="AM70" i="6"/>
  <c r="AO70" i="6"/>
  <c r="AP70" i="6"/>
  <c r="AS70" i="6" a="1"/>
  <c r="AS70" i="6"/>
  <c r="AT70" i="6" a="1"/>
  <c r="AT70" i="6"/>
  <c r="AV70" i="6"/>
  <c r="AW70" i="6"/>
  <c r="BA70" i="6"/>
  <c r="BB70" i="6"/>
  <c r="BC70" i="6"/>
  <c r="BD70" i="6"/>
  <c r="BG70" i="6"/>
  <c r="BH70" i="6"/>
  <c r="BQ70" i="6"/>
  <c r="BR70" i="6"/>
  <c r="BS70" i="6"/>
  <c r="BT70" i="6"/>
  <c r="BU70" i="6"/>
  <c r="BV70" i="6"/>
  <c r="BW70" i="6"/>
  <c r="BX70" i="6"/>
  <c r="BY70" i="6"/>
  <c r="BZ70" i="6"/>
  <c r="CA70" i="6"/>
  <c r="CB70" i="6"/>
  <c r="CC70" i="6"/>
  <c r="CD70" i="6"/>
  <c r="CL70" i="6"/>
  <c r="CM70" i="6"/>
  <c r="CN70" i="6"/>
  <c r="CO70" i="6"/>
  <c r="CP70" i="6"/>
  <c r="CQ70" i="6"/>
  <c r="CR70" i="6"/>
  <c r="CS70" i="6"/>
  <c r="CT70" i="6"/>
  <c r="CU70" i="6"/>
  <c r="CV70" i="6"/>
  <c r="CW70" i="6"/>
  <c r="CX70" i="6"/>
  <c r="CY70" i="6"/>
  <c r="CZ70" i="6"/>
  <c r="DA70" i="6"/>
  <c r="DB70" i="6"/>
  <c r="DJ70" i="6"/>
  <c r="DK70" i="6"/>
  <c r="DL70" i="6"/>
  <c r="DM70" i="6"/>
  <c r="DN70" i="6"/>
  <c r="DO70" i="6"/>
  <c r="DP70" i="6"/>
  <c r="DQ70" i="6"/>
  <c r="DR70" i="6"/>
  <c r="DS70" i="6"/>
  <c r="DT70" i="6"/>
  <c r="DU70" i="6"/>
  <c r="DV70" i="6"/>
  <c r="DW70" i="6"/>
  <c r="DX70" i="6"/>
  <c r="DY70" i="6"/>
  <c r="DZ70" i="6"/>
  <c r="EH70" i="6"/>
  <c r="EI70" i="6"/>
  <c r="EJ70" i="6"/>
  <c r="EK70" i="6"/>
  <c r="EL70" i="6"/>
  <c r="EM70" i="6"/>
  <c r="EN70" i="6"/>
  <c r="EO70" i="6"/>
  <c r="EP70" i="6"/>
  <c r="EQ70" i="6"/>
  <c r="ER70" i="6"/>
  <c r="ES70" i="6"/>
  <c r="ET70" i="6"/>
  <c r="EU70" i="6"/>
  <c r="EV70" i="6"/>
  <c r="EW70" i="6"/>
  <c r="EX70" i="6"/>
  <c r="FF70" i="6"/>
  <c r="FG70" i="6"/>
  <c r="FH70" i="6"/>
  <c r="FI70" i="6"/>
  <c r="FJ70" i="6"/>
  <c r="FK70" i="6"/>
  <c r="FL70" i="6"/>
  <c r="FM70" i="6"/>
  <c r="FN70" i="6"/>
  <c r="FO70" i="6"/>
  <c r="FP70" i="6"/>
  <c r="FQ70" i="6"/>
  <c r="FR70" i="6"/>
  <c r="FS70" i="6"/>
  <c r="FT70" i="6"/>
  <c r="FU70" i="6"/>
  <c r="FV70" i="6"/>
  <c r="GD70" i="6"/>
  <c r="GE70" i="6"/>
  <c r="GF70" i="6"/>
  <c r="GG70" i="6"/>
  <c r="GH70" i="6"/>
  <c r="GI70" i="6"/>
  <c r="GJ70" i="6"/>
  <c r="GK70" i="6"/>
  <c r="GL70" i="6"/>
  <c r="GM70" i="6"/>
  <c r="GN70" i="6"/>
  <c r="GO70" i="6"/>
  <c r="GP70" i="6"/>
  <c r="GQ70" i="6"/>
  <c r="GR70" i="6"/>
  <c r="GS70" i="6"/>
  <c r="GT70" i="6"/>
  <c r="HB70" i="6"/>
  <c r="HC70" i="6"/>
  <c r="HD70" i="6"/>
  <c r="HE70" i="6"/>
  <c r="HF70" i="6"/>
  <c r="HG70" i="6"/>
  <c r="HH70" i="6"/>
  <c r="HI70" i="6"/>
  <c r="HJ70" i="6"/>
  <c r="HK70" i="6"/>
  <c r="HL70" i="6"/>
  <c r="HM70" i="6"/>
  <c r="HN70" i="6"/>
  <c r="HO70" i="6"/>
  <c r="HP70" i="6"/>
  <c r="HQ70" i="6"/>
  <c r="HR70" i="6"/>
  <c r="HZ70" i="6"/>
  <c r="IA70" i="6"/>
  <c r="IB70" i="6"/>
  <c r="IC70" i="6"/>
  <c r="ID70" i="6"/>
  <c r="IE70" i="6"/>
  <c r="IF70" i="6"/>
  <c r="IG70" i="6"/>
  <c r="IH70" i="6"/>
  <c r="II70" i="6"/>
  <c r="O71" i="6"/>
  <c r="R71" i="6"/>
  <c r="S71" i="6"/>
  <c r="T71" i="6" a="1"/>
  <c r="T71" i="6"/>
  <c r="U71" i="6" a="1"/>
  <c r="U71" i="6"/>
  <c r="V71" i="6" a="1"/>
  <c r="V71" i="6"/>
  <c r="W71" i="6" a="1"/>
  <c r="W71" i="6"/>
  <c r="X71" i="6" a="1"/>
  <c r="X71" i="6"/>
  <c r="Y71" i="6" a="1"/>
  <c r="Y71" i="6"/>
  <c r="AB71" i="6"/>
  <c r="AC71" i="6" a="1"/>
  <c r="AC71" i="6"/>
  <c r="AE71" i="6"/>
  <c r="AF71" i="6"/>
  <c r="AH71" i="6" a="1"/>
  <c r="AH71" i="6"/>
  <c r="AI71" i="6" a="1"/>
  <c r="AI71" i="6"/>
  <c r="AJ71" i="6"/>
  <c r="AL71" i="6" a="1"/>
  <c r="AL71" i="6"/>
  <c r="AM71" i="6" a="1"/>
  <c r="AM71" i="6"/>
  <c r="AO71" i="6"/>
  <c r="AP71" i="6"/>
  <c r="AS71" i="6" a="1"/>
  <c r="AS71" i="6"/>
  <c r="AT71" i="6" a="1"/>
  <c r="AT71" i="6"/>
  <c r="AV71" i="6"/>
  <c r="AW71" i="6"/>
  <c r="BA71" i="6"/>
  <c r="BB71" i="6"/>
  <c r="BC71" i="6"/>
  <c r="BD71" i="6"/>
  <c r="BG71" i="6"/>
  <c r="BH71" i="6"/>
  <c r="BQ71" i="6"/>
  <c r="BR71" i="6"/>
  <c r="BS71" i="6"/>
  <c r="BT71" i="6"/>
  <c r="BU71" i="6"/>
  <c r="BV71" i="6"/>
  <c r="BW71" i="6"/>
  <c r="BX71" i="6"/>
  <c r="BY71" i="6"/>
  <c r="BZ71" i="6"/>
  <c r="CA71" i="6"/>
  <c r="CB71" i="6"/>
  <c r="CC71" i="6"/>
  <c r="CD71" i="6"/>
  <c r="CL71" i="6"/>
  <c r="CM71" i="6"/>
  <c r="CN71" i="6"/>
  <c r="CO71" i="6"/>
  <c r="CP71" i="6"/>
  <c r="CQ71" i="6"/>
  <c r="CR71" i="6"/>
  <c r="CS71" i="6"/>
  <c r="CT71" i="6"/>
  <c r="CU71" i="6"/>
  <c r="CV71" i="6"/>
  <c r="CW71" i="6"/>
  <c r="CX71" i="6"/>
  <c r="CY71" i="6"/>
  <c r="CZ71" i="6"/>
  <c r="DA71" i="6"/>
  <c r="DB71" i="6"/>
  <c r="DJ71" i="6"/>
  <c r="DK71" i="6"/>
  <c r="DL71" i="6"/>
  <c r="DM71" i="6"/>
  <c r="DN71" i="6"/>
  <c r="DO71" i="6"/>
  <c r="DP71" i="6"/>
  <c r="DQ71" i="6"/>
  <c r="DR71" i="6"/>
  <c r="DS71" i="6"/>
  <c r="DT71" i="6"/>
  <c r="DU71" i="6"/>
  <c r="DV71" i="6"/>
  <c r="DW71" i="6"/>
  <c r="DX71" i="6"/>
  <c r="DY71" i="6"/>
  <c r="DZ71" i="6"/>
  <c r="EH71" i="6"/>
  <c r="EI71" i="6"/>
  <c r="EJ71" i="6"/>
  <c r="EK71" i="6"/>
  <c r="EL71" i="6"/>
  <c r="EM71" i="6"/>
  <c r="EN71" i="6"/>
  <c r="EO71" i="6"/>
  <c r="EP71" i="6"/>
  <c r="EQ71" i="6"/>
  <c r="ER71" i="6"/>
  <c r="ES71" i="6"/>
  <c r="ET71" i="6"/>
  <c r="EU71" i="6"/>
  <c r="EV71" i="6"/>
  <c r="EW71" i="6"/>
  <c r="EX71" i="6"/>
  <c r="FF71" i="6"/>
  <c r="FG71" i="6"/>
  <c r="FH71" i="6"/>
  <c r="FI71" i="6"/>
  <c r="FJ71" i="6"/>
  <c r="FK71" i="6"/>
  <c r="FL71" i="6"/>
  <c r="FM71" i="6"/>
  <c r="FN71" i="6"/>
  <c r="FO71" i="6"/>
  <c r="FP71" i="6"/>
  <c r="FQ71" i="6"/>
  <c r="FR71" i="6"/>
  <c r="FS71" i="6"/>
  <c r="FT71" i="6"/>
  <c r="FU71" i="6"/>
  <c r="FV71" i="6"/>
  <c r="GD71" i="6"/>
  <c r="GE71" i="6"/>
  <c r="GF71" i="6"/>
  <c r="GG71" i="6"/>
  <c r="GH71" i="6"/>
  <c r="GI71" i="6"/>
  <c r="GJ71" i="6"/>
  <c r="GK71" i="6"/>
  <c r="GL71" i="6"/>
  <c r="GM71" i="6"/>
  <c r="GN71" i="6"/>
  <c r="GO71" i="6"/>
  <c r="GP71" i="6"/>
  <c r="GQ71" i="6"/>
  <c r="GR71" i="6"/>
  <c r="GS71" i="6"/>
  <c r="GT71" i="6"/>
  <c r="HB71" i="6"/>
  <c r="HC71" i="6"/>
  <c r="HD71" i="6"/>
  <c r="HE71" i="6"/>
  <c r="HF71" i="6"/>
  <c r="HG71" i="6"/>
  <c r="HH71" i="6"/>
  <c r="HI71" i="6"/>
  <c r="HJ71" i="6"/>
  <c r="HK71" i="6"/>
  <c r="HL71" i="6"/>
  <c r="HM71" i="6"/>
  <c r="HN71" i="6"/>
  <c r="HO71" i="6"/>
  <c r="HP71" i="6"/>
  <c r="HQ71" i="6"/>
  <c r="HR71" i="6"/>
  <c r="HZ71" i="6"/>
  <c r="IA71" i="6"/>
  <c r="IB71" i="6"/>
  <c r="IC71" i="6"/>
  <c r="ID71" i="6"/>
  <c r="IE71" i="6"/>
  <c r="IF71" i="6"/>
  <c r="IG71" i="6"/>
  <c r="IH71" i="6"/>
  <c r="II71" i="6"/>
  <c r="O72" i="6"/>
  <c r="R72" i="6"/>
  <c r="S72" i="6"/>
  <c r="T72" i="6" a="1"/>
  <c r="T72" i="6"/>
  <c r="U72" i="6" a="1"/>
  <c r="U72" i="6"/>
  <c r="V72" i="6" a="1"/>
  <c r="V72" i="6"/>
  <c r="W72" i="6" a="1"/>
  <c r="W72" i="6"/>
  <c r="X72" i="6" a="1"/>
  <c r="X72" i="6"/>
  <c r="Y72" i="6" a="1"/>
  <c r="Y72" i="6"/>
  <c r="AB72" i="6"/>
  <c r="AC72" i="6" a="1"/>
  <c r="AC72" i="6"/>
  <c r="AE72" i="6"/>
  <c r="AF72" i="6"/>
  <c r="AH72" i="6" a="1"/>
  <c r="AH72" i="6"/>
  <c r="AI72" i="6" a="1"/>
  <c r="AI72" i="6"/>
  <c r="AJ72" i="6"/>
  <c r="AL72" i="6" a="1"/>
  <c r="AL72" i="6"/>
  <c r="AM72" i="6" a="1"/>
  <c r="AM72" i="6"/>
  <c r="AO72" i="6"/>
  <c r="AP72" i="6"/>
  <c r="AS72" i="6" a="1"/>
  <c r="AS72" i="6"/>
  <c r="AT72" i="6" a="1"/>
  <c r="AT72" i="6"/>
  <c r="AV72" i="6"/>
  <c r="AW72" i="6"/>
  <c r="BA72" i="6"/>
  <c r="BB72" i="6"/>
  <c r="BC72" i="6"/>
  <c r="BD72" i="6"/>
  <c r="BG72" i="6"/>
  <c r="BH72" i="6"/>
  <c r="BQ72" i="6"/>
  <c r="BR72" i="6"/>
  <c r="BS72" i="6"/>
  <c r="BT72" i="6"/>
  <c r="BU72" i="6"/>
  <c r="BV72" i="6"/>
  <c r="BW72" i="6"/>
  <c r="BX72" i="6"/>
  <c r="BY72" i="6"/>
  <c r="BZ72" i="6"/>
  <c r="CA72" i="6"/>
  <c r="CB72" i="6"/>
  <c r="CC72" i="6"/>
  <c r="CD72" i="6"/>
  <c r="CL72" i="6"/>
  <c r="CM72" i="6"/>
  <c r="CN72" i="6"/>
  <c r="CO72" i="6"/>
  <c r="CP72" i="6"/>
  <c r="CQ72" i="6"/>
  <c r="CR72" i="6"/>
  <c r="CS72" i="6"/>
  <c r="CT72" i="6"/>
  <c r="CU72" i="6"/>
  <c r="CV72" i="6"/>
  <c r="CW72" i="6"/>
  <c r="CX72" i="6"/>
  <c r="CY72" i="6"/>
  <c r="CZ72" i="6"/>
  <c r="DA72" i="6"/>
  <c r="DB72" i="6"/>
  <c r="DJ72" i="6"/>
  <c r="DK72" i="6"/>
  <c r="DL72" i="6"/>
  <c r="DM72" i="6"/>
  <c r="DN72" i="6"/>
  <c r="DO72" i="6"/>
  <c r="DP72" i="6"/>
  <c r="DQ72" i="6"/>
  <c r="DR72" i="6"/>
  <c r="DS72" i="6"/>
  <c r="DT72" i="6"/>
  <c r="DU72" i="6"/>
  <c r="DV72" i="6"/>
  <c r="DW72" i="6"/>
  <c r="DX72" i="6"/>
  <c r="DY72" i="6"/>
  <c r="DZ72" i="6"/>
  <c r="EH72" i="6"/>
  <c r="EI72" i="6"/>
  <c r="EJ72" i="6"/>
  <c r="EK72" i="6"/>
  <c r="EL72" i="6"/>
  <c r="EM72" i="6"/>
  <c r="EN72" i="6"/>
  <c r="EO72" i="6"/>
  <c r="EP72" i="6"/>
  <c r="EQ72" i="6"/>
  <c r="ER72" i="6"/>
  <c r="ES72" i="6"/>
  <c r="ET72" i="6"/>
  <c r="EU72" i="6"/>
  <c r="EV72" i="6"/>
  <c r="EW72" i="6"/>
  <c r="EX72" i="6"/>
  <c r="FF72" i="6"/>
  <c r="FG72" i="6"/>
  <c r="FH72" i="6"/>
  <c r="FI72" i="6"/>
  <c r="FJ72" i="6"/>
  <c r="FK72" i="6"/>
  <c r="FL72" i="6"/>
  <c r="FM72" i="6"/>
  <c r="FN72" i="6"/>
  <c r="FO72" i="6"/>
  <c r="FP72" i="6"/>
  <c r="FQ72" i="6"/>
  <c r="FR72" i="6"/>
  <c r="FS72" i="6"/>
  <c r="FT72" i="6"/>
  <c r="FU72" i="6"/>
  <c r="FV72" i="6"/>
  <c r="GD72" i="6"/>
  <c r="GE72" i="6"/>
  <c r="GF72" i="6"/>
  <c r="GG72" i="6"/>
  <c r="GH72" i="6"/>
  <c r="GI72" i="6"/>
  <c r="GJ72" i="6"/>
  <c r="GK72" i="6"/>
  <c r="GL72" i="6"/>
  <c r="GM72" i="6"/>
  <c r="GN72" i="6"/>
  <c r="GO72" i="6"/>
  <c r="GP72" i="6"/>
  <c r="GQ72" i="6"/>
  <c r="GR72" i="6"/>
  <c r="GS72" i="6"/>
  <c r="GT72" i="6"/>
  <c r="HB72" i="6"/>
  <c r="HC72" i="6"/>
  <c r="HD72" i="6"/>
  <c r="HE72" i="6"/>
  <c r="HF72" i="6"/>
  <c r="HG72" i="6"/>
  <c r="HH72" i="6"/>
  <c r="HI72" i="6"/>
  <c r="HJ72" i="6"/>
  <c r="HK72" i="6"/>
  <c r="HL72" i="6"/>
  <c r="HM72" i="6"/>
  <c r="HN72" i="6"/>
  <c r="HO72" i="6"/>
  <c r="HP72" i="6"/>
  <c r="HQ72" i="6"/>
  <c r="HR72" i="6"/>
  <c r="HZ72" i="6"/>
  <c r="IA72" i="6"/>
  <c r="IB72" i="6"/>
  <c r="IC72" i="6"/>
  <c r="ID72" i="6"/>
  <c r="IE72" i="6"/>
  <c r="IF72" i="6"/>
  <c r="IG72" i="6"/>
  <c r="IH72" i="6"/>
  <c r="II72" i="6"/>
  <c r="O73" i="6"/>
  <c r="R73" i="6"/>
  <c r="S73" i="6"/>
  <c r="T73" i="6" a="1"/>
  <c r="T73" i="6"/>
  <c r="U73" i="6" a="1"/>
  <c r="U73" i="6"/>
  <c r="V73" i="6" a="1"/>
  <c r="V73" i="6"/>
  <c r="W73" i="6" a="1"/>
  <c r="W73" i="6"/>
  <c r="X73" i="6" a="1"/>
  <c r="X73" i="6"/>
  <c r="Y73" i="6" a="1"/>
  <c r="Y73" i="6"/>
  <c r="AB73" i="6"/>
  <c r="AC73" i="6" a="1"/>
  <c r="AC73" i="6"/>
  <c r="AE73" i="6"/>
  <c r="AF73" i="6"/>
  <c r="AY73" i="6"/>
  <c r="AZ73" i="6"/>
  <c r="BC73" i="6"/>
  <c r="BD73" i="6"/>
  <c r="BG73" i="6"/>
  <c r="BH73" i="6"/>
  <c r="BQ73" i="6"/>
  <c r="BR73" i="6"/>
  <c r="BS73" i="6"/>
  <c r="BT73" i="6"/>
  <c r="BU73" i="6"/>
  <c r="BV73" i="6"/>
  <c r="BW73" i="6"/>
  <c r="BX73" i="6"/>
  <c r="BY73" i="6"/>
  <c r="BZ73" i="6"/>
  <c r="CA73" i="6"/>
  <c r="CB73" i="6"/>
  <c r="CC73" i="6"/>
  <c r="CD73" i="6"/>
  <c r="CL73" i="6"/>
  <c r="CM73" i="6"/>
  <c r="CN73" i="6"/>
  <c r="CO73" i="6"/>
  <c r="CP73" i="6"/>
  <c r="CQ73" i="6"/>
  <c r="CR73" i="6"/>
  <c r="CS73" i="6"/>
  <c r="CT73" i="6"/>
  <c r="CU73" i="6"/>
  <c r="CV73" i="6"/>
  <c r="CW73" i="6"/>
  <c r="CX73" i="6"/>
  <c r="CY73" i="6"/>
  <c r="CZ73" i="6"/>
  <c r="DA73" i="6"/>
  <c r="DB73" i="6"/>
  <c r="DJ73" i="6"/>
  <c r="DK73" i="6"/>
  <c r="DL73" i="6"/>
  <c r="DM73" i="6"/>
  <c r="DN73" i="6"/>
  <c r="DO73" i="6"/>
  <c r="DP73" i="6"/>
  <c r="DQ73" i="6"/>
  <c r="DR73" i="6"/>
  <c r="DS73" i="6"/>
  <c r="DT73" i="6"/>
  <c r="DU73" i="6"/>
  <c r="DV73" i="6"/>
  <c r="DW73" i="6"/>
  <c r="DX73" i="6"/>
  <c r="DY73" i="6"/>
  <c r="DZ73" i="6"/>
  <c r="EH73" i="6"/>
  <c r="EI73" i="6"/>
  <c r="EJ73" i="6"/>
  <c r="EK73" i="6"/>
  <c r="EL73" i="6"/>
  <c r="EM73" i="6"/>
  <c r="EN73" i="6"/>
  <c r="EO73" i="6"/>
  <c r="EP73" i="6"/>
  <c r="EQ73" i="6"/>
  <c r="ER73" i="6"/>
  <c r="ES73" i="6"/>
  <c r="ET73" i="6"/>
  <c r="EU73" i="6"/>
  <c r="EV73" i="6"/>
  <c r="EW73" i="6"/>
  <c r="EX73" i="6"/>
  <c r="FF73" i="6"/>
  <c r="FG73" i="6"/>
  <c r="FH73" i="6"/>
  <c r="FI73" i="6"/>
  <c r="FJ73" i="6"/>
  <c r="FK73" i="6"/>
  <c r="FL73" i="6"/>
  <c r="FM73" i="6"/>
  <c r="FN73" i="6"/>
  <c r="FO73" i="6"/>
  <c r="FP73" i="6"/>
  <c r="FQ73" i="6"/>
  <c r="FR73" i="6"/>
  <c r="FS73" i="6"/>
  <c r="FT73" i="6"/>
  <c r="FU73" i="6"/>
  <c r="FV73" i="6"/>
  <c r="GD73" i="6"/>
  <c r="GE73" i="6"/>
  <c r="GF73" i="6"/>
  <c r="GG73" i="6"/>
  <c r="GH73" i="6"/>
  <c r="GI73" i="6"/>
  <c r="GJ73" i="6"/>
  <c r="GK73" i="6"/>
  <c r="GL73" i="6"/>
  <c r="GM73" i="6"/>
  <c r="GN73" i="6"/>
  <c r="GO73" i="6"/>
  <c r="GP73" i="6"/>
  <c r="GQ73" i="6"/>
  <c r="GR73" i="6"/>
  <c r="GS73" i="6"/>
  <c r="GT73" i="6"/>
  <c r="HB73" i="6"/>
  <c r="HC73" i="6"/>
  <c r="HD73" i="6"/>
  <c r="HE73" i="6"/>
  <c r="HF73" i="6"/>
  <c r="HG73" i="6"/>
  <c r="HH73" i="6"/>
  <c r="HI73" i="6"/>
  <c r="HJ73" i="6"/>
  <c r="HK73" i="6"/>
  <c r="HL73" i="6"/>
  <c r="HM73" i="6"/>
  <c r="HN73" i="6"/>
  <c r="HO73" i="6"/>
  <c r="HP73" i="6"/>
  <c r="HQ73" i="6"/>
  <c r="HR73" i="6"/>
  <c r="HZ73" i="6"/>
  <c r="IA73" i="6"/>
  <c r="IB73" i="6"/>
  <c r="IC73" i="6"/>
  <c r="ID73" i="6"/>
  <c r="IE73" i="6"/>
  <c r="IF73" i="6"/>
  <c r="IG73" i="6"/>
  <c r="IH73" i="6"/>
  <c r="II73" i="6"/>
  <c r="O74" i="6"/>
  <c r="R74" i="6"/>
  <c r="S74" i="6"/>
  <c r="T74" i="6" a="1"/>
  <c r="T74" i="6"/>
  <c r="U74" i="6" a="1"/>
  <c r="U74" i="6"/>
  <c r="V74" i="6" a="1"/>
  <c r="V74" i="6"/>
  <c r="W74" i="6" a="1"/>
  <c r="W74" i="6"/>
  <c r="X74" i="6" a="1"/>
  <c r="X74" i="6"/>
  <c r="Y74" i="6" a="1"/>
  <c r="Y74" i="6"/>
  <c r="AB74" i="6"/>
  <c r="AC74" i="6" a="1"/>
  <c r="AC74" i="6"/>
  <c r="AE74" i="6"/>
  <c r="AF74" i="6"/>
  <c r="AH74" i="6" a="1"/>
  <c r="AH74" i="6"/>
  <c r="AI74" i="6" a="1"/>
  <c r="AI74" i="6"/>
  <c r="AJ74" i="6"/>
  <c r="AL74" i="6" a="1"/>
  <c r="AL74" i="6"/>
  <c r="AM74" i="6" a="1"/>
  <c r="AM74" i="6"/>
  <c r="AS74" i="6" a="1"/>
  <c r="AS74" i="6"/>
  <c r="AT74" i="6" a="1"/>
  <c r="AT74" i="6"/>
  <c r="BG74" i="6"/>
  <c r="BH74" i="6"/>
  <c r="BQ74" i="6"/>
  <c r="BR74" i="6"/>
  <c r="BS74" i="6"/>
  <c r="BT74" i="6"/>
  <c r="BU74" i="6"/>
  <c r="BV74" i="6"/>
  <c r="BW74" i="6"/>
  <c r="BX74" i="6"/>
  <c r="BY74" i="6"/>
  <c r="BZ74" i="6"/>
  <c r="CA74" i="6"/>
  <c r="CB74" i="6"/>
  <c r="CC74" i="6"/>
  <c r="CD74" i="6"/>
  <c r="CL74" i="6"/>
  <c r="CM74" i="6"/>
  <c r="CN74" i="6"/>
  <c r="CO74" i="6"/>
  <c r="CP74" i="6"/>
  <c r="CQ74" i="6"/>
  <c r="CR74" i="6"/>
  <c r="CS74" i="6"/>
  <c r="CT74" i="6"/>
  <c r="CU74" i="6"/>
  <c r="CV74" i="6"/>
  <c r="CW74" i="6"/>
  <c r="CX74" i="6"/>
  <c r="CY74" i="6"/>
  <c r="CZ74" i="6"/>
  <c r="DA74" i="6"/>
  <c r="DB74" i="6"/>
  <c r="DJ74" i="6"/>
  <c r="DK74" i="6"/>
  <c r="DL74" i="6"/>
  <c r="DM74" i="6"/>
  <c r="DN74" i="6"/>
  <c r="DO74" i="6"/>
  <c r="DP74" i="6"/>
  <c r="DQ74" i="6"/>
  <c r="DR74" i="6"/>
  <c r="DS74" i="6"/>
  <c r="DT74" i="6"/>
  <c r="DU74" i="6"/>
  <c r="DV74" i="6"/>
  <c r="DW74" i="6"/>
  <c r="DX74" i="6"/>
  <c r="DY74" i="6"/>
  <c r="DZ74" i="6"/>
  <c r="EH74" i="6"/>
  <c r="EI74" i="6"/>
  <c r="EJ74" i="6"/>
  <c r="EK74" i="6"/>
  <c r="EL74" i="6"/>
  <c r="EM74" i="6"/>
  <c r="EN74" i="6"/>
  <c r="EO74" i="6"/>
  <c r="EP74" i="6"/>
  <c r="EQ74" i="6"/>
  <c r="ER74" i="6"/>
  <c r="ES74" i="6"/>
  <c r="ET74" i="6"/>
  <c r="EU74" i="6"/>
  <c r="EV74" i="6"/>
  <c r="EW74" i="6"/>
  <c r="EX74" i="6"/>
  <c r="FF74" i="6"/>
  <c r="FG74" i="6"/>
  <c r="FH74" i="6"/>
  <c r="FI74" i="6"/>
  <c r="FJ74" i="6"/>
  <c r="FK74" i="6"/>
  <c r="FL74" i="6"/>
  <c r="FM74" i="6"/>
  <c r="FN74" i="6"/>
  <c r="FO74" i="6"/>
  <c r="FP74" i="6"/>
  <c r="FQ74" i="6"/>
  <c r="FR74" i="6"/>
  <c r="FS74" i="6"/>
  <c r="FT74" i="6"/>
  <c r="FU74" i="6"/>
  <c r="FV74" i="6"/>
  <c r="GD74" i="6"/>
  <c r="GE74" i="6"/>
  <c r="GF74" i="6"/>
  <c r="GG74" i="6"/>
  <c r="GH74" i="6"/>
  <c r="GI74" i="6"/>
  <c r="GJ74" i="6"/>
  <c r="GK74" i="6"/>
  <c r="GL74" i="6"/>
  <c r="GM74" i="6"/>
  <c r="GN74" i="6"/>
  <c r="GO74" i="6"/>
  <c r="GP74" i="6"/>
  <c r="GQ74" i="6"/>
  <c r="GR74" i="6"/>
  <c r="GS74" i="6"/>
  <c r="GT74" i="6"/>
  <c r="HB74" i="6"/>
  <c r="HC74" i="6"/>
  <c r="HD74" i="6"/>
  <c r="HE74" i="6"/>
  <c r="HF74" i="6"/>
  <c r="HG74" i="6"/>
  <c r="HH74" i="6"/>
  <c r="HI74" i="6"/>
  <c r="HJ74" i="6"/>
  <c r="HK74" i="6"/>
  <c r="HL74" i="6"/>
  <c r="HM74" i="6"/>
  <c r="HN74" i="6"/>
  <c r="HO74" i="6"/>
  <c r="HP74" i="6"/>
  <c r="HQ74" i="6"/>
  <c r="HR74" i="6"/>
  <c r="HZ74" i="6"/>
  <c r="IA74" i="6"/>
  <c r="IB74" i="6"/>
  <c r="IC74" i="6"/>
  <c r="ID74" i="6"/>
  <c r="IE74" i="6"/>
  <c r="IF74" i="6"/>
  <c r="IG74" i="6"/>
  <c r="IH74" i="6"/>
  <c r="II74" i="6"/>
  <c r="O75" i="6"/>
  <c r="R75" i="6"/>
  <c r="S75" i="6"/>
  <c r="T75" i="6" a="1"/>
  <c r="T75" i="6"/>
  <c r="U75" i="6" a="1"/>
  <c r="U75" i="6"/>
  <c r="V75" i="6" a="1"/>
  <c r="V75" i="6"/>
  <c r="W75" i="6" a="1"/>
  <c r="W75" i="6"/>
  <c r="X75" i="6" a="1"/>
  <c r="X75" i="6"/>
  <c r="Y75" i="6" a="1"/>
  <c r="Y75" i="6"/>
  <c r="AB75" i="6"/>
  <c r="AC75" i="6" a="1"/>
  <c r="AC75" i="6"/>
  <c r="AE75" i="6"/>
  <c r="AF75" i="6"/>
  <c r="AH75" i="6" a="1"/>
  <c r="AH75" i="6"/>
  <c r="AI75" i="6" a="1"/>
  <c r="AI75" i="6"/>
  <c r="AJ75" i="6"/>
  <c r="AL75" i="6" a="1"/>
  <c r="AL75" i="6"/>
  <c r="AM75" i="6" a="1"/>
  <c r="AM75" i="6"/>
  <c r="AS75" i="6" a="1"/>
  <c r="AS75" i="6"/>
  <c r="AT75" i="6" a="1"/>
  <c r="AT75" i="6"/>
  <c r="BG75" i="6"/>
  <c r="BH75" i="6"/>
  <c r="BQ75" i="6"/>
  <c r="BR75" i="6"/>
  <c r="BS75" i="6"/>
  <c r="BT75" i="6"/>
  <c r="BU75" i="6"/>
  <c r="BV75" i="6"/>
  <c r="BW75" i="6"/>
  <c r="BX75" i="6"/>
  <c r="BY75" i="6"/>
  <c r="BZ75" i="6"/>
  <c r="CA75" i="6"/>
  <c r="CB75" i="6"/>
  <c r="CC75" i="6"/>
  <c r="CD75" i="6"/>
  <c r="CL75" i="6"/>
  <c r="CM75" i="6"/>
  <c r="CN75" i="6"/>
  <c r="CO75" i="6"/>
  <c r="CP75" i="6"/>
  <c r="CQ75" i="6"/>
  <c r="CR75" i="6"/>
  <c r="CS75" i="6"/>
  <c r="CT75" i="6"/>
  <c r="CU75" i="6"/>
  <c r="CV75" i="6"/>
  <c r="CW75" i="6"/>
  <c r="CX75" i="6"/>
  <c r="CY75" i="6"/>
  <c r="CZ75" i="6"/>
  <c r="DA75" i="6"/>
  <c r="DB75" i="6"/>
  <c r="DJ75" i="6"/>
  <c r="DK75" i="6"/>
  <c r="DL75" i="6"/>
  <c r="DM75" i="6"/>
  <c r="DN75" i="6"/>
  <c r="DO75" i="6"/>
  <c r="DP75" i="6"/>
  <c r="DQ75" i="6"/>
  <c r="DR75" i="6"/>
  <c r="DS75" i="6"/>
  <c r="DT75" i="6"/>
  <c r="DU75" i="6"/>
  <c r="DV75" i="6"/>
  <c r="DW75" i="6"/>
  <c r="DX75" i="6"/>
  <c r="DY75" i="6"/>
  <c r="DZ75" i="6"/>
  <c r="EH75" i="6"/>
  <c r="EI75" i="6"/>
  <c r="EJ75" i="6"/>
  <c r="EK75" i="6"/>
  <c r="EL75" i="6"/>
  <c r="EM75" i="6"/>
  <c r="EN75" i="6"/>
  <c r="EO75" i="6"/>
  <c r="EP75" i="6"/>
  <c r="EQ75" i="6"/>
  <c r="ER75" i="6"/>
  <c r="ES75" i="6"/>
  <c r="ET75" i="6"/>
  <c r="EU75" i="6"/>
  <c r="EV75" i="6"/>
  <c r="EW75" i="6"/>
  <c r="EX75" i="6"/>
  <c r="FF75" i="6"/>
  <c r="FG75" i="6"/>
  <c r="FH75" i="6"/>
  <c r="FI75" i="6"/>
  <c r="FJ75" i="6"/>
  <c r="FK75" i="6"/>
  <c r="FL75" i="6"/>
  <c r="FM75" i="6"/>
  <c r="FN75" i="6"/>
  <c r="FO75" i="6"/>
  <c r="FP75" i="6"/>
  <c r="FQ75" i="6"/>
  <c r="FR75" i="6"/>
  <c r="FS75" i="6"/>
  <c r="FT75" i="6"/>
  <c r="FU75" i="6"/>
  <c r="FV75" i="6"/>
  <c r="GD75" i="6"/>
  <c r="GE75" i="6"/>
  <c r="GF75" i="6"/>
  <c r="GG75" i="6"/>
  <c r="GH75" i="6"/>
  <c r="GI75" i="6"/>
  <c r="GJ75" i="6"/>
  <c r="GK75" i="6"/>
  <c r="GL75" i="6"/>
  <c r="GM75" i="6"/>
  <c r="GN75" i="6"/>
  <c r="GO75" i="6"/>
  <c r="GP75" i="6"/>
  <c r="GQ75" i="6"/>
  <c r="GR75" i="6"/>
  <c r="GS75" i="6"/>
  <c r="GT75" i="6"/>
  <c r="HB75" i="6"/>
  <c r="HC75" i="6"/>
  <c r="HD75" i="6"/>
  <c r="HE75" i="6"/>
  <c r="HF75" i="6"/>
  <c r="HG75" i="6"/>
  <c r="HH75" i="6"/>
  <c r="HI75" i="6"/>
  <c r="HJ75" i="6"/>
  <c r="HK75" i="6"/>
  <c r="HL75" i="6"/>
  <c r="HM75" i="6"/>
  <c r="HN75" i="6"/>
  <c r="HO75" i="6"/>
  <c r="HP75" i="6"/>
  <c r="HQ75" i="6"/>
  <c r="HR75" i="6"/>
  <c r="HZ75" i="6"/>
  <c r="IA75" i="6"/>
  <c r="IB75" i="6"/>
  <c r="IC75" i="6"/>
  <c r="ID75" i="6"/>
  <c r="IE75" i="6"/>
  <c r="IF75" i="6"/>
  <c r="IG75" i="6"/>
  <c r="IH75" i="6"/>
  <c r="II75" i="6"/>
  <c r="O76" i="6"/>
  <c r="R76" i="6"/>
  <c r="S76" i="6"/>
  <c r="T76" i="6" a="1"/>
  <c r="T76" i="6"/>
  <c r="U76" i="6" a="1"/>
  <c r="U76" i="6"/>
  <c r="V76" i="6" a="1"/>
  <c r="V76" i="6"/>
  <c r="W76" i="6" a="1"/>
  <c r="W76" i="6"/>
  <c r="X76" i="6" a="1"/>
  <c r="X76" i="6"/>
  <c r="Y76" i="6" a="1"/>
  <c r="Y76" i="6"/>
  <c r="AB76" i="6"/>
  <c r="AC76" i="6" a="1"/>
  <c r="AC76" i="6"/>
  <c r="AE76" i="6"/>
  <c r="AF76" i="6"/>
  <c r="BA76" i="6"/>
  <c r="BB76" i="6"/>
  <c r="BC76" i="6"/>
  <c r="BD76" i="6"/>
  <c r="BG76" i="6"/>
  <c r="BH76" i="6"/>
  <c r="BQ76" i="6"/>
  <c r="BR76" i="6"/>
  <c r="BS76" i="6"/>
  <c r="BT76" i="6"/>
  <c r="BU76" i="6"/>
  <c r="BV76" i="6"/>
  <c r="BW76" i="6"/>
  <c r="BX76" i="6"/>
  <c r="BY76" i="6"/>
  <c r="BZ76" i="6"/>
  <c r="CA76" i="6"/>
  <c r="CB76" i="6"/>
  <c r="CC76" i="6"/>
  <c r="CD76" i="6"/>
  <c r="CL76" i="6"/>
  <c r="CM76" i="6"/>
  <c r="CN76" i="6"/>
  <c r="CO76" i="6"/>
  <c r="CP76" i="6"/>
  <c r="CQ76" i="6"/>
  <c r="CR76" i="6"/>
  <c r="CS76" i="6"/>
  <c r="CT76" i="6"/>
  <c r="CU76" i="6"/>
  <c r="CV76" i="6"/>
  <c r="CW76" i="6"/>
  <c r="CX76" i="6"/>
  <c r="CY76" i="6"/>
  <c r="CZ76" i="6"/>
  <c r="DA76" i="6"/>
  <c r="DB76" i="6"/>
  <c r="DJ76" i="6"/>
  <c r="DK76" i="6"/>
  <c r="DL76" i="6"/>
  <c r="DM76" i="6"/>
  <c r="DN76" i="6"/>
  <c r="DO76" i="6"/>
  <c r="DP76" i="6"/>
  <c r="DQ76" i="6"/>
  <c r="DR76" i="6"/>
  <c r="DS76" i="6"/>
  <c r="DT76" i="6"/>
  <c r="DU76" i="6"/>
  <c r="DV76" i="6"/>
  <c r="DW76" i="6"/>
  <c r="DX76" i="6"/>
  <c r="DY76" i="6"/>
  <c r="DZ76" i="6"/>
  <c r="EH76" i="6"/>
  <c r="EI76" i="6"/>
  <c r="EJ76" i="6"/>
  <c r="EK76" i="6"/>
  <c r="EL76" i="6"/>
  <c r="EM76" i="6"/>
  <c r="EN76" i="6"/>
  <c r="EO76" i="6"/>
  <c r="EP76" i="6"/>
  <c r="EQ76" i="6"/>
  <c r="ER76" i="6"/>
  <c r="ES76" i="6"/>
  <c r="ET76" i="6"/>
  <c r="EU76" i="6"/>
  <c r="EV76" i="6"/>
  <c r="EW76" i="6"/>
  <c r="EX76" i="6"/>
  <c r="FF76" i="6"/>
  <c r="FG76" i="6"/>
  <c r="FH76" i="6"/>
  <c r="FI76" i="6"/>
  <c r="FJ76" i="6"/>
  <c r="FK76" i="6"/>
  <c r="FL76" i="6"/>
  <c r="FM76" i="6"/>
  <c r="FN76" i="6"/>
  <c r="FO76" i="6"/>
  <c r="FP76" i="6"/>
  <c r="FQ76" i="6"/>
  <c r="FR76" i="6"/>
  <c r="FS76" i="6"/>
  <c r="FT76" i="6"/>
  <c r="FU76" i="6"/>
  <c r="FV76" i="6"/>
  <c r="GD76" i="6"/>
  <c r="GE76" i="6"/>
  <c r="GF76" i="6"/>
  <c r="GG76" i="6"/>
  <c r="GH76" i="6"/>
  <c r="GI76" i="6"/>
  <c r="GJ76" i="6"/>
  <c r="GK76" i="6"/>
  <c r="GL76" i="6"/>
  <c r="GM76" i="6"/>
  <c r="GN76" i="6"/>
  <c r="GO76" i="6"/>
  <c r="GP76" i="6"/>
  <c r="GQ76" i="6"/>
  <c r="GR76" i="6"/>
  <c r="GS76" i="6"/>
  <c r="GT76" i="6"/>
  <c r="HB76" i="6"/>
  <c r="HC76" i="6"/>
  <c r="HD76" i="6"/>
  <c r="HE76" i="6"/>
  <c r="HF76" i="6"/>
  <c r="HG76" i="6"/>
  <c r="HH76" i="6"/>
  <c r="HI76" i="6"/>
  <c r="HJ76" i="6"/>
  <c r="HK76" i="6"/>
  <c r="HL76" i="6"/>
  <c r="HM76" i="6"/>
  <c r="HN76" i="6"/>
  <c r="HO76" i="6"/>
  <c r="HP76" i="6"/>
  <c r="HQ76" i="6"/>
  <c r="HR76" i="6"/>
  <c r="HZ76" i="6"/>
  <c r="IA76" i="6"/>
  <c r="IB76" i="6"/>
  <c r="IC76" i="6"/>
  <c r="ID76" i="6"/>
  <c r="IE76" i="6"/>
  <c r="IF76" i="6"/>
  <c r="IG76" i="6"/>
  <c r="IH76" i="6"/>
  <c r="II76" i="6"/>
  <c r="O77" i="6"/>
  <c r="R77" i="6"/>
  <c r="S77" i="6"/>
  <c r="T77" i="6" a="1"/>
  <c r="T77" i="6"/>
  <c r="U77" i="6" a="1"/>
  <c r="U77" i="6"/>
  <c r="V77" i="6" a="1"/>
  <c r="V77" i="6"/>
  <c r="W77" i="6" a="1"/>
  <c r="W77" i="6"/>
  <c r="X77" i="6" a="1"/>
  <c r="X77" i="6"/>
  <c r="Y77" i="6" a="1"/>
  <c r="Y77" i="6"/>
  <c r="AB77" i="6"/>
  <c r="AC77" i="6" a="1"/>
  <c r="AC77" i="6"/>
  <c r="AE77" i="6"/>
  <c r="AF77" i="6"/>
  <c r="AH77" i="6" a="1"/>
  <c r="AH77" i="6"/>
  <c r="AI77" i="6" a="1"/>
  <c r="AI77" i="6"/>
  <c r="AJ77" i="6"/>
  <c r="AL77" i="6" a="1"/>
  <c r="AL77" i="6"/>
  <c r="AM77" i="6" a="1"/>
  <c r="AM77" i="6"/>
  <c r="AS77" i="6" a="1"/>
  <c r="AS77" i="6"/>
  <c r="AT77" i="6" a="1"/>
  <c r="AT77" i="6"/>
  <c r="BG77" i="6"/>
  <c r="BH77" i="6"/>
  <c r="BQ77" i="6"/>
  <c r="BR77" i="6"/>
  <c r="BS77" i="6"/>
  <c r="BT77" i="6"/>
  <c r="BU77" i="6"/>
  <c r="BV77" i="6"/>
  <c r="BW77" i="6"/>
  <c r="BX77" i="6"/>
  <c r="BY77" i="6"/>
  <c r="BZ77" i="6"/>
  <c r="CA77" i="6"/>
  <c r="CB77" i="6"/>
  <c r="CC77" i="6"/>
  <c r="CD77" i="6"/>
  <c r="CL77" i="6"/>
  <c r="CM77" i="6"/>
  <c r="CN77" i="6"/>
  <c r="CO77" i="6"/>
  <c r="CP77" i="6"/>
  <c r="CQ77" i="6"/>
  <c r="CR77" i="6"/>
  <c r="CS77" i="6"/>
  <c r="CT77" i="6"/>
  <c r="CU77" i="6"/>
  <c r="CV77" i="6"/>
  <c r="CW77" i="6"/>
  <c r="CX77" i="6"/>
  <c r="CY77" i="6"/>
  <c r="CZ77" i="6"/>
  <c r="DA77" i="6"/>
  <c r="DB77" i="6"/>
  <c r="DJ77" i="6"/>
  <c r="DK77" i="6"/>
  <c r="DL77" i="6"/>
  <c r="DM77" i="6"/>
  <c r="DN77" i="6"/>
  <c r="DO77" i="6"/>
  <c r="DP77" i="6"/>
  <c r="DQ77" i="6"/>
  <c r="DR77" i="6"/>
  <c r="DS77" i="6"/>
  <c r="DT77" i="6"/>
  <c r="DU77" i="6"/>
  <c r="DV77" i="6"/>
  <c r="DW77" i="6"/>
  <c r="DX77" i="6"/>
  <c r="DY77" i="6"/>
  <c r="DZ77" i="6"/>
  <c r="EH77" i="6"/>
  <c r="EI77" i="6"/>
  <c r="EJ77" i="6"/>
  <c r="EK77" i="6"/>
  <c r="EL77" i="6"/>
  <c r="EM77" i="6"/>
  <c r="EN77" i="6"/>
  <c r="EO77" i="6"/>
  <c r="EP77" i="6"/>
  <c r="EQ77" i="6"/>
  <c r="ER77" i="6"/>
  <c r="ES77" i="6"/>
  <c r="ET77" i="6"/>
  <c r="EU77" i="6"/>
  <c r="EV77" i="6"/>
  <c r="EW77" i="6"/>
  <c r="EX77" i="6"/>
  <c r="FF77" i="6"/>
  <c r="FG77" i="6"/>
  <c r="FH77" i="6"/>
  <c r="FI77" i="6"/>
  <c r="FJ77" i="6"/>
  <c r="FK77" i="6"/>
  <c r="FL77" i="6"/>
  <c r="FM77" i="6"/>
  <c r="FN77" i="6"/>
  <c r="FO77" i="6"/>
  <c r="FP77" i="6"/>
  <c r="FQ77" i="6"/>
  <c r="FR77" i="6"/>
  <c r="FS77" i="6"/>
  <c r="FT77" i="6"/>
  <c r="FU77" i="6"/>
  <c r="FV77" i="6"/>
  <c r="GD77" i="6"/>
  <c r="GE77" i="6"/>
  <c r="GF77" i="6"/>
  <c r="GG77" i="6"/>
  <c r="GH77" i="6"/>
  <c r="GI77" i="6"/>
  <c r="GJ77" i="6"/>
  <c r="GK77" i="6"/>
  <c r="GL77" i="6"/>
  <c r="GM77" i="6"/>
  <c r="GN77" i="6"/>
  <c r="GO77" i="6"/>
  <c r="GP77" i="6"/>
  <c r="GQ77" i="6"/>
  <c r="GR77" i="6"/>
  <c r="GS77" i="6"/>
  <c r="GT77" i="6"/>
  <c r="HB77" i="6"/>
  <c r="HC77" i="6"/>
  <c r="HD77" i="6"/>
  <c r="HE77" i="6"/>
  <c r="HF77" i="6"/>
  <c r="HG77" i="6"/>
  <c r="HH77" i="6"/>
  <c r="HI77" i="6"/>
  <c r="HJ77" i="6"/>
  <c r="HK77" i="6"/>
  <c r="HL77" i="6"/>
  <c r="HM77" i="6"/>
  <c r="HN77" i="6"/>
  <c r="HO77" i="6"/>
  <c r="HP77" i="6"/>
  <c r="HQ77" i="6"/>
  <c r="HR77" i="6"/>
  <c r="HZ77" i="6"/>
  <c r="IA77" i="6"/>
  <c r="IB77" i="6"/>
  <c r="IC77" i="6"/>
  <c r="ID77" i="6"/>
  <c r="IE77" i="6"/>
  <c r="IF77" i="6"/>
  <c r="IG77" i="6"/>
  <c r="IH77" i="6"/>
  <c r="II77" i="6"/>
  <c r="O78" i="6"/>
  <c r="R78" i="6"/>
  <c r="S78" i="6"/>
  <c r="T78" i="6" a="1"/>
  <c r="T78" i="6"/>
  <c r="U78" i="6" a="1"/>
  <c r="U78" i="6"/>
  <c r="V78" i="6" a="1"/>
  <c r="V78" i="6"/>
  <c r="W78" i="6" a="1"/>
  <c r="W78" i="6"/>
  <c r="X78" i="6" a="1"/>
  <c r="X78" i="6"/>
  <c r="Y78" i="6" a="1"/>
  <c r="Y78" i="6"/>
  <c r="AB78" i="6"/>
  <c r="AC78" i="6" a="1"/>
  <c r="AC78" i="6"/>
  <c r="AE78" i="6"/>
  <c r="AF78" i="6"/>
  <c r="AH78" i="6" a="1"/>
  <c r="AH78" i="6"/>
  <c r="AI78" i="6" a="1"/>
  <c r="AI78" i="6"/>
  <c r="AJ78" i="6"/>
  <c r="AL78" i="6" a="1"/>
  <c r="AL78" i="6"/>
  <c r="AM78" i="6" a="1"/>
  <c r="AM78" i="6"/>
  <c r="AS78" i="6" a="1"/>
  <c r="AS78" i="6"/>
  <c r="AT78" i="6" a="1"/>
  <c r="AT78" i="6"/>
  <c r="BG78" i="6"/>
  <c r="BH78" i="6"/>
  <c r="BQ78" i="6"/>
  <c r="BR78" i="6"/>
  <c r="BS78" i="6"/>
  <c r="BT78" i="6"/>
  <c r="BU78" i="6"/>
  <c r="BV78" i="6"/>
  <c r="BW78" i="6"/>
  <c r="BX78" i="6"/>
  <c r="BY78" i="6"/>
  <c r="BZ78" i="6"/>
  <c r="CA78" i="6"/>
  <c r="CB78" i="6"/>
  <c r="CC78" i="6"/>
  <c r="CD78" i="6"/>
  <c r="CL78" i="6"/>
  <c r="CM78" i="6"/>
  <c r="CN78" i="6"/>
  <c r="CO78" i="6"/>
  <c r="CP78" i="6"/>
  <c r="CQ78" i="6"/>
  <c r="CR78" i="6"/>
  <c r="CS78" i="6"/>
  <c r="CT78" i="6"/>
  <c r="CU78" i="6"/>
  <c r="CV78" i="6"/>
  <c r="CW78" i="6"/>
  <c r="CX78" i="6"/>
  <c r="CY78" i="6"/>
  <c r="CZ78" i="6"/>
  <c r="DA78" i="6"/>
  <c r="DB78" i="6"/>
  <c r="DJ78" i="6"/>
  <c r="DK78" i="6"/>
  <c r="DL78" i="6"/>
  <c r="DM78" i="6"/>
  <c r="DN78" i="6"/>
  <c r="DO78" i="6"/>
  <c r="DP78" i="6"/>
  <c r="DQ78" i="6"/>
  <c r="DR78" i="6"/>
  <c r="DS78" i="6"/>
  <c r="DT78" i="6"/>
  <c r="DU78" i="6"/>
  <c r="DV78" i="6"/>
  <c r="DW78" i="6"/>
  <c r="DX78" i="6"/>
  <c r="DY78" i="6"/>
  <c r="DZ78" i="6"/>
  <c r="EH78" i="6"/>
  <c r="EI78" i="6"/>
  <c r="EJ78" i="6"/>
  <c r="EK78" i="6"/>
  <c r="EL78" i="6"/>
  <c r="EM78" i="6"/>
  <c r="EN78" i="6"/>
  <c r="EO78" i="6"/>
  <c r="EP78" i="6"/>
  <c r="EQ78" i="6"/>
  <c r="ER78" i="6"/>
  <c r="ES78" i="6"/>
  <c r="ET78" i="6"/>
  <c r="EU78" i="6"/>
  <c r="EV78" i="6"/>
  <c r="EW78" i="6"/>
  <c r="EX78" i="6"/>
  <c r="FF78" i="6"/>
  <c r="FG78" i="6"/>
  <c r="FH78" i="6"/>
  <c r="FI78" i="6"/>
  <c r="FJ78" i="6"/>
  <c r="FK78" i="6"/>
  <c r="FL78" i="6"/>
  <c r="FM78" i="6"/>
  <c r="FN78" i="6"/>
  <c r="FO78" i="6"/>
  <c r="FP78" i="6"/>
  <c r="FQ78" i="6"/>
  <c r="FR78" i="6"/>
  <c r="FS78" i="6"/>
  <c r="FT78" i="6"/>
  <c r="FU78" i="6"/>
  <c r="FV78" i="6"/>
  <c r="GD78" i="6"/>
  <c r="GE78" i="6"/>
  <c r="GF78" i="6"/>
  <c r="GG78" i="6"/>
  <c r="GH78" i="6"/>
  <c r="GI78" i="6"/>
  <c r="GJ78" i="6"/>
  <c r="GK78" i="6"/>
  <c r="GL78" i="6"/>
  <c r="GM78" i="6"/>
  <c r="GN78" i="6"/>
  <c r="GO78" i="6"/>
  <c r="GP78" i="6"/>
  <c r="GQ78" i="6"/>
  <c r="GR78" i="6"/>
  <c r="GS78" i="6"/>
  <c r="GT78" i="6"/>
  <c r="HB78" i="6"/>
  <c r="HC78" i="6"/>
  <c r="HD78" i="6"/>
  <c r="HE78" i="6"/>
  <c r="HF78" i="6"/>
  <c r="HG78" i="6"/>
  <c r="HH78" i="6"/>
  <c r="HI78" i="6"/>
  <c r="HJ78" i="6"/>
  <c r="HK78" i="6"/>
  <c r="HL78" i="6"/>
  <c r="HM78" i="6"/>
  <c r="HN78" i="6"/>
  <c r="HO78" i="6"/>
  <c r="HP78" i="6"/>
  <c r="HQ78" i="6"/>
  <c r="HR78" i="6"/>
  <c r="HZ78" i="6"/>
  <c r="IA78" i="6"/>
  <c r="IB78" i="6"/>
  <c r="IC78" i="6"/>
  <c r="ID78" i="6"/>
  <c r="IE78" i="6"/>
  <c r="IF78" i="6"/>
  <c r="IG78" i="6"/>
  <c r="IH78" i="6"/>
  <c r="II78" i="6"/>
  <c r="O79" i="6"/>
  <c r="R79" i="6"/>
  <c r="S79" i="6"/>
  <c r="T79" i="6" a="1"/>
  <c r="T79" i="6"/>
  <c r="U79" i="6" a="1"/>
  <c r="U79" i="6"/>
  <c r="V79" i="6" a="1"/>
  <c r="V79" i="6"/>
  <c r="W79" i="6" a="1"/>
  <c r="W79" i="6"/>
  <c r="X79" i="6" a="1"/>
  <c r="X79" i="6"/>
  <c r="Y79" i="6" a="1"/>
  <c r="Y79" i="6"/>
  <c r="AB79" i="6"/>
  <c r="AC79" i="6" a="1"/>
  <c r="AC79" i="6"/>
  <c r="AE79" i="6"/>
  <c r="AF79" i="6"/>
  <c r="BA79" i="6"/>
  <c r="BB79" i="6"/>
  <c r="BC79" i="6"/>
  <c r="BD79" i="6"/>
  <c r="BG79" i="6"/>
  <c r="BH79" i="6"/>
  <c r="BQ79" i="6"/>
  <c r="BR79" i="6"/>
  <c r="BS79" i="6"/>
  <c r="BT79" i="6"/>
  <c r="BU79" i="6"/>
  <c r="BV79" i="6"/>
  <c r="BW79" i="6"/>
  <c r="BX79" i="6"/>
  <c r="BY79" i="6"/>
  <c r="BZ79" i="6"/>
  <c r="CA79" i="6"/>
  <c r="CB79" i="6"/>
  <c r="CC79" i="6"/>
  <c r="CD79" i="6"/>
  <c r="CL79" i="6"/>
  <c r="CM79" i="6"/>
  <c r="CN79" i="6"/>
  <c r="CO79" i="6"/>
  <c r="CP79" i="6"/>
  <c r="CQ79" i="6"/>
  <c r="CR79" i="6"/>
  <c r="CS79" i="6"/>
  <c r="CT79" i="6"/>
  <c r="CU79" i="6"/>
  <c r="CV79" i="6"/>
  <c r="CW79" i="6"/>
  <c r="CX79" i="6"/>
  <c r="CY79" i="6"/>
  <c r="CZ79" i="6"/>
  <c r="DA79" i="6"/>
  <c r="DB79" i="6"/>
  <c r="DJ79" i="6"/>
  <c r="DK79" i="6"/>
  <c r="DL79" i="6"/>
  <c r="DM79" i="6"/>
  <c r="DN79" i="6"/>
  <c r="DO79" i="6"/>
  <c r="DP79" i="6"/>
  <c r="DQ79" i="6"/>
  <c r="DR79" i="6"/>
  <c r="DS79" i="6"/>
  <c r="DT79" i="6"/>
  <c r="DU79" i="6"/>
  <c r="DV79" i="6"/>
  <c r="DW79" i="6"/>
  <c r="DX79" i="6"/>
  <c r="DY79" i="6"/>
  <c r="DZ79" i="6"/>
  <c r="EH79" i="6"/>
  <c r="EI79" i="6"/>
  <c r="EJ79" i="6"/>
  <c r="EK79" i="6"/>
  <c r="EL79" i="6"/>
  <c r="EM79" i="6"/>
  <c r="EN79" i="6"/>
  <c r="EO79" i="6"/>
  <c r="EP79" i="6"/>
  <c r="EQ79" i="6"/>
  <c r="ER79" i="6"/>
  <c r="ES79" i="6"/>
  <c r="ET79" i="6"/>
  <c r="EU79" i="6"/>
  <c r="EV79" i="6"/>
  <c r="EW79" i="6"/>
  <c r="EX79" i="6"/>
  <c r="FF79" i="6"/>
  <c r="FG79" i="6"/>
  <c r="FH79" i="6"/>
  <c r="FI79" i="6"/>
  <c r="FJ79" i="6"/>
  <c r="FK79" i="6"/>
  <c r="FL79" i="6"/>
  <c r="FM79" i="6"/>
  <c r="FN79" i="6"/>
  <c r="FO79" i="6"/>
  <c r="FP79" i="6"/>
  <c r="FQ79" i="6"/>
  <c r="FR79" i="6"/>
  <c r="FS79" i="6"/>
  <c r="FT79" i="6"/>
  <c r="FU79" i="6"/>
  <c r="FV79" i="6"/>
  <c r="GD79" i="6"/>
  <c r="GE79" i="6"/>
  <c r="GF79" i="6"/>
  <c r="GG79" i="6"/>
  <c r="GH79" i="6"/>
  <c r="GI79" i="6"/>
  <c r="GJ79" i="6"/>
  <c r="GK79" i="6"/>
  <c r="GL79" i="6"/>
  <c r="GM79" i="6"/>
  <c r="GN79" i="6"/>
  <c r="GO79" i="6"/>
  <c r="GP79" i="6"/>
  <c r="GQ79" i="6"/>
  <c r="GR79" i="6"/>
  <c r="GS79" i="6"/>
  <c r="GT79" i="6"/>
  <c r="HB79" i="6"/>
  <c r="HC79" i="6"/>
  <c r="HD79" i="6"/>
  <c r="HE79" i="6"/>
  <c r="HF79" i="6"/>
  <c r="HG79" i="6"/>
  <c r="HH79" i="6"/>
  <c r="HI79" i="6"/>
  <c r="HJ79" i="6"/>
  <c r="HK79" i="6"/>
  <c r="HL79" i="6"/>
  <c r="HM79" i="6"/>
  <c r="HN79" i="6"/>
  <c r="HO79" i="6"/>
  <c r="HP79" i="6"/>
  <c r="HQ79" i="6"/>
  <c r="HR79" i="6"/>
  <c r="HZ79" i="6"/>
  <c r="IA79" i="6"/>
  <c r="IB79" i="6"/>
  <c r="IC79" i="6"/>
  <c r="ID79" i="6"/>
  <c r="IE79" i="6"/>
  <c r="IF79" i="6"/>
  <c r="IG79" i="6"/>
  <c r="IH79" i="6"/>
  <c r="II79" i="6"/>
  <c r="O80" i="6"/>
  <c r="R80" i="6"/>
  <c r="S80" i="6"/>
  <c r="T80" i="6" a="1"/>
  <c r="T80" i="6"/>
  <c r="U80" i="6" a="1"/>
  <c r="U80" i="6"/>
  <c r="V80" i="6" a="1"/>
  <c r="V80" i="6"/>
  <c r="W80" i="6" a="1"/>
  <c r="W80" i="6"/>
  <c r="X80" i="6" a="1"/>
  <c r="X80" i="6"/>
  <c r="Y80" i="6" a="1"/>
  <c r="Y80" i="6"/>
  <c r="AB80" i="6"/>
  <c r="AC80" i="6" a="1"/>
  <c r="AC80" i="6"/>
  <c r="AE80" i="6"/>
  <c r="AF80" i="6"/>
  <c r="AH80" i="6" a="1"/>
  <c r="AH80" i="6"/>
  <c r="AI80" i="6" a="1"/>
  <c r="AI80" i="6"/>
  <c r="AJ80" i="6"/>
  <c r="AL80" i="6" a="1"/>
  <c r="AL80" i="6"/>
  <c r="AM80" i="6" a="1"/>
  <c r="AM80" i="6"/>
  <c r="AS80" i="6" a="1"/>
  <c r="AS80" i="6"/>
  <c r="AT80" i="6" a="1"/>
  <c r="AT80" i="6"/>
  <c r="BG80" i="6"/>
  <c r="BH80" i="6"/>
  <c r="BQ80" i="6"/>
  <c r="BR80" i="6"/>
  <c r="BS80" i="6"/>
  <c r="BT80" i="6"/>
  <c r="BU80" i="6"/>
  <c r="BV80" i="6"/>
  <c r="BW80" i="6"/>
  <c r="BX80" i="6"/>
  <c r="BY80" i="6"/>
  <c r="BZ80" i="6"/>
  <c r="CA80" i="6"/>
  <c r="CB80" i="6"/>
  <c r="CC80" i="6"/>
  <c r="CD80" i="6"/>
  <c r="CL80" i="6"/>
  <c r="CM80" i="6"/>
  <c r="CN80" i="6"/>
  <c r="CO80" i="6"/>
  <c r="CP80" i="6"/>
  <c r="CQ80" i="6"/>
  <c r="CR80" i="6"/>
  <c r="CS80" i="6"/>
  <c r="CT80" i="6"/>
  <c r="CU80" i="6"/>
  <c r="CV80" i="6"/>
  <c r="CW80" i="6"/>
  <c r="CX80" i="6"/>
  <c r="CY80" i="6"/>
  <c r="CZ80" i="6"/>
  <c r="DA80" i="6"/>
  <c r="DB80" i="6"/>
  <c r="DJ80" i="6"/>
  <c r="DK80" i="6"/>
  <c r="DL80" i="6"/>
  <c r="DM80" i="6"/>
  <c r="DN80" i="6"/>
  <c r="DO80" i="6"/>
  <c r="DP80" i="6"/>
  <c r="DQ80" i="6"/>
  <c r="DR80" i="6"/>
  <c r="DS80" i="6"/>
  <c r="DT80" i="6"/>
  <c r="DU80" i="6"/>
  <c r="DV80" i="6"/>
  <c r="DW80" i="6"/>
  <c r="DX80" i="6"/>
  <c r="DY80" i="6"/>
  <c r="DZ80" i="6"/>
  <c r="EH80" i="6"/>
  <c r="EI80" i="6"/>
  <c r="EJ80" i="6"/>
  <c r="EK80" i="6"/>
  <c r="EL80" i="6"/>
  <c r="EM80" i="6"/>
  <c r="EN80" i="6"/>
  <c r="EO80" i="6"/>
  <c r="EP80" i="6"/>
  <c r="EQ80" i="6"/>
  <c r="ER80" i="6"/>
  <c r="ES80" i="6"/>
  <c r="ET80" i="6"/>
  <c r="EU80" i="6"/>
  <c r="EV80" i="6"/>
  <c r="EW80" i="6"/>
  <c r="EX80" i="6"/>
  <c r="FF80" i="6"/>
  <c r="FG80" i="6"/>
  <c r="FH80" i="6"/>
  <c r="FI80" i="6"/>
  <c r="FJ80" i="6"/>
  <c r="FK80" i="6"/>
  <c r="FL80" i="6"/>
  <c r="FM80" i="6"/>
  <c r="FN80" i="6"/>
  <c r="FO80" i="6"/>
  <c r="FP80" i="6"/>
  <c r="FQ80" i="6"/>
  <c r="FR80" i="6"/>
  <c r="FS80" i="6"/>
  <c r="FT80" i="6"/>
  <c r="FU80" i="6"/>
  <c r="FV80" i="6"/>
  <c r="GD80" i="6"/>
  <c r="GE80" i="6"/>
  <c r="GF80" i="6"/>
  <c r="GG80" i="6"/>
  <c r="GH80" i="6"/>
  <c r="GI80" i="6"/>
  <c r="GJ80" i="6"/>
  <c r="GK80" i="6"/>
  <c r="GL80" i="6"/>
  <c r="GM80" i="6"/>
  <c r="GN80" i="6"/>
  <c r="GO80" i="6"/>
  <c r="GP80" i="6"/>
  <c r="GQ80" i="6"/>
  <c r="GR80" i="6"/>
  <c r="GS80" i="6"/>
  <c r="GT80" i="6"/>
  <c r="HB80" i="6"/>
  <c r="HC80" i="6"/>
  <c r="HD80" i="6"/>
  <c r="HE80" i="6"/>
  <c r="HF80" i="6"/>
  <c r="HG80" i="6"/>
  <c r="HH80" i="6"/>
  <c r="HI80" i="6"/>
  <c r="HJ80" i="6"/>
  <c r="HK80" i="6"/>
  <c r="HL80" i="6"/>
  <c r="HM80" i="6"/>
  <c r="HN80" i="6"/>
  <c r="HO80" i="6"/>
  <c r="HP80" i="6"/>
  <c r="HQ80" i="6"/>
  <c r="HR80" i="6"/>
  <c r="HZ80" i="6"/>
  <c r="IA80" i="6"/>
  <c r="IB80" i="6"/>
  <c r="IC80" i="6"/>
  <c r="ID80" i="6"/>
  <c r="IE80" i="6"/>
  <c r="IF80" i="6"/>
  <c r="IG80" i="6"/>
  <c r="IH80" i="6"/>
  <c r="II80" i="6"/>
  <c r="O81" i="6"/>
  <c r="R81" i="6"/>
  <c r="S81" i="6"/>
  <c r="T81" i="6" a="1"/>
  <c r="T81" i="6"/>
  <c r="U81" i="6" a="1"/>
  <c r="U81" i="6"/>
  <c r="V81" i="6" a="1"/>
  <c r="V81" i="6"/>
  <c r="W81" i="6" a="1"/>
  <c r="W81" i="6"/>
  <c r="X81" i="6" a="1"/>
  <c r="X81" i="6"/>
  <c r="Y81" i="6" a="1"/>
  <c r="Y81" i="6"/>
  <c r="AB81" i="6"/>
  <c r="AC81" i="6" a="1"/>
  <c r="AC81" i="6"/>
  <c r="AE81" i="6"/>
  <c r="AF81" i="6"/>
  <c r="AH81" i="6" a="1"/>
  <c r="AH81" i="6"/>
  <c r="AI81" i="6" a="1"/>
  <c r="AI81" i="6"/>
  <c r="AJ81" i="6"/>
  <c r="AL81" i="6" a="1"/>
  <c r="AL81" i="6"/>
  <c r="AM81" i="6" a="1"/>
  <c r="AM81" i="6"/>
  <c r="AS81" i="6" a="1"/>
  <c r="AS81" i="6"/>
  <c r="AT81" i="6" a="1"/>
  <c r="AT81" i="6"/>
  <c r="BG81" i="6"/>
  <c r="BH81" i="6"/>
  <c r="BQ81" i="6"/>
  <c r="BR81" i="6"/>
  <c r="BS81" i="6"/>
  <c r="BT81" i="6"/>
  <c r="BU81" i="6"/>
  <c r="BV81" i="6"/>
  <c r="BW81" i="6"/>
  <c r="BX81" i="6"/>
  <c r="BY81" i="6"/>
  <c r="BZ81" i="6"/>
  <c r="CA81" i="6"/>
  <c r="CB81" i="6"/>
  <c r="CC81" i="6"/>
  <c r="CD81" i="6"/>
  <c r="CL81" i="6"/>
  <c r="CM81" i="6"/>
  <c r="CN81" i="6"/>
  <c r="CO81" i="6"/>
  <c r="CP81" i="6"/>
  <c r="CQ81" i="6"/>
  <c r="CR81" i="6"/>
  <c r="CS81" i="6"/>
  <c r="CT81" i="6"/>
  <c r="CU81" i="6"/>
  <c r="CV81" i="6"/>
  <c r="CW81" i="6"/>
  <c r="CX81" i="6"/>
  <c r="CY81" i="6"/>
  <c r="CZ81" i="6"/>
  <c r="DA81" i="6"/>
  <c r="DB81" i="6"/>
  <c r="DJ81" i="6"/>
  <c r="DK81" i="6"/>
  <c r="DL81" i="6"/>
  <c r="DM81" i="6"/>
  <c r="DN81" i="6"/>
  <c r="DO81" i="6"/>
  <c r="DP81" i="6"/>
  <c r="DQ81" i="6"/>
  <c r="DR81" i="6"/>
  <c r="DS81" i="6"/>
  <c r="DT81" i="6"/>
  <c r="DU81" i="6"/>
  <c r="DV81" i="6"/>
  <c r="DW81" i="6"/>
  <c r="DX81" i="6"/>
  <c r="DY81" i="6"/>
  <c r="DZ81" i="6"/>
  <c r="EH81" i="6"/>
  <c r="EI81" i="6"/>
  <c r="EJ81" i="6"/>
  <c r="EK81" i="6"/>
  <c r="EL81" i="6"/>
  <c r="EM81" i="6"/>
  <c r="EN81" i="6"/>
  <c r="EO81" i="6"/>
  <c r="EP81" i="6"/>
  <c r="EQ81" i="6"/>
  <c r="ER81" i="6"/>
  <c r="ES81" i="6"/>
  <c r="ET81" i="6"/>
  <c r="EU81" i="6"/>
  <c r="EV81" i="6"/>
  <c r="EW81" i="6"/>
  <c r="EX81" i="6"/>
  <c r="FF81" i="6"/>
  <c r="FG81" i="6"/>
  <c r="FH81" i="6"/>
  <c r="FI81" i="6"/>
  <c r="FJ81" i="6"/>
  <c r="FK81" i="6"/>
  <c r="FL81" i="6"/>
  <c r="FM81" i="6"/>
  <c r="FN81" i="6"/>
  <c r="FO81" i="6"/>
  <c r="FP81" i="6"/>
  <c r="FQ81" i="6"/>
  <c r="FR81" i="6"/>
  <c r="FS81" i="6"/>
  <c r="FT81" i="6"/>
  <c r="FU81" i="6"/>
  <c r="FV81" i="6"/>
  <c r="GD81" i="6"/>
  <c r="GE81" i="6"/>
  <c r="GF81" i="6"/>
  <c r="GG81" i="6"/>
  <c r="GH81" i="6"/>
  <c r="GI81" i="6"/>
  <c r="GJ81" i="6"/>
  <c r="GK81" i="6"/>
  <c r="GL81" i="6"/>
  <c r="GM81" i="6"/>
  <c r="GN81" i="6"/>
  <c r="GO81" i="6"/>
  <c r="GP81" i="6"/>
  <c r="GQ81" i="6"/>
  <c r="GR81" i="6"/>
  <c r="GS81" i="6"/>
  <c r="GT81" i="6"/>
  <c r="HB81" i="6"/>
  <c r="HC81" i="6"/>
  <c r="HD81" i="6"/>
  <c r="HE81" i="6"/>
  <c r="HF81" i="6"/>
  <c r="HG81" i="6"/>
  <c r="HH81" i="6"/>
  <c r="HI81" i="6"/>
  <c r="HJ81" i="6"/>
  <c r="HK81" i="6"/>
  <c r="HL81" i="6"/>
  <c r="HM81" i="6"/>
  <c r="HN81" i="6"/>
  <c r="HO81" i="6"/>
  <c r="HP81" i="6"/>
  <c r="HQ81" i="6"/>
  <c r="HR81" i="6"/>
  <c r="HZ81" i="6"/>
  <c r="IA81" i="6"/>
  <c r="IB81" i="6"/>
  <c r="IC81" i="6"/>
  <c r="ID81" i="6"/>
  <c r="IE81" i="6"/>
  <c r="IF81" i="6"/>
  <c r="IG81" i="6"/>
  <c r="IH81" i="6"/>
  <c r="II81" i="6"/>
  <c r="O82" i="6"/>
  <c r="R82" i="6"/>
  <c r="S82" i="6"/>
  <c r="T82" i="6" a="1"/>
  <c r="T82" i="6"/>
  <c r="U82" i="6" a="1"/>
  <c r="U82" i="6"/>
  <c r="V82" i="6" a="1"/>
  <c r="V82" i="6"/>
  <c r="W82" i="6" a="1"/>
  <c r="W82" i="6"/>
  <c r="X82" i="6" a="1"/>
  <c r="X82" i="6"/>
  <c r="Y82" i="6" a="1"/>
  <c r="Y82" i="6"/>
  <c r="AB82" i="6"/>
  <c r="AC82" i="6" a="1"/>
  <c r="AC82" i="6"/>
  <c r="AE82" i="6"/>
  <c r="AF82" i="6"/>
  <c r="BA82" i="6"/>
  <c r="BB82" i="6"/>
  <c r="BC82" i="6"/>
  <c r="BD82" i="6"/>
  <c r="BG82" i="6"/>
  <c r="BH82" i="6"/>
  <c r="BQ82" i="6"/>
  <c r="BR82" i="6"/>
  <c r="BS82" i="6"/>
  <c r="BT82" i="6"/>
  <c r="BU82" i="6"/>
  <c r="BV82" i="6"/>
  <c r="BW82" i="6"/>
  <c r="BX82" i="6"/>
  <c r="BY82" i="6"/>
  <c r="BZ82" i="6"/>
  <c r="CA82" i="6"/>
  <c r="CB82" i="6"/>
  <c r="CC82" i="6"/>
  <c r="CD82" i="6"/>
  <c r="CL82" i="6"/>
  <c r="CM82" i="6"/>
  <c r="CN82" i="6"/>
  <c r="CO82" i="6"/>
  <c r="CP82" i="6"/>
  <c r="CQ82" i="6"/>
  <c r="CR82" i="6"/>
  <c r="CS82" i="6"/>
  <c r="CT82" i="6"/>
  <c r="CU82" i="6"/>
  <c r="CV82" i="6"/>
  <c r="CW82" i="6"/>
  <c r="CX82" i="6"/>
  <c r="CY82" i="6"/>
  <c r="CZ82" i="6"/>
  <c r="DA82" i="6"/>
  <c r="DB82" i="6"/>
  <c r="DJ82" i="6"/>
  <c r="DK82" i="6"/>
  <c r="DL82" i="6"/>
  <c r="DM82" i="6"/>
  <c r="DN82" i="6"/>
  <c r="DO82" i="6"/>
  <c r="DP82" i="6"/>
  <c r="DQ82" i="6"/>
  <c r="DR82" i="6"/>
  <c r="DS82" i="6"/>
  <c r="DT82" i="6"/>
  <c r="DU82" i="6"/>
  <c r="DV82" i="6"/>
  <c r="DW82" i="6"/>
  <c r="DX82" i="6"/>
  <c r="DY82" i="6"/>
  <c r="DZ82" i="6"/>
  <c r="EH82" i="6"/>
  <c r="EI82" i="6"/>
  <c r="EJ82" i="6"/>
  <c r="EK82" i="6"/>
  <c r="EL82" i="6"/>
  <c r="EM82" i="6"/>
  <c r="EN82" i="6"/>
  <c r="EO82" i="6"/>
  <c r="EP82" i="6"/>
  <c r="EQ82" i="6"/>
  <c r="ER82" i="6"/>
  <c r="ES82" i="6"/>
  <c r="ET82" i="6"/>
  <c r="EU82" i="6"/>
  <c r="EV82" i="6"/>
  <c r="EW82" i="6"/>
  <c r="EX82" i="6"/>
  <c r="FF82" i="6"/>
  <c r="FG82" i="6"/>
  <c r="FH82" i="6"/>
  <c r="FI82" i="6"/>
  <c r="FJ82" i="6"/>
  <c r="FK82" i="6"/>
  <c r="FL82" i="6"/>
  <c r="FM82" i="6"/>
  <c r="FN82" i="6"/>
  <c r="FO82" i="6"/>
  <c r="FP82" i="6"/>
  <c r="FQ82" i="6"/>
  <c r="FR82" i="6"/>
  <c r="FS82" i="6"/>
  <c r="FT82" i="6"/>
  <c r="FU82" i="6"/>
  <c r="FV82" i="6"/>
  <c r="GD82" i="6"/>
  <c r="GE82" i="6"/>
  <c r="GF82" i="6"/>
  <c r="GG82" i="6"/>
  <c r="GH82" i="6"/>
  <c r="GI82" i="6"/>
  <c r="GJ82" i="6"/>
  <c r="GK82" i="6"/>
  <c r="GL82" i="6"/>
  <c r="GM82" i="6"/>
  <c r="GN82" i="6"/>
  <c r="GO82" i="6"/>
  <c r="GP82" i="6"/>
  <c r="GQ82" i="6"/>
  <c r="GR82" i="6"/>
  <c r="GS82" i="6"/>
  <c r="GT82" i="6"/>
  <c r="HB82" i="6"/>
  <c r="HC82" i="6"/>
  <c r="HD82" i="6"/>
  <c r="HE82" i="6"/>
  <c r="HF82" i="6"/>
  <c r="HG82" i="6"/>
  <c r="HH82" i="6"/>
  <c r="HI82" i="6"/>
  <c r="HJ82" i="6"/>
  <c r="HK82" i="6"/>
  <c r="HL82" i="6"/>
  <c r="HM82" i="6"/>
  <c r="HN82" i="6"/>
  <c r="HO82" i="6"/>
  <c r="HP82" i="6"/>
  <c r="HQ82" i="6"/>
  <c r="HR82" i="6"/>
  <c r="HZ82" i="6"/>
  <c r="IA82" i="6"/>
  <c r="IB82" i="6"/>
  <c r="IC82" i="6"/>
  <c r="ID82" i="6"/>
  <c r="IE82" i="6"/>
  <c r="IF82" i="6"/>
  <c r="IG82" i="6"/>
  <c r="IH82" i="6"/>
  <c r="II82" i="6"/>
  <c r="O83" i="6"/>
  <c r="R83" i="6"/>
  <c r="S83" i="6"/>
  <c r="T83" i="6" a="1"/>
  <c r="T83" i="6"/>
  <c r="U83" i="6" a="1"/>
  <c r="U83" i="6"/>
  <c r="V83" i="6" a="1"/>
  <c r="V83" i="6"/>
  <c r="W83" i="6" a="1"/>
  <c r="W83" i="6"/>
  <c r="X83" i="6" a="1"/>
  <c r="X83" i="6"/>
  <c r="Y83" i="6" a="1"/>
  <c r="Y83" i="6"/>
  <c r="AB83" i="6"/>
  <c r="AC83" i="6" a="1"/>
  <c r="AC83" i="6"/>
  <c r="AE83" i="6"/>
  <c r="AF83" i="6"/>
  <c r="AH83" i="6" a="1"/>
  <c r="AH83" i="6"/>
  <c r="AI83" i="6" a="1"/>
  <c r="AI83" i="6"/>
  <c r="AJ83" i="6"/>
  <c r="AL83" i="6" a="1"/>
  <c r="AL83" i="6"/>
  <c r="AM83" i="6" a="1"/>
  <c r="AM83" i="6"/>
  <c r="AS83" i="6" a="1"/>
  <c r="AS83" i="6"/>
  <c r="AT83" i="6" a="1"/>
  <c r="AT83" i="6"/>
  <c r="BG83" i="6"/>
  <c r="BH83" i="6"/>
  <c r="BQ83" i="6"/>
  <c r="BR83" i="6"/>
  <c r="BS83" i="6"/>
  <c r="BT83" i="6"/>
  <c r="BU83" i="6"/>
  <c r="BV83" i="6"/>
  <c r="BW83" i="6"/>
  <c r="BX83" i="6"/>
  <c r="BY83" i="6"/>
  <c r="BZ83" i="6"/>
  <c r="CA83" i="6"/>
  <c r="CB83" i="6"/>
  <c r="CC83" i="6"/>
  <c r="CD83" i="6"/>
  <c r="CL83" i="6"/>
  <c r="CM83" i="6"/>
  <c r="CN83" i="6"/>
  <c r="CO83" i="6"/>
  <c r="CP83" i="6"/>
  <c r="CQ83" i="6"/>
  <c r="CR83" i="6"/>
  <c r="CS83" i="6"/>
  <c r="CT83" i="6"/>
  <c r="CU83" i="6"/>
  <c r="CV83" i="6"/>
  <c r="CW83" i="6"/>
  <c r="CX83" i="6"/>
  <c r="CY83" i="6"/>
  <c r="CZ83" i="6"/>
  <c r="DA83" i="6"/>
  <c r="DB83" i="6"/>
  <c r="DJ83" i="6"/>
  <c r="DK83" i="6"/>
  <c r="DL83" i="6"/>
  <c r="DM83" i="6"/>
  <c r="DN83" i="6"/>
  <c r="DO83" i="6"/>
  <c r="DP83" i="6"/>
  <c r="DQ83" i="6"/>
  <c r="DR83" i="6"/>
  <c r="DS83" i="6"/>
  <c r="DT83" i="6"/>
  <c r="DU83" i="6"/>
  <c r="DV83" i="6"/>
  <c r="DW83" i="6"/>
  <c r="DX83" i="6"/>
  <c r="DY83" i="6"/>
  <c r="DZ83" i="6"/>
  <c r="EH83" i="6"/>
  <c r="EI83" i="6"/>
  <c r="EJ83" i="6"/>
  <c r="EK83" i="6"/>
  <c r="EL83" i="6"/>
  <c r="EM83" i="6"/>
  <c r="EN83" i="6"/>
  <c r="EO83" i="6"/>
  <c r="EP83" i="6"/>
  <c r="EQ83" i="6"/>
  <c r="ER83" i="6"/>
  <c r="ES83" i="6"/>
  <c r="ET83" i="6"/>
  <c r="EU83" i="6"/>
  <c r="EV83" i="6"/>
  <c r="EW83" i="6"/>
  <c r="EX83" i="6"/>
  <c r="FF83" i="6"/>
  <c r="FG83" i="6"/>
  <c r="FH83" i="6"/>
  <c r="FI83" i="6"/>
  <c r="FJ83" i="6"/>
  <c r="FK83" i="6"/>
  <c r="FL83" i="6"/>
  <c r="FM83" i="6"/>
  <c r="FN83" i="6"/>
  <c r="FO83" i="6"/>
  <c r="FP83" i="6"/>
  <c r="FQ83" i="6"/>
  <c r="FR83" i="6"/>
  <c r="FS83" i="6"/>
  <c r="FT83" i="6"/>
  <c r="FU83" i="6"/>
  <c r="FV83" i="6"/>
  <c r="GD83" i="6"/>
  <c r="GE83" i="6"/>
  <c r="GF83" i="6"/>
  <c r="GG83" i="6"/>
  <c r="GH83" i="6"/>
  <c r="GI83" i="6"/>
  <c r="GJ83" i="6"/>
  <c r="GK83" i="6"/>
  <c r="GL83" i="6"/>
  <c r="GM83" i="6"/>
  <c r="GN83" i="6"/>
  <c r="GO83" i="6"/>
  <c r="GP83" i="6"/>
  <c r="GQ83" i="6"/>
  <c r="GR83" i="6"/>
  <c r="GS83" i="6"/>
  <c r="GT83" i="6"/>
  <c r="HB83" i="6"/>
  <c r="HC83" i="6"/>
  <c r="HD83" i="6"/>
  <c r="HE83" i="6"/>
  <c r="HF83" i="6"/>
  <c r="HG83" i="6"/>
  <c r="HH83" i="6"/>
  <c r="HI83" i="6"/>
  <c r="HJ83" i="6"/>
  <c r="HK83" i="6"/>
  <c r="HL83" i="6"/>
  <c r="HM83" i="6"/>
  <c r="HN83" i="6"/>
  <c r="HO83" i="6"/>
  <c r="HP83" i="6"/>
  <c r="HQ83" i="6"/>
  <c r="HR83" i="6"/>
  <c r="HZ83" i="6"/>
  <c r="IA83" i="6"/>
  <c r="IB83" i="6"/>
  <c r="IC83" i="6"/>
  <c r="ID83" i="6"/>
  <c r="IE83" i="6"/>
  <c r="IF83" i="6"/>
  <c r="IG83" i="6"/>
  <c r="IH83" i="6"/>
  <c r="II83" i="6"/>
  <c r="O84" i="6"/>
  <c r="R84" i="6"/>
  <c r="S84" i="6"/>
  <c r="T84" i="6" a="1"/>
  <c r="T84" i="6"/>
  <c r="U84" i="6" a="1"/>
  <c r="U84" i="6"/>
  <c r="V84" i="6" a="1"/>
  <c r="V84" i="6"/>
  <c r="W84" i="6" a="1"/>
  <c r="W84" i="6"/>
  <c r="X84" i="6" a="1"/>
  <c r="X84" i="6"/>
  <c r="Y84" i="6" a="1"/>
  <c r="Y84" i="6"/>
  <c r="AB84" i="6"/>
  <c r="AC84" i="6" a="1"/>
  <c r="AC84" i="6"/>
  <c r="AE84" i="6"/>
  <c r="AF84" i="6"/>
  <c r="AH84" i="6" a="1"/>
  <c r="AH84" i="6"/>
  <c r="AI84" i="6" a="1"/>
  <c r="AI84" i="6"/>
  <c r="AJ84" i="6"/>
  <c r="AL84" i="6" a="1"/>
  <c r="AL84" i="6"/>
  <c r="AM84" i="6" a="1"/>
  <c r="AM84" i="6"/>
  <c r="AS84" i="6" a="1"/>
  <c r="AS84" i="6"/>
  <c r="AT84" i="6" a="1"/>
  <c r="AT84" i="6"/>
  <c r="BG84" i="6"/>
  <c r="BH84" i="6"/>
  <c r="BQ84" i="6"/>
  <c r="BR84" i="6"/>
  <c r="BS84" i="6"/>
  <c r="BT84" i="6"/>
  <c r="BU84" i="6"/>
  <c r="BV84" i="6"/>
  <c r="BW84" i="6"/>
  <c r="BX84" i="6"/>
  <c r="BY84" i="6"/>
  <c r="BZ84" i="6"/>
  <c r="CA84" i="6"/>
  <c r="CB84" i="6"/>
  <c r="CC84" i="6"/>
  <c r="CD84" i="6"/>
  <c r="CL84" i="6"/>
  <c r="CM84" i="6"/>
  <c r="CN84" i="6"/>
  <c r="CO84" i="6"/>
  <c r="CP84" i="6"/>
  <c r="CQ84" i="6"/>
  <c r="CR84" i="6"/>
  <c r="CS84" i="6"/>
  <c r="CT84" i="6"/>
  <c r="CU84" i="6"/>
  <c r="CV84" i="6"/>
  <c r="CW84" i="6"/>
  <c r="CX84" i="6"/>
  <c r="CY84" i="6"/>
  <c r="CZ84" i="6"/>
  <c r="DA84" i="6"/>
  <c r="DB84" i="6"/>
  <c r="DJ84" i="6"/>
  <c r="DK84" i="6"/>
  <c r="DL84" i="6"/>
  <c r="DM84" i="6"/>
  <c r="DN84" i="6"/>
  <c r="DO84" i="6"/>
  <c r="DP84" i="6"/>
  <c r="DQ84" i="6"/>
  <c r="DR84" i="6"/>
  <c r="DS84" i="6"/>
  <c r="DT84" i="6"/>
  <c r="DU84" i="6"/>
  <c r="DV84" i="6"/>
  <c r="DW84" i="6"/>
  <c r="DX84" i="6"/>
  <c r="DY84" i="6"/>
  <c r="DZ84" i="6"/>
  <c r="EH84" i="6"/>
  <c r="EI84" i="6"/>
  <c r="EJ84" i="6"/>
  <c r="EK84" i="6"/>
  <c r="EL84" i="6"/>
  <c r="EM84" i="6"/>
  <c r="EN84" i="6"/>
  <c r="EO84" i="6"/>
  <c r="EP84" i="6"/>
  <c r="EQ84" i="6"/>
  <c r="ER84" i="6"/>
  <c r="ES84" i="6"/>
  <c r="ET84" i="6"/>
  <c r="EU84" i="6"/>
  <c r="EV84" i="6"/>
  <c r="EW84" i="6"/>
  <c r="EX84" i="6"/>
  <c r="FF84" i="6"/>
  <c r="FG84" i="6"/>
  <c r="FH84" i="6"/>
  <c r="FI84" i="6"/>
  <c r="FJ84" i="6"/>
  <c r="FK84" i="6"/>
  <c r="FL84" i="6"/>
  <c r="FM84" i="6"/>
  <c r="FN84" i="6"/>
  <c r="FO84" i="6"/>
  <c r="FP84" i="6"/>
  <c r="FQ84" i="6"/>
  <c r="FR84" i="6"/>
  <c r="FS84" i="6"/>
  <c r="FT84" i="6"/>
  <c r="FU84" i="6"/>
  <c r="FV84" i="6"/>
  <c r="GD84" i="6"/>
  <c r="GE84" i="6"/>
  <c r="GF84" i="6"/>
  <c r="GG84" i="6"/>
  <c r="GH84" i="6"/>
  <c r="GI84" i="6"/>
  <c r="GJ84" i="6"/>
  <c r="GK84" i="6"/>
  <c r="GL84" i="6"/>
  <c r="GM84" i="6"/>
  <c r="GN84" i="6"/>
  <c r="GO84" i="6"/>
  <c r="GP84" i="6"/>
  <c r="GQ84" i="6"/>
  <c r="GR84" i="6"/>
  <c r="GS84" i="6"/>
  <c r="GT84" i="6"/>
  <c r="HB84" i="6"/>
  <c r="HC84" i="6"/>
  <c r="HD84" i="6"/>
  <c r="HE84" i="6"/>
  <c r="HF84" i="6"/>
  <c r="HG84" i="6"/>
  <c r="HH84" i="6"/>
  <c r="HI84" i="6"/>
  <c r="HJ84" i="6"/>
  <c r="HK84" i="6"/>
  <c r="HL84" i="6"/>
  <c r="HM84" i="6"/>
  <c r="HN84" i="6"/>
  <c r="HO84" i="6"/>
  <c r="HP84" i="6"/>
  <c r="HQ84" i="6"/>
  <c r="HR84" i="6"/>
  <c r="HZ84" i="6"/>
  <c r="IA84" i="6"/>
  <c r="IB84" i="6"/>
  <c r="IC84" i="6"/>
  <c r="ID84" i="6"/>
  <c r="IE84" i="6"/>
  <c r="IF84" i="6"/>
  <c r="IG84" i="6"/>
  <c r="IH84" i="6"/>
  <c r="II84" i="6"/>
  <c r="O85" i="6"/>
  <c r="R85" i="6"/>
  <c r="S85" i="6"/>
  <c r="T85" i="6" a="1"/>
  <c r="T85" i="6"/>
  <c r="U85" i="6" a="1"/>
  <c r="U85" i="6"/>
  <c r="V85" i="6" a="1"/>
  <c r="V85" i="6"/>
  <c r="W85" i="6" a="1"/>
  <c r="W85" i="6"/>
  <c r="X85" i="6" a="1"/>
  <c r="X85" i="6"/>
  <c r="Y85" i="6" a="1"/>
  <c r="Y85" i="6"/>
  <c r="AB85" i="6"/>
  <c r="AC85" i="6" a="1"/>
  <c r="AC85" i="6"/>
  <c r="AE85" i="6"/>
  <c r="AF85" i="6"/>
  <c r="BA85" i="6"/>
  <c r="BB85" i="6"/>
  <c r="BC85" i="6"/>
  <c r="BD85" i="6"/>
  <c r="BG85" i="6"/>
  <c r="BH85" i="6"/>
  <c r="BQ85" i="6"/>
  <c r="BR85" i="6"/>
  <c r="BS85" i="6"/>
  <c r="BT85" i="6"/>
  <c r="BU85" i="6"/>
  <c r="BV85" i="6"/>
  <c r="BW85" i="6"/>
  <c r="BX85" i="6"/>
  <c r="BY85" i="6"/>
  <c r="BZ85" i="6"/>
  <c r="CA85" i="6"/>
  <c r="CB85" i="6"/>
  <c r="CC85" i="6"/>
  <c r="CD85" i="6"/>
  <c r="CL85" i="6"/>
  <c r="CM85" i="6"/>
  <c r="CN85" i="6"/>
  <c r="CO85" i="6"/>
  <c r="CP85" i="6"/>
  <c r="CQ85" i="6"/>
  <c r="CR85" i="6"/>
  <c r="CS85" i="6"/>
  <c r="CT85" i="6"/>
  <c r="CU85" i="6"/>
  <c r="CV85" i="6"/>
  <c r="CW85" i="6"/>
  <c r="CX85" i="6"/>
  <c r="CY85" i="6"/>
  <c r="CZ85" i="6"/>
  <c r="DA85" i="6"/>
  <c r="DB85" i="6"/>
  <c r="DJ85" i="6"/>
  <c r="DK85" i="6"/>
  <c r="DL85" i="6"/>
  <c r="DM85" i="6"/>
  <c r="DN85" i="6"/>
  <c r="DO85" i="6"/>
  <c r="DP85" i="6"/>
  <c r="DQ85" i="6"/>
  <c r="DR85" i="6"/>
  <c r="DS85" i="6"/>
  <c r="DT85" i="6"/>
  <c r="DU85" i="6"/>
  <c r="DV85" i="6"/>
  <c r="DW85" i="6"/>
  <c r="DX85" i="6"/>
  <c r="DY85" i="6"/>
  <c r="DZ85" i="6"/>
  <c r="EH85" i="6"/>
  <c r="EI85" i="6"/>
  <c r="EJ85" i="6"/>
  <c r="EK85" i="6"/>
  <c r="EL85" i="6"/>
  <c r="EM85" i="6"/>
  <c r="EN85" i="6"/>
  <c r="EO85" i="6"/>
  <c r="EP85" i="6"/>
  <c r="EQ85" i="6"/>
  <c r="ER85" i="6"/>
  <c r="ES85" i="6"/>
  <c r="ET85" i="6"/>
  <c r="EU85" i="6"/>
  <c r="EV85" i="6"/>
  <c r="EW85" i="6"/>
  <c r="EX85" i="6"/>
  <c r="FF85" i="6"/>
  <c r="FG85" i="6"/>
  <c r="FH85" i="6"/>
  <c r="FI85" i="6"/>
  <c r="FJ85" i="6"/>
  <c r="FK85" i="6"/>
  <c r="FL85" i="6"/>
  <c r="FM85" i="6"/>
  <c r="FN85" i="6"/>
  <c r="FO85" i="6"/>
  <c r="FP85" i="6"/>
  <c r="FQ85" i="6"/>
  <c r="FR85" i="6"/>
  <c r="FS85" i="6"/>
  <c r="FT85" i="6"/>
  <c r="FU85" i="6"/>
  <c r="FV85" i="6"/>
  <c r="GD85" i="6"/>
  <c r="GE85" i="6"/>
  <c r="GF85" i="6"/>
  <c r="GG85" i="6"/>
  <c r="GH85" i="6"/>
  <c r="GI85" i="6"/>
  <c r="GJ85" i="6"/>
  <c r="GK85" i="6"/>
  <c r="GL85" i="6"/>
  <c r="GM85" i="6"/>
  <c r="GN85" i="6"/>
  <c r="GO85" i="6"/>
  <c r="GP85" i="6"/>
  <c r="GQ85" i="6"/>
  <c r="GR85" i="6"/>
  <c r="GS85" i="6"/>
  <c r="GT85" i="6"/>
  <c r="HB85" i="6"/>
  <c r="HC85" i="6"/>
  <c r="HD85" i="6"/>
  <c r="HE85" i="6"/>
  <c r="HF85" i="6"/>
  <c r="HG85" i="6"/>
  <c r="HH85" i="6"/>
  <c r="HI85" i="6"/>
  <c r="HJ85" i="6"/>
  <c r="HK85" i="6"/>
  <c r="HL85" i="6"/>
  <c r="HM85" i="6"/>
  <c r="HN85" i="6"/>
  <c r="HO85" i="6"/>
  <c r="HP85" i="6"/>
  <c r="HQ85" i="6"/>
  <c r="HR85" i="6"/>
  <c r="HZ85" i="6"/>
  <c r="IA85" i="6"/>
  <c r="IB85" i="6"/>
  <c r="IC85" i="6"/>
  <c r="ID85" i="6"/>
  <c r="IE85" i="6"/>
  <c r="IF85" i="6"/>
  <c r="IG85" i="6"/>
  <c r="IH85" i="6"/>
  <c r="II85" i="6"/>
  <c r="O86" i="6"/>
  <c r="R86" i="6"/>
  <c r="S86" i="6"/>
  <c r="T86" i="6" a="1"/>
  <c r="T86" i="6"/>
  <c r="U86" i="6" a="1"/>
  <c r="U86" i="6"/>
  <c r="V86" i="6" a="1"/>
  <c r="V86" i="6"/>
  <c r="W86" i="6" a="1"/>
  <c r="W86" i="6"/>
  <c r="X86" i="6" a="1"/>
  <c r="X86" i="6"/>
  <c r="Y86" i="6" a="1"/>
  <c r="Y86" i="6"/>
  <c r="AB86" i="6"/>
  <c r="AC86" i="6" a="1"/>
  <c r="AC86" i="6"/>
  <c r="AE86" i="6"/>
  <c r="AF86" i="6"/>
  <c r="AH86" i="6" a="1"/>
  <c r="AH86" i="6"/>
  <c r="AI86" i="6" a="1"/>
  <c r="AI86" i="6"/>
  <c r="AJ86" i="6"/>
  <c r="AK86" i="6" a="1"/>
  <c r="AK86" i="6"/>
  <c r="AL86" i="6" a="1"/>
  <c r="AL86" i="6"/>
  <c r="AM86" i="6" a="1"/>
  <c r="AM86" i="6"/>
  <c r="AN86" i="6"/>
  <c r="AO86" i="6"/>
  <c r="AP86" i="6"/>
  <c r="AR86" i="6" a="1"/>
  <c r="AR86" i="6"/>
  <c r="AS86" i="6" a="1"/>
  <c r="AS86" i="6"/>
  <c r="AT86" i="6" a="1"/>
  <c r="AT86" i="6"/>
  <c r="AU86" i="6"/>
  <c r="AV86" i="6"/>
  <c r="AW86" i="6"/>
  <c r="BG86" i="6"/>
  <c r="BH86" i="6"/>
  <c r="BQ86" i="6"/>
  <c r="BR86" i="6"/>
  <c r="BS86" i="6"/>
  <c r="BT86" i="6"/>
  <c r="BU86" i="6"/>
  <c r="BV86" i="6"/>
  <c r="BW86" i="6"/>
  <c r="BX86" i="6"/>
  <c r="BY86" i="6"/>
  <c r="BZ86" i="6"/>
  <c r="CA86" i="6"/>
  <c r="CB86" i="6"/>
  <c r="CC86" i="6"/>
  <c r="CD86" i="6"/>
  <c r="CL86" i="6"/>
  <c r="CM86" i="6"/>
  <c r="CN86" i="6"/>
  <c r="CO86" i="6"/>
  <c r="CP86" i="6"/>
  <c r="CQ86" i="6"/>
  <c r="CR86" i="6"/>
  <c r="CS86" i="6"/>
  <c r="CT86" i="6"/>
  <c r="CU86" i="6"/>
  <c r="CV86" i="6"/>
  <c r="CW86" i="6"/>
  <c r="CX86" i="6"/>
  <c r="CY86" i="6"/>
  <c r="CZ86" i="6"/>
  <c r="DA86" i="6"/>
  <c r="DB86" i="6"/>
  <c r="DJ86" i="6"/>
  <c r="DK86" i="6"/>
  <c r="DL86" i="6"/>
  <c r="DM86" i="6"/>
  <c r="DN86" i="6"/>
  <c r="DO86" i="6"/>
  <c r="DP86" i="6"/>
  <c r="DQ86" i="6"/>
  <c r="DR86" i="6"/>
  <c r="DS86" i="6"/>
  <c r="DT86" i="6"/>
  <c r="DU86" i="6"/>
  <c r="DV86" i="6"/>
  <c r="DW86" i="6"/>
  <c r="DX86" i="6"/>
  <c r="DY86" i="6"/>
  <c r="DZ86" i="6"/>
  <c r="EH86" i="6"/>
  <c r="EI86" i="6"/>
  <c r="EJ86" i="6"/>
  <c r="EK86" i="6"/>
  <c r="EL86" i="6"/>
  <c r="EM86" i="6"/>
  <c r="EN86" i="6"/>
  <c r="EO86" i="6"/>
  <c r="EP86" i="6"/>
  <c r="EQ86" i="6"/>
  <c r="ER86" i="6"/>
  <c r="ES86" i="6"/>
  <c r="ET86" i="6"/>
  <c r="EU86" i="6"/>
  <c r="EV86" i="6"/>
  <c r="EW86" i="6"/>
  <c r="EX86" i="6"/>
  <c r="FF86" i="6"/>
  <c r="FG86" i="6"/>
  <c r="FH86" i="6"/>
  <c r="FI86" i="6"/>
  <c r="FJ86" i="6"/>
  <c r="FK86" i="6"/>
  <c r="FL86" i="6"/>
  <c r="FM86" i="6"/>
  <c r="FN86" i="6"/>
  <c r="FO86" i="6"/>
  <c r="FP86" i="6"/>
  <c r="FQ86" i="6"/>
  <c r="FR86" i="6"/>
  <c r="FS86" i="6"/>
  <c r="FT86" i="6"/>
  <c r="FU86" i="6"/>
  <c r="FV86" i="6"/>
  <c r="GD86" i="6"/>
  <c r="GE86" i="6"/>
  <c r="GF86" i="6"/>
  <c r="GG86" i="6"/>
  <c r="GH86" i="6"/>
  <c r="GI86" i="6"/>
  <c r="GJ86" i="6"/>
  <c r="GK86" i="6"/>
  <c r="GL86" i="6"/>
  <c r="GM86" i="6"/>
  <c r="GN86" i="6"/>
  <c r="GO86" i="6"/>
  <c r="GP86" i="6"/>
  <c r="GQ86" i="6"/>
  <c r="GR86" i="6"/>
  <c r="GS86" i="6"/>
  <c r="GT86" i="6"/>
  <c r="HB86" i="6"/>
  <c r="HC86" i="6"/>
  <c r="HD86" i="6"/>
  <c r="HE86" i="6"/>
  <c r="HF86" i="6"/>
  <c r="HG86" i="6"/>
  <c r="HH86" i="6"/>
  <c r="HI86" i="6"/>
  <c r="HJ86" i="6"/>
  <c r="HK86" i="6"/>
  <c r="HL86" i="6"/>
  <c r="HM86" i="6"/>
  <c r="HN86" i="6"/>
  <c r="HO86" i="6"/>
  <c r="HP86" i="6"/>
  <c r="HQ86" i="6"/>
  <c r="HR86" i="6"/>
  <c r="HZ86" i="6"/>
  <c r="IA86" i="6"/>
  <c r="IB86" i="6"/>
  <c r="IC86" i="6"/>
  <c r="ID86" i="6"/>
  <c r="IE86" i="6"/>
  <c r="IF86" i="6"/>
  <c r="IG86" i="6"/>
  <c r="IH86" i="6"/>
  <c r="II86" i="6"/>
  <c r="O87" i="6"/>
  <c r="R87" i="6"/>
  <c r="S87" i="6"/>
  <c r="T87" i="6" a="1"/>
  <c r="T87" i="6"/>
  <c r="U87" i="6" a="1"/>
  <c r="U87" i="6"/>
  <c r="V87" i="6" a="1"/>
  <c r="V87" i="6"/>
  <c r="W87" i="6" a="1"/>
  <c r="W87" i="6"/>
  <c r="X87" i="6" a="1"/>
  <c r="X87" i="6"/>
  <c r="Y87" i="6" a="1"/>
  <c r="Y87" i="6"/>
  <c r="AB87" i="6"/>
  <c r="AC87" i="6" a="1"/>
  <c r="AC87" i="6"/>
  <c r="AE87" i="6"/>
  <c r="AF87" i="6"/>
  <c r="AH87" i="6" a="1"/>
  <c r="AH87" i="6"/>
  <c r="AI87" i="6" a="1"/>
  <c r="AI87" i="6"/>
  <c r="AJ87" i="6"/>
  <c r="AK87" i="6" a="1"/>
  <c r="AK87" i="6"/>
  <c r="AL87" i="6" a="1"/>
  <c r="AL87" i="6"/>
  <c r="AM87" i="6" a="1"/>
  <c r="AM87" i="6"/>
  <c r="AN87" i="6"/>
  <c r="AO87" i="6"/>
  <c r="AP87" i="6"/>
  <c r="AR87" i="6" a="1"/>
  <c r="AR87" i="6"/>
  <c r="AS87" i="6" a="1"/>
  <c r="AS87" i="6"/>
  <c r="AT87" i="6" a="1"/>
  <c r="AT87" i="6"/>
  <c r="AU87" i="6"/>
  <c r="AV87" i="6"/>
  <c r="AW87" i="6"/>
  <c r="BG87" i="6"/>
  <c r="BH87" i="6"/>
  <c r="BQ87" i="6"/>
  <c r="BR87" i="6"/>
  <c r="BS87" i="6"/>
  <c r="BT87" i="6"/>
  <c r="BU87" i="6"/>
  <c r="BV87" i="6"/>
  <c r="BW87" i="6"/>
  <c r="BX87" i="6"/>
  <c r="BY87" i="6"/>
  <c r="BZ87" i="6"/>
  <c r="CA87" i="6"/>
  <c r="CB87" i="6"/>
  <c r="CC87" i="6"/>
  <c r="CD87" i="6"/>
  <c r="CL87" i="6"/>
  <c r="CM87" i="6"/>
  <c r="CN87" i="6"/>
  <c r="CO87" i="6"/>
  <c r="CP87" i="6"/>
  <c r="CQ87" i="6"/>
  <c r="CR87" i="6"/>
  <c r="CS87" i="6"/>
  <c r="CT87" i="6"/>
  <c r="CU87" i="6"/>
  <c r="CV87" i="6"/>
  <c r="CW87" i="6"/>
  <c r="CX87" i="6"/>
  <c r="CY87" i="6"/>
  <c r="CZ87" i="6"/>
  <c r="DA87" i="6"/>
  <c r="DB87" i="6"/>
  <c r="DJ87" i="6"/>
  <c r="DK87" i="6"/>
  <c r="DL87" i="6"/>
  <c r="DM87" i="6"/>
  <c r="DN87" i="6"/>
  <c r="DO87" i="6"/>
  <c r="DP87" i="6"/>
  <c r="DQ87" i="6"/>
  <c r="DR87" i="6"/>
  <c r="DS87" i="6"/>
  <c r="DT87" i="6"/>
  <c r="DU87" i="6"/>
  <c r="DV87" i="6"/>
  <c r="DW87" i="6"/>
  <c r="DX87" i="6"/>
  <c r="DY87" i="6"/>
  <c r="DZ87" i="6"/>
  <c r="EH87" i="6"/>
  <c r="EI87" i="6"/>
  <c r="EJ87" i="6"/>
  <c r="EK87" i="6"/>
  <c r="EL87" i="6"/>
  <c r="EM87" i="6"/>
  <c r="EN87" i="6"/>
  <c r="EO87" i="6"/>
  <c r="EP87" i="6"/>
  <c r="EQ87" i="6"/>
  <c r="ER87" i="6"/>
  <c r="ES87" i="6"/>
  <c r="ET87" i="6"/>
  <c r="EU87" i="6"/>
  <c r="EV87" i="6"/>
  <c r="EW87" i="6"/>
  <c r="EX87" i="6"/>
  <c r="FF87" i="6"/>
  <c r="FG87" i="6"/>
  <c r="FH87" i="6"/>
  <c r="FI87" i="6"/>
  <c r="FJ87" i="6"/>
  <c r="FK87" i="6"/>
  <c r="FL87" i="6"/>
  <c r="FM87" i="6"/>
  <c r="FN87" i="6"/>
  <c r="FO87" i="6"/>
  <c r="FP87" i="6"/>
  <c r="FQ87" i="6"/>
  <c r="FR87" i="6"/>
  <c r="FS87" i="6"/>
  <c r="FT87" i="6"/>
  <c r="FU87" i="6"/>
  <c r="FV87" i="6"/>
  <c r="GD87" i="6"/>
  <c r="GE87" i="6"/>
  <c r="GF87" i="6"/>
  <c r="GG87" i="6"/>
  <c r="GH87" i="6"/>
  <c r="GI87" i="6"/>
  <c r="GJ87" i="6"/>
  <c r="GK87" i="6"/>
  <c r="GL87" i="6"/>
  <c r="GM87" i="6"/>
  <c r="GN87" i="6"/>
  <c r="GO87" i="6"/>
  <c r="GP87" i="6"/>
  <c r="GQ87" i="6"/>
  <c r="GR87" i="6"/>
  <c r="GS87" i="6"/>
  <c r="GT87" i="6"/>
  <c r="HB87" i="6"/>
  <c r="HC87" i="6"/>
  <c r="HD87" i="6"/>
  <c r="HE87" i="6"/>
  <c r="HF87" i="6"/>
  <c r="HG87" i="6"/>
  <c r="HH87" i="6"/>
  <c r="HI87" i="6"/>
  <c r="HJ87" i="6"/>
  <c r="HK87" i="6"/>
  <c r="HL87" i="6"/>
  <c r="HM87" i="6"/>
  <c r="HN87" i="6"/>
  <c r="HO87" i="6"/>
  <c r="HP87" i="6"/>
  <c r="HQ87" i="6"/>
  <c r="HR87" i="6"/>
  <c r="HZ87" i="6"/>
  <c r="IA87" i="6"/>
  <c r="IB87" i="6"/>
  <c r="IC87" i="6"/>
  <c r="ID87" i="6"/>
  <c r="IE87" i="6"/>
  <c r="IF87" i="6"/>
  <c r="IG87" i="6"/>
  <c r="IH87" i="6"/>
  <c r="II87" i="6"/>
  <c r="O88" i="6"/>
  <c r="R88" i="6"/>
  <c r="S88" i="6"/>
  <c r="T88" i="6" a="1"/>
  <c r="T88" i="6"/>
  <c r="U88" i="6" a="1"/>
  <c r="U88" i="6"/>
  <c r="V88" i="6" a="1"/>
  <c r="V88" i="6"/>
  <c r="W88" i="6" a="1"/>
  <c r="W88" i="6"/>
  <c r="X88" i="6" a="1"/>
  <c r="X88" i="6"/>
  <c r="Y88" i="6" a="1"/>
  <c r="Y88" i="6"/>
  <c r="AB88" i="6"/>
  <c r="AC88" i="6" a="1"/>
  <c r="AC88" i="6"/>
  <c r="AE88" i="6"/>
  <c r="AF88" i="6"/>
  <c r="AH88" i="6" a="1"/>
  <c r="AH88" i="6"/>
  <c r="AI88" i="6" a="1"/>
  <c r="AI88" i="6"/>
  <c r="AJ88" i="6"/>
  <c r="AK88" i="6" a="1"/>
  <c r="AK88" i="6"/>
  <c r="AL88" i="6" a="1"/>
  <c r="AL88" i="6"/>
  <c r="AM88" i="6" a="1"/>
  <c r="AM88" i="6"/>
  <c r="AN88" i="6"/>
  <c r="AO88" i="6"/>
  <c r="AP88" i="6"/>
  <c r="AR88" i="6" a="1"/>
  <c r="AR88" i="6"/>
  <c r="AS88" i="6" a="1"/>
  <c r="AS88" i="6"/>
  <c r="AT88" i="6" a="1"/>
  <c r="AT88" i="6"/>
  <c r="AU88" i="6"/>
  <c r="AV88" i="6"/>
  <c r="AW88" i="6"/>
  <c r="BG88" i="6"/>
  <c r="BH88" i="6"/>
  <c r="BQ88" i="6"/>
  <c r="BR88" i="6"/>
  <c r="BS88" i="6"/>
  <c r="BT88" i="6"/>
  <c r="BU88" i="6"/>
  <c r="BV88" i="6"/>
  <c r="BW88" i="6"/>
  <c r="BX88" i="6"/>
  <c r="BY88" i="6"/>
  <c r="BZ88" i="6"/>
  <c r="CA88" i="6"/>
  <c r="CB88" i="6"/>
  <c r="CC88" i="6"/>
  <c r="CD88" i="6"/>
  <c r="CL88" i="6"/>
  <c r="CM88" i="6"/>
  <c r="CN88" i="6"/>
  <c r="CO88" i="6"/>
  <c r="CP88" i="6"/>
  <c r="CQ88" i="6"/>
  <c r="CR88" i="6"/>
  <c r="CS88" i="6"/>
  <c r="CT88" i="6"/>
  <c r="CU88" i="6"/>
  <c r="CV88" i="6"/>
  <c r="CW88" i="6"/>
  <c r="CX88" i="6"/>
  <c r="CY88" i="6"/>
  <c r="CZ88" i="6"/>
  <c r="DA88" i="6"/>
  <c r="DB88" i="6"/>
  <c r="DJ88" i="6"/>
  <c r="DK88" i="6"/>
  <c r="DL88" i="6"/>
  <c r="DM88" i="6"/>
  <c r="DN88" i="6"/>
  <c r="DO88" i="6"/>
  <c r="DP88" i="6"/>
  <c r="DQ88" i="6"/>
  <c r="DR88" i="6"/>
  <c r="DS88" i="6"/>
  <c r="DT88" i="6"/>
  <c r="DU88" i="6"/>
  <c r="DV88" i="6"/>
  <c r="DW88" i="6"/>
  <c r="DX88" i="6"/>
  <c r="DY88" i="6"/>
  <c r="DZ88" i="6"/>
  <c r="EH88" i="6"/>
  <c r="EI88" i="6"/>
  <c r="EJ88" i="6"/>
  <c r="EK88" i="6"/>
  <c r="EL88" i="6"/>
  <c r="EM88" i="6"/>
  <c r="EN88" i="6"/>
  <c r="EO88" i="6"/>
  <c r="EP88" i="6"/>
  <c r="EQ88" i="6"/>
  <c r="ER88" i="6"/>
  <c r="ES88" i="6"/>
  <c r="ET88" i="6"/>
  <c r="EU88" i="6"/>
  <c r="EV88" i="6"/>
  <c r="EW88" i="6"/>
  <c r="EX88" i="6"/>
  <c r="FF88" i="6"/>
  <c r="FG88" i="6"/>
  <c r="FH88" i="6"/>
  <c r="FI88" i="6"/>
  <c r="FJ88" i="6"/>
  <c r="FK88" i="6"/>
  <c r="FL88" i="6"/>
  <c r="FM88" i="6"/>
  <c r="FN88" i="6"/>
  <c r="FO88" i="6"/>
  <c r="FP88" i="6"/>
  <c r="FQ88" i="6"/>
  <c r="FR88" i="6"/>
  <c r="FS88" i="6"/>
  <c r="FT88" i="6"/>
  <c r="FU88" i="6"/>
  <c r="FV88" i="6"/>
  <c r="GD88" i="6"/>
  <c r="GE88" i="6"/>
  <c r="GF88" i="6"/>
  <c r="GG88" i="6"/>
  <c r="GH88" i="6"/>
  <c r="GI88" i="6"/>
  <c r="GJ88" i="6"/>
  <c r="GK88" i="6"/>
  <c r="GL88" i="6"/>
  <c r="GM88" i="6"/>
  <c r="GN88" i="6"/>
  <c r="GO88" i="6"/>
  <c r="GP88" i="6"/>
  <c r="GQ88" i="6"/>
  <c r="GR88" i="6"/>
  <c r="GS88" i="6"/>
  <c r="GT88" i="6"/>
  <c r="HB88" i="6"/>
  <c r="HC88" i="6"/>
  <c r="HD88" i="6"/>
  <c r="HE88" i="6"/>
  <c r="HF88" i="6"/>
  <c r="HG88" i="6"/>
  <c r="HH88" i="6"/>
  <c r="HI88" i="6"/>
  <c r="HJ88" i="6"/>
  <c r="HK88" i="6"/>
  <c r="HL88" i="6"/>
  <c r="HM88" i="6"/>
  <c r="HN88" i="6"/>
  <c r="HO88" i="6"/>
  <c r="HP88" i="6"/>
  <c r="HQ88" i="6"/>
  <c r="HR88" i="6"/>
  <c r="HZ88" i="6"/>
  <c r="IA88" i="6"/>
  <c r="IB88" i="6"/>
  <c r="IC88" i="6"/>
  <c r="ID88" i="6"/>
  <c r="IE88" i="6"/>
  <c r="IF88" i="6"/>
  <c r="IG88" i="6"/>
  <c r="IH88" i="6"/>
  <c r="II88" i="6"/>
  <c r="O89" i="6"/>
  <c r="R89" i="6"/>
  <c r="S89" i="6"/>
  <c r="T89" i="6" a="1"/>
  <c r="T89" i="6"/>
  <c r="U89" i="6" a="1"/>
  <c r="U89" i="6"/>
  <c r="V89" i="6" a="1"/>
  <c r="V89" i="6"/>
  <c r="W89" i="6" a="1"/>
  <c r="W89" i="6"/>
  <c r="X89" i="6" a="1"/>
  <c r="X89" i="6"/>
  <c r="Y89" i="6" a="1"/>
  <c r="Y89" i="6"/>
  <c r="AB89" i="6"/>
  <c r="AC89" i="6" a="1"/>
  <c r="AC89" i="6"/>
  <c r="AE89" i="6"/>
  <c r="AF89" i="6"/>
  <c r="AH89" i="6" a="1"/>
  <c r="AH89" i="6"/>
  <c r="AI89" i="6" a="1"/>
  <c r="AI89" i="6"/>
  <c r="AJ89" i="6"/>
  <c r="AK89" i="6" a="1"/>
  <c r="AK89" i="6"/>
  <c r="AL89" i="6" a="1"/>
  <c r="AL89" i="6"/>
  <c r="AM89" i="6" a="1"/>
  <c r="AM89" i="6"/>
  <c r="AN89" i="6"/>
  <c r="AO89" i="6"/>
  <c r="AP89" i="6"/>
  <c r="AR89" i="6" a="1"/>
  <c r="AR89" i="6"/>
  <c r="AS89" i="6" a="1"/>
  <c r="AS89" i="6"/>
  <c r="AT89" i="6" a="1"/>
  <c r="AT89" i="6"/>
  <c r="AU89" i="6"/>
  <c r="AV89" i="6"/>
  <c r="AW89" i="6"/>
  <c r="BG89" i="6"/>
  <c r="BH89" i="6"/>
  <c r="BQ89" i="6"/>
  <c r="BR89" i="6"/>
  <c r="BS89" i="6"/>
  <c r="BT89" i="6"/>
  <c r="BU89" i="6"/>
  <c r="BV89" i="6"/>
  <c r="BW89" i="6"/>
  <c r="BX89" i="6"/>
  <c r="BY89" i="6"/>
  <c r="BZ89" i="6"/>
  <c r="CA89" i="6"/>
  <c r="CB89" i="6"/>
  <c r="CC89" i="6"/>
  <c r="CD89" i="6"/>
  <c r="CL89" i="6"/>
  <c r="CM89" i="6"/>
  <c r="CN89" i="6"/>
  <c r="CO89" i="6"/>
  <c r="CP89" i="6"/>
  <c r="CQ89" i="6"/>
  <c r="CR89" i="6"/>
  <c r="CS89" i="6"/>
  <c r="CT89" i="6"/>
  <c r="CU89" i="6"/>
  <c r="CV89" i="6"/>
  <c r="CW89" i="6"/>
  <c r="CX89" i="6"/>
  <c r="CY89" i="6"/>
  <c r="CZ89" i="6"/>
  <c r="DA89" i="6"/>
  <c r="DB89" i="6"/>
  <c r="DJ89" i="6"/>
  <c r="DK89" i="6"/>
  <c r="DL89" i="6"/>
  <c r="DM89" i="6"/>
  <c r="DN89" i="6"/>
  <c r="DO89" i="6"/>
  <c r="DP89" i="6"/>
  <c r="DQ89" i="6"/>
  <c r="DR89" i="6"/>
  <c r="DS89" i="6"/>
  <c r="DT89" i="6"/>
  <c r="DU89" i="6"/>
  <c r="DV89" i="6"/>
  <c r="DW89" i="6"/>
  <c r="DX89" i="6"/>
  <c r="DY89" i="6"/>
  <c r="DZ89" i="6"/>
  <c r="EH89" i="6"/>
  <c r="EI89" i="6"/>
  <c r="EJ89" i="6"/>
  <c r="EK89" i="6"/>
  <c r="EL89" i="6"/>
  <c r="EM89" i="6"/>
  <c r="EN89" i="6"/>
  <c r="EO89" i="6"/>
  <c r="EP89" i="6"/>
  <c r="EQ89" i="6"/>
  <c r="ER89" i="6"/>
  <c r="ES89" i="6"/>
  <c r="ET89" i="6"/>
  <c r="EU89" i="6"/>
  <c r="EV89" i="6"/>
  <c r="EW89" i="6"/>
  <c r="EX89" i="6"/>
  <c r="FF89" i="6"/>
  <c r="FG89" i="6"/>
  <c r="FH89" i="6"/>
  <c r="FI89" i="6"/>
  <c r="FJ89" i="6"/>
  <c r="FK89" i="6"/>
  <c r="FL89" i="6"/>
  <c r="FM89" i="6"/>
  <c r="FN89" i="6"/>
  <c r="FO89" i="6"/>
  <c r="FP89" i="6"/>
  <c r="FQ89" i="6"/>
  <c r="FR89" i="6"/>
  <c r="FS89" i="6"/>
  <c r="FT89" i="6"/>
  <c r="FU89" i="6"/>
  <c r="FV89" i="6"/>
  <c r="GD89" i="6"/>
  <c r="GE89" i="6"/>
  <c r="GF89" i="6"/>
  <c r="GG89" i="6"/>
  <c r="GH89" i="6"/>
  <c r="GI89" i="6"/>
  <c r="GJ89" i="6"/>
  <c r="GK89" i="6"/>
  <c r="GL89" i="6"/>
  <c r="GM89" i="6"/>
  <c r="GN89" i="6"/>
  <c r="GO89" i="6"/>
  <c r="GP89" i="6"/>
  <c r="GQ89" i="6"/>
  <c r="GR89" i="6"/>
  <c r="GS89" i="6"/>
  <c r="GT89" i="6"/>
  <c r="HB89" i="6"/>
  <c r="HC89" i="6"/>
  <c r="HD89" i="6"/>
  <c r="HE89" i="6"/>
  <c r="HF89" i="6"/>
  <c r="HG89" i="6"/>
  <c r="HH89" i="6"/>
  <c r="HI89" i="6"/>
  <c r="HJ89" i="6"/>
  <c r="HK89" i="6"/>
  <c r="HL89" i="6"/>
  <c r="HM89" i="6"/>
  <c r="HN89" i="6"/>
  <c r="HO89" i="6"/>
  <c r="HP89" i="6"/>
  <c r="HQ89" i="6"/>
  <c r="HR89" i="6"/>
  <c r="HZ89" i="6"/>
  <c r="IA89" i="6"/>
  <c r="IB89" i="6"/>
  <c r="IC89" i="6"/>
  <c r="ID89" i="6"/>
  <c r="IE89" i="6"/>
  <c r="IF89" i="6"/>
  <c r="IG89" i="6"/>
  <c r="IH89" i="6"/>
  <c r="II89" i="6"/>
  <c r="O90" i="6"/>
  <c r="R90" i="6"/>
  <c r="S90" i="6"/>
  <c r="T90" i="6" a="1"/>
  <c r="T90" i="6"/>
  <c r="U90" i="6" a="1"/>
  <c r="U90" i="6"/>
  <c r="V90" i="6" a="1"/>
  <c r="V90" i="6"/>
  <c r="W90" i="6" a="1"/>
  <c r="W90" i="6"/>
  <c r="X90" i="6" a="1"/>
  <c r="X90" i="6"/>
  <c r="Y90" i="6" a="1"/>
  <c r="Y90" i="6"/>
  <c r="AB90" i="6"/>
  <c r="AC90" i="6" a="1"/>
  <c r="AC90" i="6"/>
  <c r="AE90" i="6"/>
  <c r="AF90" i="6"/>
  <c r="AH90" i="6" a="1"/>
  <c r="AH90" i="6"/>
  <c r="AI90" i="6" a="1"/>
  <c r="AI90" i="6"/>
  <c r="AJ90" i="6"/>
  <c r="AK90" i="6" a="1"/>
  <c r="AK90" i="6"/>
  <c r="AL90" i="6" a="1"/>
  <c r="AL90" i="6"/>
  <c r="AM90" i="6" a="1"/>
  <c r="AM90" i="6"/>
  <c r="AN90" i="6"/>
  <c r="AO90" i="6"/>
  <c r="AP90" i="6"/>
  <c r="AR90" i="6" a="1"/>
  <c r="AR90" i="6"/>
  <c r="AS90" i="6" a="1"/>
  <c r="AS90" i="6"/>
  <c r="AT90" i="6" a="1"/>
  <c r="AT90" i="6"/>
  <c r="AU90" i="6"/>
  <c r="AV90" i="6"/>
  <c r="AW90" i="6"/>
  <c r="BG90" i="6"/>
  <c r="BH90" i="6"/>
  <c r="BQ90" i="6"/>
  <c r="BR90" i="6"/>
  <c r="BS90" i="6"/>
  <c r="BT90" i="6"/>
  <c r="BU90" i="6"/>
  <c r="BV90" i="6"/>
  <c r="BW90" i="6"/>
  <c r="BX90" i="6"/>
  <c r="BY90" i="6"/>
  <c r="BZ90" i="6"/>
  <c r="CA90" i="6"/>
  <c r="CB90" i="6"/>
  <c r="CC90" i="6"/>
  <c r="CD90" i="6"/>
  <c r="CL90" i="6"/>
  <c r="CM90" i="6"/>
  <c r="CN90" i="6"/>
  <c r="CO90" i="6"/>
  <c r="CP90" i="6"/>
  <c r="CQ90" i="6"/>
  <c r="CR90" i="6"/>
  <c r="CS90" i="6"/>
  <c r="CT90" i="6"/>
  <c r="CU90" i="6"/>
  <c r="CV90" i="6"/>
  <c r="CW90" i="6"/>
  <c r="CX90" i="6"/>
  <c r="CY90" i="6"/>
  <c r="CZ90" i="6"/>
  <c r="DA90" i="6"/>
  <c r="DB90" i="6"/>
  <c r="DJ90" i="6"/>
  <c r="DK90" i="6"/>
  <c r="DL90" i="6"/>
  <c r="DM90" i="6"/>
  <c r="DN90" i="6"/>
  <c r="DO90" i="6"/>
  <c r="DP90" i="6"/>
  <c r="DQ90" i="6"/>
  <c r="DR90" i="6"/>
  <c r="DS90" i="6"/>
  <c r="DT90" i="6"/>
  <c r="DU90" i="6"/>
  <c r="DV90" i="6"/>
  <c r="DW90" i="6"/>
  <c r="DX90" i="6"/>
  <c r="DY90" i="6"/>
  <c r="DZ90" i="6"/>
  <c r="EH90" i="6"/>
  <c r="EI90" i="6"/>
  <c r="EJ90" i="6"/>
  <c r="EK90" i="6"/>
  <c r="EL90" i="6"/>
  <c r="EM90" i="6"/>
  <c r="EN90" i="6"/>
  <c r="EO90" i="6"/>
  <c r="EP90" i="6"/>
  <c r="EQ90" i="6"/>
  <c r="ER90" i="6"/>
  <c r="ES90" i="6"/>
  <c r="ET90" i="6"/>
  <c r="EU90" i="6"/>
  <c r="EV90" i="6"/>
  <c r="EW90" i="6"/>
  <c r="EX90" i="6"/>
  <c r="FF90" i="6"/>
  <c r="FG90" i="6"/>
  <c r="FH90" i="6"/>
  <c r="FI90" i="6"/>
  <c r="FJ90" i="6"/>
  <c r="FK90" i="6"/>
  <c r="FL90" i="6"/>
  <c r="FM90" i="6"/>
  <c r="FN90" i="6"/>
  <c r="FO90" i="6"/>
  <c r="FP90" i="6"/>
  <c r="FQ90" i="6"/>
  <c r="FR90" i="6"/>
  <c r="FS90" i="6"/>
  <c r="FT90" i="6"/>
  <c r="FU90" i="6"/>
  <c r="FV90" i="6"/>
  <c r="GD90" i="6"/>
  <c r="GE90" i="6"/>
  <c r="GF90" i="6"/>
  <c r="GG90" i="6"/>
  <c r="GH90" i="6"/>
  <c r="GI90" i="6"/>
  <c r="GJ90" i="6"/>
  <c r="GK90" i="6"/>
  <c r="GL90" i="6"/>
  <c r="GM90" i="6"/>
  <c r="GN90" i="6"/>
  <c r="GO90" i="6"/>
  <c r="GP90" i="6"/>
  <c r="GQ90" i="6"/>
  <c r="GR90" i="6"/>
  <c r="GS90" i="6"/>
  <c r="GT90" i="6"/>
  <c r="HB90" i="6"/>
  <c r="HC90" i="6"/>
  <c r="HD90" i="6"/>
  <c r="HE90" i="6"/>
  <c r="HF90" i="6"/>
  <c r="HG90" i="6"/>
  <c r="HH90" i="6"/>
  <c r="HI90" i="6"/>
  <c r="HJ90" i="6"/>
  <c r="HK90" i="6"/>
  <c r="HL90" i="6"/>
  <c r="HM90" i="6"/>
  <c r="HN90" i="6"/>
  <c r="HO90" i="6"/>
  <c r="HP90" i="6"/>
  <c r="HQ90" i="6"/>
  <c r="HR90" i="6"/>
  <c r="HZ90" i="6"/>
  <c r="IA90" i="6"/>
  <c r="IB90" i="6"/>
  <c r="IC90" i="6"/>
  <c r="ID90" i="6"/>
  <c r="IE90" i="6"/>
  <c r="IF90" i="6"/>
  <c r="IG90" i="6"/>
  <c r="IH90" i="6"/>
  <c r="II90" i="6"/>
  <c r="O91" i="6"/>
  <c r="R91" i="6"/>
  <c r="S91" i="6"/>
  <c r="T91" i="6" a="1"/>
  <c r="T91" i="6"/>
  <c r="U91" i="6" a="1"/>
  <c r="U91" i="6"/>
  <c r="V91" i="6" a="1"/>
  <c r="V91" i="6"/>
  <c r="W91" i="6" a="1"/>
  <c r="W91" i="6"/>
  <c r="X91" i="6" a="1"/>
  <c r="X91" i="6"/>
  <c r="Y91" i="6" a="1"/>
  <c r="Y91" i="6"/>
  <c r="AB91" i="6"/>
  <c r="AC91" i="6" a="1"/>
  <c r="AC91" i="6"/>
  <c r="AE91" i="6"/>
  <c r="AF91" i="6"/>
  <c r="AH91" i="6" a="1"/>
  <c r="AH91" i="6"/>
  <c r="AI91" i="6" a="1"/>
  <c r="AI91" i="6"/>
  <c r="AJ91" i="6"/>
  <c r="AL91" i="6" a="1"/>
  <c r="AL91" i="6"/>
  <c r="AM91" i="6" a="1"/>
  <c r="AM91" i="6"/>
  <c r="AO91" i="6"/>
  <c r="AP91" i="6"/>
  <c r="AS91" i="6" a="1"/>
  <c r="AS91" i="6"/>
  <c r="AT91" i="6" a="1"/>
  <c r="AT91" i="6"/>
  <c r="AV91" i="6"/>
  <c r="AW91" i="6"/>
  <c r="BA91" i="6"/>
  <c r="BB91" i="6"/>
  <c r="BC91" i="6"/>
  <c r="BD91" i="6"/>
  <c r="BG91" i="6"/>
  <c r="BH91" i="6"/>
  <c r="BQ91" i="6"/>
  <c r="BR91" i="6"/>
  <c r="BS91" i="6"/>
  <c r="BT91" i="6"/>
  <c r="BU91" i="6"/>
  <c r="BV91" i="6"/>
  <c r="BW91" i="6"/>
  <c r="BX91" i="6"/>
  <c r="BY91" i="6"/>
  <c r="BZ91" i="6"/>
  <c r="CA91" i="6"/>
  <c r="CB91" i="6"/>
  <c r="CC91" i="6"/>
  <c r="CD91" i="6"/>
  <c r="CL91" i="6"/>
  <c r="CM91" i="6"/>
  <c r="CN91" i="6"/>
  <c r="CO91" i="6"/>
  <c r="CP91" i="6"/>
  <c r="CQ91" i="6"/>
  <c r="CR91" i="6"/>
  <c r="CS91" i="6"/>
  <c r="CT91" i="6"/>
  <c r="CU91" i="6"/>
  <c r="CV91" i="6"/>
  <c r="CW91" i="6"/>
  <c r="CX91" i="6"/>
  <c r="CY91" i="6"/>
  <c r="CZ91" i="6"/>
  <c r="DA91" i="6"/>
  <c r="DB91" i="6"/>
  <c r="DJ91" i="6"/>
  <c r="DK91" i="6"/>
  <c r="DL91" i="6"/>
  <c r="DM91" i="6"/>
  <c r="DN91" i="6"/>
  <c r="DO91" i="6"/>
  <c r="DP91" i="6"/>
  <c r="DQ91" i="6"/>
  <c r="DR91" i="6"/>
  <c r="DS91" i="6"/>
  <c r="DT91" i="6"/>
  <c r="DU91" i="6"/>
  <c r="DV91" i="6"/>
  <c r="DW91" i="6"/>
  <c r="DX91" i="6"/>
  <c r="DY91" i="6"/>
  <c r="DZ91" i="6"/>
  <c r="EH91" i="6"/>
  <c r="EI91" i="6"/>
  <c r="EJ91" i="6"/>
  <c r="EK91" i="6"/>
  <c r="EL91" i="6"/>
  <c r="EM91" i="6"/>
  <c r="EN91" i="6"/>
  <c r="EO91" i="6"/>
  <c r="EP91" i="6"/>
  <c r="EQ91" i="6"/>
  <c r="ER91" i="6"/>
  <c r="ES91" i="6"/>
  <c r="ET91" i="6"/>
  <c r="EU91" i="6"/>
  <c r="EV91" i="6"/>
  <c r="EW91" i="6"/>
  <c r="EX91" i="6"/>
  <c r="FF91" i="6"/>
  <c r="FG91" i="6"/>
  <c r="FH91" i="6"/>
  <c r="FI91" i="6"/>
  <c r="FJ91" i="6"/>
  <c r="FK91" i="6"/>
  <c r="FL91" i="6"/>
  <c r="FM91" i="6"/>
  <c r="FN91" i="6"/>
  <c r="FO91" i="6"/>
  <c r="FP91" i="6"/>
  <c r="FQ91" i="6"/>
  <c r="FR91" i="6"/>
  <c r="FS91" i="6"/>
  <c r="FT91" i="6"/>
  <c r="FU91" i="6"/>
  <c r="FV91" i="6"/>
  <c r="GD91" i="6"/>
  <c r="GE91" i="6"/>
  <c r="GF91" i="6"/>
  <c r="GG91" i="6"/>
  <c r="GH91" i="6"/>
  <c r="GI91" i="6"/>
  <c r="GJ91" i="6"/>
  <c r="GK91" i="6"/>
  <c r="GL91" i="6"/>
  <c r="GM91" i="6"/>
  <c r="GN91" i="6"/>
  <c r="GO91" i="6"/>
  <c r="GP91" i="6"/>
  <c r="GQ91" i="6"/>
  <c r="GR91" i="6"/>
  <c r="GS91" i="6"/>
  <c r="GT91" i="6"/>
  <c r="HB91" i="6"/>
  <c r="HC91" i="6"/>
  <c r="HD91" i="6"/>
  <c r="HE91" i="6"/>
  <c r="HF91" i="6"/>
  <c r="HG91" i="6"/>
  <c r="HH91" i="6"/>
  <c r="HI91" i="6"/>
  <c r="HJ91" i="6"/>
  <c r="HK91" i="6"/>
  <c r="HL91" i="6"/>
  <c r="HM91" i="6"/>
  <c r="HN91" i="6"/>
  <c r="HO91" i="6"/>
  <c r="HP91" i="6"/>
  <c r="HQ91" i="6"/>
  <c r="HR91" i="6"/>
  <c r="HZ91" i="6"/>
  <c r="IA91" i="6"/>
  <c r="IB91" i="6"/>
  <c r="IC91" i="6"/>
  <c r="ID91" i="6"/>
  <c r="IE91" i="6"/>
  <c r="IF91" i="6"/>
  <c r="IG91" i="6"/>
  <c r="IH91" i="6"/>
  <c r="II91" i="6"/>
  <c r="O92" i="6"/>
  <c r="R92" i="6"/>
  <c r="S92" i="6"/>
  <c r="T92" i="6" a="1"/>
  <c r="T92" i="6"/>
  <c r="U92" i="6" a="1"/>
  <c r="U92" i="6"/>
  <c r="V92" i="6" a="1"/>
  <c r="V92" i="6"/>
  <c r="W92" i="6" a="1"/>
  <c r="W92" i="6"/>
  <c r="X92" i="6" a="1"/>
  <c r="X92" i="6"/>
  <c r="Y92" i="6" a="1"/>
  <c r="Y92" i="6"/>
  <c r="AB92" i="6"/>
  <c r="AC92" i="6" a="1"/>
  <c r="AC92" i="6"/>
  <c r="AE92" i="6"/>
  <c r="AF92" i="6"/>
  <c r="AH92" i="6" a="1"/>
  <c r="AH92" i="6"/>
  <c r="AI92" i="6" a="1"/>
  <c r="AI92" i="6"/>
  <c r="AJ92" i="6"/>
  <c r="AL92" i="6" a="1"/>
  <c r="AL92" i="6"/>
  <c r="AM92" i="6" a="1"/>
  <c r="AM92" i="6"/>
  <c r="AO92" i="6"/>
  <c r="AP92" i="6"/>
  <c r="AS92" i="6" a="1"/>
  <c r="AS92" i="6"/>
  <c r="AT92" i="6" a="1"/>
  <c r="AT92" i="6"/>
  <c r="AV92" i="6"/>
  <c r="AW92" i="6"/>
  <c r="BA92" i="6"/>
  <c r="BB92" i="6"/>
  <c r="BC92" i="6"/>
  <c r="BD92" i="6"/>
  <c r="BG92" i="6"/>
  <c r="BH92" i="6"/>
  <c r="BQ92" i="6"/>
  <c r="BR92" i="6"/>
  <c r="BS92" i="6"/>
  <c r="BT92" i="6"/>
  <c r="BU92" i="6"/>
  <c r="BV92" i="6"/>
  <c r="BW92" i="6"/>
  <c r="BX92" i="6"/>
  <c r="BY92" i="6"/>
  <c r="BZ92" i="6"/>
  <c r="CA92" i="6"/>
  <c r="CB92" i="6"/>
  <c r="CC92" i="6"/>
  <c r="CD92" i="6"/>
  <c r="CL92" i="6"/>
  <c r="CM92" i="6"/>
  <c r="CN92" i="6"/>
  <c r="CO92" i="6"/>
  <c r="CP92" i="6"/>
  <c r="CQ92" i="6"/>
  <c r="CR92" i="6"/>
  <c r="CS92" i="6"/>
  <c r="CT92" i="6"/>
  <c r="CU92" i="6"/>
  <c r="CV92" i="6"/>
  <c r="CW92" i="6"/>
  <c r="CX92" i="6"/>
  <c r="CY92" i="6"/>
  <c r="CZ92" i="6"/>
  <c r="DA92" i="6"/>
  <c r="DB92" i="6"/>
  <c r="DJ92" i="6"/>
  <c r="DK92" i="6"/>
  <c r="DL92" i="6"/>
  <c r="DM92" i="6"/>
  <c r="DN92" i="6"/>
  <c r="DO92" i="6"/>
  <c r="DP92" i="6"/>
  <c r="DQ92" i="6"/>
  <c r="DR92" i="6"/>
  <c r="DS92" i="6"/>
  <c r="DT92" i="6"/>
  <c r="DU92" i="6"/>
  <c r="DV92" i="6"/>
  <c r="DW92" i="6"/>
  <c r="DX92" i="6"/>
  <c r="DY92" i="6"/>
  <c r="DZ92" i="6"/>
  <c r="EH92" i="6"/>
  <c r="EI92" i="6"/>
  <c r="EJ92" i="6"/>
  <c r="EK92" i="6"/>
  <c r="EL92" i="6"/>
  <c r="EM92" i="6"/>
  <c r="EN92" i="6"/>
  <c r="EO92" i="6"/>
  <c r="EP92" i="6"/>
  <c r="EQ92" i="6"/>
  <c r="ER92" i="6"/>
  <c r="ES92" i="6"/>
  <c r="ET92" i="6"/>
  <c r="EU92" i="6"/>
  <c r="EV92" i="6"/>
  <c r="EW92" i="6"/>
  <c r="EX92" i="6"/>
  <c r="FF92" i="6"/>
  <c r="FG92" i="6"/>
  <c r="FH92" i="6"/>
  <c r="FI92" i="6"/>
  <c r="FJ92" i="6"/>
  <c r="FK92" i="6"/>
  <c r="FL92" i="6"/>
  <c r="FM92" i="6"/>
  <c r="FN92" i="6"/>
  <c r="FO92" i="6"/>
  <c r="FP92" i="6"/>
  <c r="FQ92" i="6"/>
  <c r="FR92" i="6"/>
  <c r="FS92" i="6"/>
  <c r="FT92" i="6"/>
  <c r="FU92" i="6"/>
  <c r="FV92" i="6"/>
  <c r="GD92" i="6"/>
  <c r="GE92" i="6"/>
  <c r="GF92" i="6"/>
  <c r="GG92" i="6"/>
  <c r="GH92" i="6"/>
  <c r="GI92" i="6"/>
  <c r="GJ92" i="6"/>
  <c r="GK92" i="6"/>
  <c r="GL92" i="6"/>
  <c r="GM92" i="6"/>
  <c r="GN92" i="6"/>
  <c r="GO92" i="6"/>
  <c r="GP92" i="6"/>
  <c r="GQ92" i="6"/>
  <c r="GR92" i="6"/>
  <c r="GS92" i="6"/>
  <c r="GT92" i="6"/>
  <c r="HB92" i="6"/>
  <c r="HC92" i="6"/>
  <c r="HD92" i="6"/>
  <c r="HE92" i="6"/>
  <c r="HF92" i="6"/>
  <c r="HG92" i="6"/>
  <c r="HH92" i="6"/>
  <c r="HI92" i="6"/>
  <c r="HJ92" i="6"/>
  <c r="HK92" i="6"/>
  <c r="HL92" i="6"/>
  <c r="HM92" i="6"/>
  <c r="HN92" i="6"/>
  <c r="HO92" i="6"/>
  <c r="HP92" i="6"/>
  <c r="HQ92" i="6"/>
  <c r="HR92" i="6"/>
  <c r="HZ92" i="6"/>
  <c r="IA92" i="6"/>
  <c r="IB92" i="6"/>
  <c r="IC92" i="6"/>
  <c r="ID92" i="6"/>
  <c r="IE92" i="6"/>
  <c r="IF92" i="6"/>
  <c r="IG92" i="6"/>
  <c r="IH92" i="6"/>
  <c r="II92" i="6"/>
  <c r="O93" i="6"/>
  <c r="R93" i="6"/>
  <c r="S93" i="6"/>
  <c r="T93" i="6" a="1"/>
  <c r="T93" i="6"/>
  <c r="U93" i="6" a="1"/>
  <c r="U93" i="6"/>
  <c r="V93" i="6" a="1"/>
  <c r="V93" i="6"/>
  <c r="W93" i="6" a="1"/>
  <c r="W93" i="6"/>
  <c r="X93" i="6" a="1"/>
  <c r="X93" i="6"/>
  <c r="Y93" i="6" a="1"/>
  <c r="Y93" i="6"/>
  <c r="AB93" i="6"/>
  <c r="AC93" i="6" a="1"/>
  <c r="AC93" i="6"/>
  <c r="AE93" i="6"/>
  <c r="AF93" i="6"/>
  <c r="AY93" i="6"/>
  <c r="AZ93" i="6"/>
  <c r="BC93" i="6"/>
  <c r="BD93" i="6"/>
  <c r="BG93" i="6"/>
  <c r="BH93" i="6"/>
  <c r="BQ93" i="6"/>
  <c r="BR93" i="6"/>
  <c r="BS93" i="6"/>
  <c r="BT93" i="6"/>
  <c r="BU93" i="6"/>
  <c r="BV93" i="6"/>
  <c r="BW93" i="6"/>
  <c r="BX93" i="6"/>
  <c r="BY93" i="6"/>
  <c r="BZ93" i="6"/>
  <c r="CA93" i="6"/>
  <c r="CB93" i="6"/>
  <c r="CC93" i="6"/>
  <c r="CD93" i="6"/>
  <c r="CL93" i="6"/>
  <c r="CM93" i="6"/>
  <c r="CN93" i="6"/>
  <c r="CO93" i="6"/>
  <c r="CP93" i="6"/>
  <c r="CQ93" i="6"/>
  <c r="CR93" i="6"/>
  <c r="CS93" i="6"/>
  <c r="CT93" i="6"/>
  <c r="CU93" i="6"/>
  <c r="CV93" i="6"/>
  <c r="CW93" i="6"/>
  <c r="CX93" i="6"/>
  <c r="CY93" i="6"/>
  <c r="CZ93" i="6"/>
  <c r="DA93" i="6"/>
  <c r="DB93" i="6"/>
  <c r="DJ93" i="6"/>
  <c r="DK93" i="6"/>
  <c r="DL93" i="6"/>
  <c r="DM93" i="6"/>
  <c r="DN93" i="6"/>
  <c r="DO93" i="6"/>
  <c r="DP93" i="6"/>
  <c r="DQ93" i="6"/>
  <c r="DR93" i="6"/>
  <c r="DS93" i="6"/>
  <c r="DT93" i="6"/>
  <c r="DU93" i="6"/>
  <c r="DV93" i="6"/>
  <c r="DW93" i="6"/>
  <c r="DX93" i="6"/>
  <c r="DY93" i="6"/>
  <c r="DZ93" i="6"/>
  <c r="EH93" i="6"/>
  <c r="EI93" i="6"/>
  <c r="EJ93" i="6"/>
  <c r="EK93" i="6"/>
  <c r="EL93" i="6"/>
  <c r="EM93" i="6"/>
  <c r="EN93" i="6"/>
  <c r="EO93" i="6"/>
  <c r="EP93" i="6"/>
  <c r="EQ93" i="6"/>
  <c r="ER93" i="6"/>
  <c r="ES93" i="6"/>
  <c r="ET93" i="6"/>
  <c r="EU93" i="6"/>
  <c r="EV93" i="6"/>
  <c r="EW93" i="6"/>
  <c r="EX93" i="6"/>
  <c r="FF93" i="6"/>
  <c r="FG93" i="6"/>
  <c r="FH93" i="6"/>
  <c r="FI93" i="6"/>
  <c r="FJ93" i="6"/>
  <c r="FK93" i="6"/>
  <c r="FL93" i="6"/>
  <c r="FM93" i="6"/>
  <c r="FN93" i="6"/>
  <c r="FO93" i="6"/>
  <c r="FP93" i="6"/>
  <c r="FQ93" i="6"/>
  <c r="FR93" i="6"/>
  <c r="FS93" i="6"/>
  <c r="FT93" i="6"/>
  <c r="FU93" i="6"/>
  <c r="FV93" i="6"/>
  <c r="GD93" i="6"/>
  <c r="GE93" i="6"/>
  <c r="GF93" i="6"/>
  <c r="GG93" i="6"/>
  <c r="GH93" i="6"/>
  <c r="GI93" i="6"/>
  <c r="GJ93" i="6"/>
  <c r="GK93" i="6"/>
  <c r="GL93" i="6"/>
  <c r="GM93" i="6"/>
  <c r="GN93" i="6"/>
  <c r="GO93" i="6"/>
  <c r="GP93" i="6"/>
  <c r="GQ93" i="6"/>
  <c r="GR93" i="6"/>
  <c r="GS93" i="6"/>
  <c r="GT93" i="6"/>
  <c r="HB93" i="6"/>
  <c r="HC93" i="6"/>
  <c r="HD93" i="6"/>
  <c r="HE93" i="6"/>
  <c r="HF93" i="6"/>
  <c r="HG93" i="6"/>
  <c r="HH93" i="6"/>
  <c r="HI93" i="6"/>
  <c r="HJ93" i="6"/>
  <c r="HK93" i="6"/>
  <c r="HL93" i="6"/>
  <c r="HM93" i="6"/>
  <c r="HN93" i="6"/>
  <c r="HO93" i="6"/>
  <c r="HP93" i="6"/>
  <c r="HQ93" i="6"/>
  <c r="HR93" i="6"/>
  <c r="HZ93" i="6"/>
  <c r="IA93" i="6"/>
  <c r="IB93" i="6"/>
  <c r="IC93" i="6"/>
  <c r="ID93" i="6"/>
  <c r="IE93" i="6"/>
  <c r="IF93" i="6"/>
  <c r="IG93" i="6"/>
  <c r="IH93" i="6"/>
  <c r="II93" i="6"/>
  <c r="O94" i="6"/>
  <c r="R94" i="6"/>
  <c r="S94" i="6"/>
  <c r="T94" i="6" a="1"/>
  <c r="T94" i="6"/>
  <c r="U94" i="6" a="1"/>
  <c r="U94" i="6"/>
  <c r="V94" i="6" a="1"/>
  <c r="V94" i="6"/>
  <c r="W94" i="6" a="1"/>
  <c r="W94" i="6"/>
  <c r="X94" i="6" a="1"/>
  <c r="X94" i="6"/>
  <c r="Y94" i="6" a="1"/>
  <c r="Y94" i="6"/>
  <c r="AB94" i="6"/>
  <c r="AC94" i="6" a="1"/>
  <c r="AC94" i="6"/>
  <c r="AE94" i="6"/>
  <c r="AF94" i="6"/>
  <c r="AH94" i="6" a="1"/>
  <c r="AH94" i="6"/>
  <c r="AI94" i="6" a="1"/>
  <c r="AI94" i="6"/>
  <c r="AJ94" i="6"/>
  <c r="AK94" i="6" a="1"/>
  <c r="AK94" i="6"/>
  <c r="AL94" i="6" a="1"/>
  <c r="AL94" i="6"/>
  <c r="AM94" i="6" a="1"/>
  <c r="AM94" i="6"/>
  <c r="AN94" i="6"/>
  <c r="AO94" i="6"/>
  <c r="AP94" i="6"/>
  <c r="AR94" i="6" a="1"/>
  <c r="AR94" i="6"/>
  <c r="AS94" i="6" a="1"/>
  <c r="AS94" i="6"/>
  <c r="AT94" i="6" a="1"/>
  <c r="AT94" i="6"/>
  <c r="AU94" i="6"/>
  <c r="AV94" i="6"/>
  <c r="AW94" i="6"/>
  <c r="BG94" i="6"/>
  <c r="BH94" i="6"/>
  <c r="BQ94" i="6"/>
  <c r="BR94" i="6"/>
  <c r="BS94" i="6"/>
  <c r="BT94" i="6"/>
  <c r="BU94" i="6"/>
  <c r="BV94" i="6"/>
  <c r="BW94" i="6"/>
  <c r="BX94" i="6"/>
  <c r="BY94" i="6"/>
  <c r="BZ94" i="6"/>
  <c r="CA94" i="6"/>
  <c r="CB94" i="6"/>
  <c r="CC94" i="6"/>
  <c r="CD94" i="6"/>
  <c r="CL94" i="6"/>
  <c r="CM94" i="6"/>
  <c r="CN94" i="6"/>
  <c r="CO94" i="6"/>
  <c r="CP94" i="6"/>
  <c r="CQ94" i="6"/>
  <c r="CR94" i="6"/>
  <c r="CS94" i="6"/>
  <c r="CT94" i="6"/>
  <c r="CU94" i="6"/>
  <c r="CV94" i="6"/>
  <c r="CW94" i="6"/>
  <c r="CX94" i="6"/>
  <c r="CY94" i="6"/>
  <c r="CZ94" i="6"/>
  <c r="DA94" i="6"/>
  <c r="DB94" i="6"/>
  <c r="DJ94" i="6"/>
  <c r="DK94" i="6"/>
  <c r="DL94" i="6"/>
  <c r="DM94" i="6"/>
  <c r="DN94" i="6"/>
  <c r="DO94" i="6"/>
  <c r="DP94" i="6"/>
  <c r="DQ94" i="6"/>
  <c r="DR94" i="6"/>
  <c r="DS94" i="6"/>
  <c r="DT94" i="6"/>
  <c r="DU94" i="6"/>
  <c r="DV94" i="6"/>
  <c r="DW94" i="6"/>
  <c r="DX94" i="6"/>
  <c r="DY94" i="6"/>
  <c r="DZ94" i="6"/>
  <c r="EH94" i="6"/>
  <c r="EI94" i="6"/>
  <c r="EJ94" i="6"/>
  <c r="EK94" i="6"/>
  <c r="EL94" i="6"/>
  <c r="EM94" i="6"/>
  <c r="EN94" i="6"/>
  <c r="EO94" i="6"/>
  <c r="EP94" i="6"/>
  <c r="EQ94" i="6"/>
  <c r="ER94" i="6"/>
  <c r="ES94" i="6"/>
  <c r="ET94" i="6"/>
  <c r="EU94" i="6"/>
  <c r="EV94" i="6"/>
  <c r="EW94" i="6"/>
  <c r="EX94" i="6"/>
  <c r="FF94" i="6"/>
  <c r="FG94" i="6"/>
  <c r="FH94" i="6"/>
  <c r="FI94" i="6"/>
  <c r="FJ94" i="6"/>
  <c r="FK94" i="6"/>
  <c r="FL94" i="6"/>
  <c r="FM94" i="6"/>
  <c r="FN94" i="6"/>
  <c r="FO94" i="6"/>
  <c r="FP94" i="6"/>
  <c r="FQ94" i="6"/>
  <c r="FR94" i="6"/>
  <c r="FS94" i="6"/>
  <c r="FT94" i="6"/>
  <c r="FU94" i="6"/>
  <c r="FV94" i="6"/>
  <c r="GD94" i="6"/>
  <c r="GE94" i="6"/>
  <c r="GF94" i="6"/>
  <c r="GG94" i="6"/>
  <c r="GH94" i="6"/>
  <c r="GI94" i="6"/>
  <c r="GJ94" i="6"/>
  <c r="GK94" i="6"/>
  <c r="GL94" i="6"/>
  <c r="GM94" i="6"/>
  <c r="GN94" i="6"/>
  <c r="GO94" i="6"/>
  <c r="GP94" i="6"/>
  <c r="GQ94" i="6"/>
  <c r="GR94" i="6"/>
  <c r="GS94" i="6"/>
  <c r="GT94" i="6"/>
  <c r="HB94" i="6"/>
  <c r="HC94" i="6"/>
  <c r="HD94" i="6"/>
  <c r="HE94" i="6"/>
  <c r="HF94" i="6"/>
  <c r="HG94" i="6"/>
  <c r="HH94" i="6"/>
  <c r="HI94" i="6"/>
  <c r="HJ94" i="6"/>
  <c r="HK94" i="6"/>
  <c r="HL94" i="6"/>
  <c r="HM94" i="6"/>
  <c r="HN94" i="6"/>
  <c r="HO94" i="6"/>
  <c r="HP94" i="6"/>
  <c r="HQ94" i="6"/>
  <c r="HR94" i="6"/>
  <c r="HZ94" i="6"/>
  <c r="IA94" i="6"/>
  <c r="IB94" i="6"/>
  <c r="IC94" i="6"/>
  <c r="ID94" i="6"/>
  <c r="IE94" i="6"/>
  <c r="IF94" i="6"/>
  <c r="IG94" i="6"/>
  <c r="IH94" i="6"/>
  <c r="II94" i="6"/>
  <c r="O95" i="6"/>
  <c r="R95" i="6"/>
  <c r="S95" i="6"/>
  <c r="T95" i="6" a="1"/>
  <c r="T95" i="6"/>
  <c r="U95" i="6" a="1"/>
  <c r="U95" i="6"/>
  <c r="V95" i="6" a="1"/>
  <c r="V95" i="6"/>
  <c r="W95" i="6" a="1"/>
  <c r="W95" i="6"/>
  <c r="X95" i="6" a="1"/>
  <c r="X95" i="6"/>
  <c r="Y95" i="6" a="1"/>
  <c r="Y95" i="6"/>
  <c r="AB95" i="6"/>
  <c r="AC95" i="6" a="1"/>
  <c r="AC95" i="6"/>
  <c r="AE95" i="6"/>
  <c r="AF95" i="6"/>
  <c r="AH95" i="6" a="1"/>
  <c r="AH95" i="6"/>
  <c r="AI95" i="6" a="1"/>
  <c r="AI95" i="6"/>
  <c r="AJ95" i="6"/>
  <c r="AL95" i="6" a="1"/>
  <c r="AL95" i="6"/>
  <c r="AM95" i="6" a="1"/>
  <c r="AM95" i="6"/>
  <c r="AO95" i="6"/>
  <c r="AP95" i="6"/>
  <c r="AS95" i="6" a="1"/>
  <c r="AS95" i="6"/>
  <c r="AT95" i="6" a="1"/>
  <c r="AT95" i="6"/>
  <c r="AV95" i="6"/>
  <c r="AW95" i="6"/>
  <c r="BA95" i="6"/>
  <c r="BB95" i="6"/>
  <c r="BC95" i="6"/>
  <c r="BD95" i="6"/>
  <c r="BG95" i="6"/>
  <c r="BH95" i="6"/>
  <c r="BQ95" i="6"/>
  <c r="BR95" i="6"/>
  <c r="BS95" i="6"/>
  <c r="BT95" i="6"/>
  <c r="BU95" i="6"/>
  <c r="BV95" i="6"/>
  <c r="BW95" i="6"/>
  <c r="BX95" i="6"/>
  <c r="BY95" i="6"/>
  <c r="BZ95" i="6"/>
  <c r="CA95" i="6"/>
  <c r="CB95" i="6"/>
  <c r="CC95" i="6"/>
  <c r="CD95" i="6"/>
  <c r="CL95" i="6"/>
  <c r="CM95" i="6"/>
  <c r="CN95" i="6"/>
  <c r="CO95" i="6"/>
  <c r="CP95" i="6"/>
  <c r="CQ95" i="6"/>
  <c r="CR95" i="6"/>
  <c r="CS95" i="6"/>
  <c r="CT95" i="6"/>
  <c r="CU95" i="6"/>
  <c r="CV95" i="6"/>
  <c r="CW95" i="6"/>
  <c r="CX95" i="6"/>
  <c r="CY95" i="6"/>
  <c r="CZ95" i="6"/>
  <c r="DA95" i="6"/>
  <c r="DB95" i="6"/>
  <c r="DJ95" i="6"/>
  <c r="DK95" i="6"/>
  <c r="DL95" i="6"/>
  <c r="DM95" i="6"/>
  <c r="DN95" i="6"/>
  <c r="DO95" i="6"/>
  <c r="DP95" i="6"/>
  <c r="DQ95" i="6"/>
  <c r="DR95" i="6"/>
  <c r="DS95" i="6"/>
  <c r="DT95" i="6"/>
  <c r="DU95" i="6"/>
  <c r="DV95" i="6"/>
  <c r="DW95" i="6"/>
  <c r="DX95" i="6"/>
  <c r="DY95" i="6"/>
  <c r="DZ95" i="6"/>
  <c r="EH95" i="6"/>
  <c r="EI95" i="6"/>
  <c r="EJ95" i="6"/>
  <c r="EK95" i="6"/>
  <c r="EL95" i="6"/>
  <c r="EM95" i="6"/>
  <c r="EN95" i="6"/>
  <c r="EO95" i="6"/>
  <c r="EP95" i="6"/>
  <c r="EQ95" i="6"/>
  <c r="ER95" i="6"/>
  <c r="ES95" i="6"/>
  <c r="ET95" i="6"/>
  <c r="EU95" i="6"/>
  <c r="EV95" i="6"/>
  <c r="EW95" i="6"/>
  <c r="EX95" i="6"/>
  <c r="FF95" i="6"/>
  <c r="FG95" i="6"/>
  <c r="FH95" i="6"/>
  <c r="FI95" i="6"/>
  <c r="FJ95" i="6"/>
  <c r="FK95" i="6"/>
  <c r="FL95" i="6"/>
  <c r="FM95" i="6"/>
  <c r="FN95" i="6"/>
  <c r="FO95" i="6"/>
  <c r="FP95" i="6"/>
  <c r="FQ95" i="6"/>
  <c r="FR95" i="6"/>
  <c r="FS95" i="6"/>
  <c r="FT95" i="6"/>
  <c r="FU95" i="6"/>
  <c r="FV95" i="6"/>
  <c r="GD95" i="6"/>
  <c r="GE95" i="6"/>
  <c r="GF95" i="6"/>
  <c r="GG95" i="6"/>
  <c r="GH95" i="6"/>
  <c r="GI95" i="6"/>
  <c r="GJ95" i="6"/>
  <c r="GK95" i="6"/>
  <c r="GL95" i="6"/>
  <c r="GM95" i="6"/>
  <c r="GN95" i="6"/>
  <c r="GO95" i="6"/>
  <c r="GP95" i="6"/>
  <c r="GQ95" i="6"/>
  <c r="GR95" i="6"/>
  <c r="GS95" i="6"/>
  <c r="GT95" i="6"/>
  <c r="HB95" i="6"/>
  <c r="HC95" i="6"/>
  <c r="HD95" i="6"/>
  <c r="HE95" i="6"/>
  <c r="HF95" i="6"/>
  <c r="HG95" i="6"/>
  <c r="HH95" i="6"/>
  <c r="HI95" i="6"/>
  <c r="HJ95" i="6"/>
  <c r="HK95" i="6"/>
  <c r="HL95" i="6"/>
  <c r="HM95" i="6"/>
  <c r="HN95" i="6"/>
  <c r="HO95" i="6"/>
  <c r="HP95" i="6"/>
  <c r="HQ95" i="6"/>
  <c r="HR95" i="6"/>
  <c r="HZ95" i="6"/>
  <c r="IA95" i="6"/>
  <c r="IB95" i="6"/>
  <c r="IC95" i="6"/>
  <c r="ID95" i="6"/>
  <c r="IE95" i="6"/>
  <c r="IF95" i="6"/>
  <c r="IG95" i="6"/>
  <c r="IH95" i="6"/>
  <c r="II95" i="6"/>
  <c r="O96" i="6"/>
  <c r="R96" i="6"/>
  <c r="S96" i="6"/>
  <c r="T96" i="6" a="1"/>
  <c r="T96" i="6"/>
  <c r="U96" i="6" a="1"/>
  <c r="U96" i="6"/>
  <c r="V96" i="6" a="1"/>
  <c r="V96" i="6"/>
  <c r="W96" i="6" a="1"/>
  <c r="W96" i="6"/>
  <c r="X96" i="6" a="1"/>
  <c r="X96" i="6"/>
  <c r="Y96" i="6" a="1"/>
  <c r="Y96" i="6"/>
  <c r="AB96" i="6"/>
  <c r="AC96" i="6" a="1"/>
  <c r="AC96" i="6"/>
  <c r="AE96" i="6"/>
  <c r="AF96" i="6"/>
  <c r="AH96" i="6" a="1"/>
  <c r="AH96" i="6"/>
  <c r="AI96" i="6" a="1"/>
  <c r="AI96" i="6"/>
  <c r="AJ96" i="6"/>
  <c r="AL96" i="6" a="1"/>
  <c r="AL96" i="6"/>
  <c r="AM96" i="6" a="1"/>
  <c r="AM96" i="6"/>
  <c r="AO96" i="6"/>
  <c r="AP96" i="6"/>
  <c r="AS96" i="6" a="1"/>
  <c r="AS96" i="6"/>
  <c r="AT96" i="6" a="1"/>
  <c r="AT96" i="6"/>
  <c r="AV96" i="6"/>
  <c r="AW96" i="6"/>
  <c r="BA96" i="6"/>
  <c r="BB96" i="6"/>
  <c r="BC96" i="6"/>
  <c r="BD96" i="6"/>
  <c r="BG96" i="6"/>
  <c r="BH96" i="6"/>
  <c r="BQ96" i="6"/>
  <c r="BR96" i="6"/>
  <c r="BS96" i="6"/>
  <c r="BT96" i="6"/>
  <c r="BU96" i="6"/>
  <c r="BV96" i="6"/>
  <c r="BW96" i="6"/>
  <c r="BX96" i="6"/>
  <c r="BY96" i="6"/>
  <c r="BZ96" i="6"/>
  <c r="CA96" i="6"/>
  <c r="CB96" i="6"/>
  <c r="CC96" i="6"/>
  <c r="CD96" i="6"/>
  <c r="CL96" i="6"/>
  <c r="CM96" i="6"/>
  <c r="CN96" i="6"/>
  <c r="CO96" i="6"/>
  <c r="CP96" i="6"/>
  <c r="CQ96" i="6"/>
  <c r="CR96" i="6"/>
  <c r="CS96" i="6"/>
  <c r="CT96" i="6"/>
  <c r="CU96" i="6"/>
  <c r="CV96" i="6"/>
  <c r="CW96" i="6"/>
  <c r="CX96" i="6"/>
  <c r="CY96" i="6"/>
  <c r="CZ96" i="6"/>
  <c r="DA96" i="6"/>
  <c r="DB96" i="6"/>
  <c r="DJ96" i="6"/>
  <c r="DK96" i="6"/>
  <c r="DL96" i="6"/>
  <c r="DM96" i="6"/>
  <c r="DN96" i="6"/>
  <c r="DO96" i="6"/>
  <c r="DP96" i="6"/>
  <c r="DQ96" i="6"/>
  <c r="DR96" i="6"/>
  <c r="DS96" i="6"/>
  <c r="DT96" i="6"/>
  <c r="DU96" i="6"/>
  <c r="DV96" i="6"/>
  <c r="DW96" i="6"/>
  <c r="DX96" i="6"/>
  <c r="DY96" i="6"/>
  <c r="DZ96" i="6"/>
  <c r="EH96" i="6"/>
  <c r="EI96" i="6"/>
  <c r="EJ96" i="6"/>
  <c r="EK96" i="6"/>
  <c r="EL96" i="6"/>
  <c r="EM96" i="6"/>
  <c r="EN96" i="6"/>
  <c r="EO96" i="6"/>
  <c r="EP96" i="6"/>
  <c r="EQ96" i="6"/>
  <c r="ER96" i="6"/>
  <c r="ES96" i="6"/>
  <c r="ET96" i="6"/>
  <c r="EU96" i="6"/>
  <c r="EV96" i="6"/>
  <c r="EW96" i="6"/>
  <c r="EX96" i="6"/>
  <c r="FF96" i="6"/>
  <c r="FG96" i="6"/>
  <c r="FH96" i="6"/>
  <c r="FI96" i="6"/>
  <c r="FJ96" i="6"/>
  <c r="FK96" i="6"/>
  <c r="FL96" i="6"/>
  <c r="FM96" i="6"/>
  <c r="FN96" i="6"/>
  <c r="FO96" i="6"/>
  <c r="FP96" i="6"/>
  <c r="FQ96" i="6"/>
  <c r="FR96" i="6"/>
  <c r="FS96" i="6"/>
  <c r="FT96" i="6"/>
  <c r="FU96" i="6"/>
  <c r="FV96" i="6"/>
  <c r="GD96" i="6"/>
  <c r="GE96" i="6"/>
  <c r="GF96" i="6"/>
  <c r="GG96" i="6"/>
  <c r="GH96" i="6"/>
  <c r="GI96" i="6"/>
  <c r="GJ96" i="6"/>
  <c r="GK96" i="6"/>
  <c r="GL96" i="6"/>
  <c r="GM96" i="6"/>
  <c r="GN96" i="6"/>
  <c r="GO96" i="6"/>
  <c r="GP96" i="6"/>
  <c r="GQ96" i="6"/>
  <c r="GR96" i="6"/>
  <c r="GS96" i="6"/>
  <c r="GT96" i="6"/>
  <c r="HB96" i="6"/>
  <c r="HC96" i="6"/>
  <c r="HD96" i="6"/>
  <c r="HE96" i="6"/>
  <c r="HF96" i="6"/>
  <c r="HG96" i="6"/>
  <c r="HH96" i="6"/>
  <c r="HI96" i="6"/>
  <c r="HJ96" i="6"/>
  <c r="HK96" i="6"/>
  <c r="HL96" i="6"/>
  <c r="HM96" i="6"/>
  <c r="HN96" i="6"/>
  <c r="HO96" i="6"/>
  <c r="HP96" i="6"/>
  <c r="HQ96" i="6"/>
  <c r="HR96" i="6"/>
  <c r="HZ96" i="6"/>
  <c r="IA96" i="6"/>
  <c r="IB96" i="6"/>
  <c r="IC96" i="6"/>
  <c r="ID96" i="6"/>
  <c r="IE96" i="6"/>
  <c r="IF96" i="6"/>
  <c r="IG96" i="6"/>
  <c r="IH96" i="6"/>
  <c r="II96" i="6"/>
  <c r="O97" i="6"/>
  <c r="R97" i="6"/>
  <c r="S97" i="6"/>
  <c r="T97" i="6" a="1"/>
  <c r="T97" i="6"/>
  <c r="U97" i="6" a="1"/>
  <c r="U97" i="6"/>
  <c r="V97" i="6" a="1"/>
  <c r="V97" i="6"/>
  <c r="W97" i="6" a="1"/>
  <c r="W97" i="6"/>
  <c r="X97" i="6" a="1"/>
  <c r="X97" i="6"/>
  <c r="Y97" i="6" a="1"/>
  <c r="Y97" i="6"/>
  <c r="AB97" i="6"/>
  <c r="AC97" i="6" a="1"/>
  <c r="AC97" i="6"/>
  <c r="AE97" i="6"/>
  <c r="AF97" i="6"/>
  <c r="AH97" i="6" a="1"/>
  <c r="AH97" i="6"/>
  <c r="AI97" i="6" a="1"/>
  <c r="AI97" i="6"/>
  <c r="AJ97" i="6"/>
  <c r="AL97" i="6" a="1"/>
  <c r="AL97" i="6"/>
  <c r="AM97" i="6" a="1"/>
  <c r="AM97" i="6"/>
  <c r="AO97" i="6"/>
  <c r="AP97" i="6"/>
  <c r="AS97" i="6" a="1"/>
  <c r="AS97" i="6"/>
  <c r="AT97" i="6" a="1"/>
  <c r="AT97" i="6"/>
  <c r="AV97" i="6"/>
  <c r="AW97" i="6"/>
  <c r="BA97" i="6"/>
  <c r="BB97" i="6"/>
  <c r="BC97" i="6"/>
  <c r="BD97" i="6"/>
  <c r="BG97" i="6"/>
  <c r="BH97" i="6"/>
  <c r="BQ97" i="6"/>
  <c r="BR97" i="6"/>
  <c r="BS97" i="6"/>
  <c r="BT97" i="6"/>
  <c r="BU97" i="6"/>
  <c r="BV97" i="6"/>
  <c r="BW97" i="6"/>
  <c r="BX97" i="6"/>
  <c r="BY97" i="6"/>
  <c r="BZ97" i="6"/>
  <c r="CA97" i="6"/>
  <c r="CB97" i="6"/>
  <c r="CC97" i="6"/>
  <c r="CD97" i="6"/>
  <c r="CL97" i="6"/>
  <c r="CM97" i="6"/>
  <c r="CN97" i="6"/>
  <c r="CO97" i="6"/>
  <c r="CP97" i="6"/>
  <c r="CQ97" i="6"/>
  <c r="CR97" i="6"/>
  <c r="CS97" i="6"/>
  <c r="CT97" i="6"/>
  <c r="CU97" i="6"/>
  <c r="CV97" i="6"/>
  <c r="CW97" i="6"/>
  <c r="CX97" i="6"/>
  <c r="CY97" i="6"/>
  <c r="CZ97" i="6"/>
  <c r="DA97" i="6"/>
  <c r="DB97" i="6"/>
  <c r="DJ97" i="6"/>
  <c r="DK97" i="6"/>
  <c r="DL97" i="6"/>
  <c r="DM97" i="6"/>
  <c r="DN97" i="6"/>
  <c r="DO97" i="6"/>
  <c r="DP97" i="6"/>
  <c r="DQ97" i="6"/>
  <c r="DR97" i="6"/>
  <c r="DS97" i="6"/>
  <c r="DT97" i="6"/>
  <c r="DU97" i="6"/>
  <c r="DV97" i="6"/>
  <c r="DW97" i="6"/>
  <c r="DX97" i="6"/>
  <c r="DY97" i="6"/>
  <c r="DZ97" i="6"/>
  <c r="EH97" i="6"/>
  <c r="EI97" i="6"/>
  <c r="EJ97" i="6"/>
  <c r="EK97" i="6"/>
  <c r="EL97" i="6"/>
  <c r="EM97" i="6"/>
  <c r="EN97" i="6"/>
  <c r="EO97" i="6"/>
  <c r="EP97" i="6"/>
  <c r="EQ97" i="6"/>
  <c r="ER97" i="6"/>
  <c r="ES97" i="6"/>
  <c r="ET97" i="6"/>
  <c r="EU97" i="6"/>
  <c r="EV97" i="6"/>
  <c r="EW97" i="6"/>
  <c r="EX97" i="6"/>
  <c r="FF97" i="6"/>
  <c r="FG97" i="6"/>
  <c r="FH97" i="6"/>
  <c r="FI97" i="6"/>
  <c r="FJ97" i="6"/>
  <c r="FK97" i="6"/>
  <c r="FL97" i="6"/>
  <c r="FM97" i="6"/>
  <c r="FN97" i="6"/>
  <c r="FO97" i="6"/>
  <c r="FP97" i="6"/>
  <c r="FQ97" i="6"/>
  <c r="FR97" i="6"/>
  <c r="FS97" i="6"/>
  <c r="FT97" i="6"/>
  <c r="FU97" i="6"/>
  <c r="FV97" i="6"/>
  <c r="GD97" i="6"/>
  <c r="GE97" i="6"/>
  <c r="GF97" i="6"/>
  <c r="GG97" i="6"/>
  <c r="GH97" i="6"/>
  <c r="GI97" i="6"/>
  <c r="GJ97" i="6"/>
  <c r="GK97" i="6"/>
  <c r="GL97" i="6"/>
  <c r="GM97" i="6"/>
  <c r="GN97" i="6"/>
  <c r="GO97" i="6"/>
  <c r="GP97" i="6"/>
  <c r="GQ97" i="6"/>
  <c r="GR97" i="6"/>
  <c r="GS97" i="6"/>
  <c r="GT97" i="6"/>
  <c r="HB97" i="6"/>
  <c r="HC97" i="6"/>
  <c r="HD97" i="6"/>
  <c r="HE97" i="6"/>
  <c r="HF97" i="6"/>
  <c r="HG97" i="6"/>
  <c r="HH97" i="6"/>
  <c r="HI97" i="6"/>
  <c r="HJ97" i="6"/>
  <c r="HK97" i="6"/>
  <c r="HL97" i="6"/>
  <c r="HM97" i="6"/>
  <c r="HN97" i="6"/>
  <c r="HO97" i="6"/>
  <c r="HP97" i="6"/>
  <c r="HQ97" i="6"/>
  <c r="HR97" i="6"/>
  <c r="HZ97" i="6"/>
  <c r="IA97" i="6"/>
  <c r="IB97" i="6"/>
  <c r="IC97" i="6"/>
  <c r="ID97" i="6"/>
  <c r="IE97" i="6"/>
  <c r="IF97" i="6"/>
  <c r="IG97" i="6"/>
  <c r="IH97" i="6"/>
  <c r="II97" i="6"/>
  <c r="O98" i="6"/>
  <c r="R98" i="6"/>
  <c r="S98" i="6"/>
  <c r="T98" i="6" a="1"/>
  <c r="T98" i="6"/>
  <c r="U98" i="6" a="1"/>
  <c r="U98" i="6"/>
  <c r="V98" i="6" a="1"/>
  <c r="V98" i="6"/>
  <c r="W98" i="6" a="1"/>
  <c r="W98" i="6"/>
  <c r="X98" i="6" a="1"/>
  <c r="X98" i="6"/>
  <c r="Y98" i="6" a="1"/>
  <c r="Y98" i="6"/>
  <c r="AB98" i="6"/>
  <c r="AC98" i="6" a="1"/>
  <c r="AC98" i="6"/>
  <c r="AE98" i="6"/>
  <c r="AF98" i="6"/>
  <c r="AH98" i="6" a="1"/>
  <c r="AH98" i="6"/>
  <c r="AI98" i="6" a="1"/>
  <c r="AI98" i="6"/>
  <c r="AJ98" i="6"/>
  <c r="AK98" i="6" a="1"/>
  <c r="AK98" i="6"/>
  <c r="AL98" i="6" a="1"/>
  <c r="AL98" i="6"/>
  <c r="AM98" i="6" a="1"/>
  <c r="AM98" i="6"/>
  <c r="AN98" i="6"/>
  <c r="AO98" i="6"/>
  <c r="AP98" i="6"/>
  <c r="AR98" i="6" a="1"/>
  <c r="AR98" i="6"/>
  <c r="AS98" i="6" a="1"/>
  <c r="AS98" i="6"/>
  <c r="AT98" i="6" a="1"/>
  <c r="AT98" i="6"/>
  <c r="AU98" i="6"/>
  <c r="AV98" i="6"/>
  <c r="AW98" i="6"/>
  <c r="BG98" i="6"/>
  <c r="BH98" i="6"/>
  <c r="BQ98" i="6"/>
  <c r="BR98" i="6"/>
  <c r="BS98" i="6"/>
  <c r="BT98" i="6"/>
  <c r="BU98" i="6"/>
  <c r="BV98" i="6"/>
  <c r="BW98" i="6"/>
  <c r="BX98" i="6"/>
  <c r="BY98" i="6"/>
  <c r="BZ98" i="6"/>
  <c r="CA98" i="6"/>
  <c r="CB98" i="6"/>
  <c r="CC98" i="6"/>
  <c r="CD98" i="6"/>
  <c r="CL98" i="6"/>
  <c r="CM98" i="6"/>
  <c r="CN98" i="6"/>
  <c r="CO98" i="6"/>
  <c r="CP98" i="6"/>
  <c r="CQ98" i="6"/>
  <c r="CR98" i="6"/>
  <c r="CS98" i="6"/>
  <c r="CT98" i="6"/>
  <c r="CU98" i="6"/>
  <c r="CV98" i="6"/>
  <c r="CW98" i="6"/>
  <c r="CX98" i="6"/>
  <c r="CY98" i="6"/>
  <c r="CZ98" i="6"/>
  <c r="DA98" i="6"/>
  <c r="DB98" i="6"/>
  <c r="DJ98" i="6"/>
  <c r="DK98" i="6"/>
  <c r="DL98" i="6"/>
  <c r="DM98" i="6"/>
  <c r="DN98" i="6"/>
  <c r="DO98" i="6"/>
  <c r="DP98" i="6"/>
  <c r="DQ98" i="6"/>
  <c r="DR98" i="6"/>
  <c r="DS98" i="6"/>
  <c r="DT98" i="6"/>
  <c r="DU98" i="6"/>
  <c r="DV98" i="6"/>
  <c r="DW98" i="6"/>
  <c r="DX98" i="6"/>
  <c r="DY98" i="6"/>
  <c r="DZ98" i="6"/>
  <c r="EH98" i="6"/>
  <c r="EI98" i="6"/>
  <c r="EJ98" i="6"/>
  <c r="EK98" i="6"/>
  <c r="EL98" i="6"/>
  <c r="EM98" i="6"/>
  <c r="EN98" i="6"/>
  <c r="EO98" i="6"/>
  <c r="EP98" i="6"/>
  <c r="EQ98" i="6"/>
  <c r="ER98" i="6"/>
  <c r="ES98" i="6"/>
  <c r="ET98" i="6"/>
  <c r="EU98" i="6"/>
  <c r="EV98" i="6"/>
  <c r="EW98" i="6"/>
  <c r="EX98" i="6"/>
  <c r="FF98" i="6"/>
  <c r="FG98" i="6"/>
  <c r="FH98" i="6"/>
  <c r="FI98" i="6"/>
  <c r="FJ98" i="6"/>
  <c r="FK98" i="6"/>
  <c r="FL98" i="6"/>
  <c r="FM98" i="6"/>
  <c r="FN98" i="6"/>
  <c r="FO98" i="6"/>
  <c r="FP98" i="6"/>
  <c r="FQ98" i="6"/>
  <c r="FR98" i="6"/>
  <c r="FS98" i="6"/>
  <c r="FT98" i="6"/>
  <c r="FU98" i="6"/>
  <c r="FV98" i="6"/>
  <c r="GD98" i="6"/>
  <c r="GE98" i="6"/>
  <c r="GF98" i="6"/>
  <c r="GG98" i="6"/>
  <c r="GH98" i="6"/>
  <c r="GI98" i="6"/>
  <c r="GJ98" i="6"/>
  <c r="GK98" i="6"/>
  <c r="GL98" i="6"/>
  <c r="GM98" i="6"/>
  <c r="GN98" i="6"/>
  <c r="GO98" i="6"/>
  <c r="GP98" i="6"/>
  <c r="GQ98" i="6"/>
  <c r="GR98" i="6"/>
  <c r="GS98" i="6"/>
  <c r="GT98" i="6"/>
  <c r="HB98" i="6"/>
  <c r="HC98" i="6"/>
  <c r="HD98" i="6"/>
  <c r="HE98" i="6"/>
  <c r="HF98" i="6"/>
  <c r="HG98" i="6"/>
  <c r="HH98" i="6"/>
  <c r="HI98" i="6"/>
  <c r="HJ98" i="6"/>
  <c r="HK98" i="6"/>
  <c r="HL98" i="6"/>
  <c r="HM98" i="6"/>
  <c r="HN98" i="6"/>
  <c r="HO98" i="6"/>
  <c r="HP98" i="6"/>
  <c r="HQ98" i="6"/>
  <c r="HR98" i="6"/>
  <c r="HZ98" i="6"/>
  <c r="IA98" i="6"/>
  <c r="IB98" i="6"/>
  <c r="IC98" i="6"/>
  <c r="ID98" i="6"/>
  <c r="IE98" i="6"/>
  <c r="IF98" i="6"/>
  <c r="IG98" i="6"/>
  <c r="IH98" i="6"/>
  <c r="II98" i="6"/>
  <c r="O99" i="6"/>
  <c r="R99" i="6"/>
  <c r="S99" i="6"/>
  <c r="T99" i="6" a="1"/>
  <c r="T99" i="6"/>
  <c r="U99" i="6" a="1"/>
  <c r="U99" i="6"/>
  <c r="V99" i="6" a="1"/>
  <c r="V99" i="6"/>
  <c r="W99" i="6" a="1"/>
  <c r="W99" i="6"/>
  <c r="X99" i="6" a="1"/>
  <c r="X99" i="6"/>
  <c r="Y99" i="6" a="1"/>
  <c r="Y99" i="6"/>
  <c r="AB99" i="6"/>
  <c r="AC99" i="6" a="1"/>
  <c r="AC99" i="6"/>
  <c r="AE99" i="6"/>
  <c r="AF99" i="6"/>
  <c r="AH99" i="6" a="1"/>
  <c r="AH99" i="6"/>
  <c r="AI99" i="6" a="1"/>
  <c r="AI99" i="6"/>
  <c r="AJ99" i="6"/>
  <c r="AL99" i="6" a="1"/>
  <c r="AL99" i="6"/>
  <c r="AM99" i="6" a="1"/>
  <c r="AM99" i="6"/>
  <c r="AO99" i="6"/>
  <c r="AP99" i="6"/>
  <c r="AS99" i="6" a="1"/>
  <c r="AS99" i="6"/>
  <c r="AT99" i="6" a="1"/>
  <c r="AT99" i="6"/>
  <c r="AV99" i="6"/>
  <c r="AW99" i="6"/>
  <c r="BA99" i="6"/>
  <c r="BB99" i="6"/>
  <c r="BC99" i="6"/>
  <c r="BD99" i="6"/>
  <c r="BG99" i="6"/>
  <c r="BH99" i="6"/>
  <c r="BQ99" i="6"/>
  <c r="BR99" i="6"/>
  <c r="BS99" i="6"/>
  <c r="BT99" i="6"/>
  <c r="BU99" i="6"/>
  <c r="BV99" i="6"/>
  <c r="BW99" i="6"/>
  <c r="BX99" i="6"/>
  <c r="BY99" i="6"/>
  <c r="BZ99" i="6"/>
  <c r="CA99" i="6"/>
  <c r="CB99" i="6"/>
  <c r="CC99" i="6"/>
  <c r="CD99" i="6"/>
  <c r="CL99" i="6"/>
  <c r="CM99" i="6"/>
  <c r="CN99" i="6"/>
  <c r="CO99" i="6"/>
  <c r="CP99" i="6"/>
  <c r="CQ99" i="6"/>
  <c r="CR99" i="6"/>
  <c r="CS99" i="6"/>
  <c r="CT99" i="6"/>
  <c r="CU99" i="6"/>
  <c r="CV99" i="6"/>
  <c r="CW99" i="6"/>
  <c r="CX99" i="6"/>
  <c r="CY99" i="6"/>
  <c r="CZ99" i="6"/>
  <c r="DA99" i="6"/>
  <c r="DB99" i="6"/>
  <c r="DJ99" i="6"/>
  <c r="DK99" i="6"/>
  <c r="DL99" i="6"/>
  <c r="DM99" i="6"/>
  <c r="DN99" i="6"/>
  <c r="DO99" i="6"/>
  <c r="DP99" i="6"/>
  <c r="DQ99" i="6"/>
  <c r="DR99" i="6"/>
  <c r="DS99" i="6"/>
  <c r="DT99" i="6"/>
  <c r="DU99" i="6"/>
  <c r="DV99" i="6"/>
  <c r="DW99" i="6"/>
  <c r="DX99" i="6"/>
  <c r="DY99" i="6"/>
  <c r="DZ99" i="6"/>
  <c r="EH99" i="6"/>
  <c r="EI99" i="6"/>
  <c r="EJ99" i="6"/>
  <c r="EK99" i="6"/>
  <c r="EL99" i="6"/>
  <c r="EM99" i="6"/>
  <c r="EN99" i="6"/>
  <c r="EO99" i="6"/>
  <c r="EP99" i="6"/>
  <c r="EQ99" i="6"/>
  <c r="ER99" i="6"/>
  <c r="ES99" i="6"/>
  <c r="ET99" i="6"/>
  <c r="EU99" i="6"/>
  <c r="EV99" i="6"/>
  <c r="EW99" i="6"/>
  <c r="EX99" i="6"/>
  <c r="FF99" i="6"/>
  <c r="FG99" i="6"/>
  <c r="FH99" i="6"/>
  <c r="FI99" i="6"/>
  <c r="FJ99" i="6"/>
  <c r="FK99" i="6"/>
  <c r="FL99" i="6"/>
  <c r="FM99" i="6"/>
  <c r="FN99" i="6"/>
  <c r="FO99" i="6"/>
  <c r="FP99" i="6"/>
  <c r="FQ99" i="6"/>
  <c r="FR99" i="6"/>
  <c r="FS99" i="6"/>
  <c r="FT99" i="6"/>
  <c r="FU99" i="6"/>
  <c r="FV99" i="6"/>
  <c r="GD99" i="6"/>
  <c r="GE99" i="6"/>
  <c r="GF99" i="6"/>
  <c r="GG99" i="6"/>
  <c r="GH99" i="6"/>
  <c r="GI99" i="6"/>
  <c r="GJ99" i="6"/>
  <c r="GK99" i="6"/>
  <c r="GL99" i="6"/>
  <c r="GM99" i="6"/>
  <c r="GN99" i="6"/>
  <c r="GO99" i="6"/>
  <c r="GP99" i="6"/>
  <c r="GQ99" i="6"/>
  <c r="GR99" i="6"/>
  <c r="GS99" i="6"/>
  <c r="GT99" i="6"/>
  <c r="HB99" i="6"/>
  <c r="HC99" i="6"/>
  <c r="HD99" i="6"/>
  <c r="HE99" i="6"/>
  <c r="HF99" i="6"/>
  <c r="HG99" i="6"/>
  <c r="HH99" i="6"/>
  <c r="HI99" i="6"/>
  <c r="HJ99" i="6"/>
  <c r="HK99" i="6"/>
  <c r="HL99" i="6"/>
  <c r="HM99" i="6"/>
  <c r="HN99" i="6"/>
  <c r="HO99" i="6"/>
  <c r="HP99" i="6"/>
  <c r="HQ99" i="6"/>
  <c r="HR99" i="6"/>
  <c r="HZ99" i="6"/>
  <c r="IA99" i="6"/>
  <c r="IB99" i="6"/>
  <c r="IC99" i="6"/>
  <c r="ID99" i="6"/>
  <c r="IE99" i="6"/>
  <c r="IF99" i="6"/>
  <c r="IG99" i="6"/>
  <c r="IH99" i="6"/>
  <c r="II99" i="6"/>
  <c r="O100" i="6"/>
  <c r="R100" i="6"/>
  <c r="S100" i="6"/>
  <c r="T100" i="6" a="1"/>
  <c r="T100" i="6"/>
  <c r="U100" i="6" a="1"/>
  <c r="U100" i="6"/>
  <c r="V100" i="6" a="1"/>
  <c r="V100" i="6"/>
  <c r="W100" i="6" a="1"/>
  <c r="W100" i="6"/>
  <c r="X100" i="6" a="1"/>
  <c r="X100" i="6"/>
  <c r="Y100" i="6" a="1"/>
  <c r="Y100" i="6"/>
  <c r="AB100" i="6"/>
  <c r="AC100" i="6" a="1"/>
  <c r="AC100" i="6"/>
  <c r="AE100" i="6"/>
  <c r="AF100" i="6"/>
  <c r="AY100" i="6"/>
  <c r="AZ100" i="6"/>
  <c r="BC100" i="6"/>
  <c r="BD100" i="6"/>
  <c r="BG100" i="6"/>
  <c r="BH100" i="6"/>
  <c r="BQ100" i="6"/>
  <c r="BR100" i="6"/>
  <c r="BS100" i="6"/>
  <c r="BT100" i="6"/>
  <c r="BU100" i="6"/>
  <c r="BV100" i="6"/>
  <c r="BW100" i="6"/>
  <c r="BX100" i="6"/>
  <c r="BY100" i="6"/>
  <c r="BZ100" i="6"/>
  <c r="CA100" i="6"/>
  <c r="CB100" i="6"/>
  <c r="CC100" i="6"/>
  <c r="CD100" i="6"/>
  <c r="CL100" i="6"/>
  <c r="CM100" i="6"/>
  <c r="CN100" i="6"/>
  <c r="CO100" i="6"/>
  <c r="CP100" i="6"/>
  <c r="CQ100" i="6"/>
  <c r="CR100" i="6"/>
  <c r="CS100" i="6"/>
  <c r="CT100" i="6"/>
  <c r="CU100" i="6"/>
  <c r="CV100" i="6"/>
  <c r="CW100" i="6"/>
  <c r="CX100" i="6"/>
  <c r="CY100" i="6"/>
  <c r="CZ100" i="6"/>
  <c r="DA100" i="6"/>
  <c r="DB100" i="6"/>
  <c r="DJ100" i="6"/>
  <c r="DK100" i="6"/>
  <c r="DL100" i="6"/>
  <c r="DM100" i="6"/>
  <c r="DN100" i="6"/>
  <c r="DO100" i="6"/>
  <c r="DP100" i="6"/>
  <c r="DQ100" i="6"/>
  <c r="DR100" i="6"/>
  <c r="DS100" i="6"/>
  <c r="DT100" i="6"/>
  <c r="DU100" i="6"/>
  <c r="DV100" i="6"/>
  <c r="DW100" i="6"/>
  <c r="DX100" i="6"/>
  <c r="DY100" i="6"/>
  <c r="DZ100" i="6"/>
  <c r="EH100" i="6"/>
  <c r="EI100" i="6"/>
  <c r="EJ100" i="6"/>
  <c r="EK100" i="6"/>
  <c r="EL100" i="6"/>
  <c r="EM100" i="6"/>
  <c r="EN100" i="6"/>
  <c r="EO100" i="6"/>
  <c r="EP100" i="6"/>
  <c r="EQ100" i="6"/>
  <c r="ER100" i="6"/>
  <c r="ES100" i="6"/>
  <c r="ET100" i="6"/>
  <c r="EU100" i="6"/>
  <c r="EV100" i="6"/>
  <c r="EW100" i="6"/>
  <c r="EX100" i="6"/>
  <c r="FF100" i="6"/>
  <c r="FG100" i="6"/>
  <c r="FH100" i="6"/>
  <c r="FI100" i="6"/>
  <c r="FJ100" i="6"/>
  <c r="FK100" i="6"/>
  <c r="FL100" i="6"/>
  <c r="FM100" i="6"/>
  <c r="FN100" i="6"/>
  <c r="FO100" i="6"/>
  <c r="FP100" i="6"/>
  <c r="FQ100" i="6"/>
  <c r="FR100" i="6"/>
  <c r="FS100" i="6"/>
  <c r="FT100" i="6"/>
  <c r="FU100" i="6"/>
  <c r="FV100" i="6"/>
  <c r="GD100" i="6"/>
  <c r="GE100" i="6"/>
  <c r="GF100" i="6"/>
  <c r="GG100" i="6"/>
  <c r="GH100" i="6"/>
  <c r="GI100" i="6"/>
  <c r="GJ100" i="6"/>
  <c r="GK100" i="6"/>
  <c r="GL100" i="6"/>
  <c r="GM100" i="6"/>
  <c r="GN100" i="6"/>
  <c r="GO100" i="6"/>
  <c r="GP100" i="6"/>
  <c r="GQ100" i="6"/>
  <c r="GR100" i="6"/>
  <c r="GS100" i="6"/>
  <c r="GT100" i="6"/>
  <c r="HB100" i="6"/>
  <c r="HC100" i="6"/>
  <c r="HD100" i="6"/>
  <c r="HE100" i="6"/>
  <c r="HF100" i="6"/>
  <c r="HG100" i="6"/>
  <c r="HH100" i="6"/>
  <c r="HI100" i="6"/>
  <c r="HJ100" i="6"/>
  <c r="HK100" i="6"/>
  <c r="HL100" i="6"/>
  <c r="HM100" i="6"/>
  <c r="HN100" i="6"/>
  <c r="HO100" i="6"/>
  <c r="HP100" i="6"/>
  <c r="HQ100" i="6"/>
  <c r="HR100" i="6"/>
  <c r="HZ100" i="6"/>
  <c r="IA100" i="6"/>
  <c r="IB100" i="6"/>
  <c r="IC100" i="6"/>
  <c r="ID100" i="6"/>
  <c r="IE100" i="6"/>
  <c r="IF100" i="6"/>
  <c r="IG100" i="6"/>
  <c r="IH100" i="6"/>
  <c r="II100" i="6"/>
  <c r="O101" i="6"/>
  <c r="R101" i="6"/>
  <c r="S101" i="6"/>
  <c r="T101" i="6" a="1"/>
  <c r="T101" i="6"/>
  <c r="U101" i="6" a="1"/>
  <c r="U101" i="6"/>
  <c r="V101" i="6" a="1"/>
  <c r="V101" i="6"/>
  <c r="W101" i="6" a="1"/>
  <c r="W101" i="6"/>
  <c r="X101" i="6" a="1"/>
  <c r="X101" i="6"/>
  <c r="Y101" i="6" a="1"/>
  <c r="Y101" i="6"/>
  <c r="AB101" i="6"/>
  <c r="AC101" i="6" a="1"/>
  <c r="AC101" i="6"/>
  <c r="AE101" i="6"/>
  <c r="AF101" i="6"/>
  <c r="AH101" i="6" a="1"/>
  <c r="AH101" i="6"/>
  <c r="AI101" i="6" a="1"/>
  <c r="AI101" i="6"/>
  <c r="AJ101" i="6"/>
  <c r="AK101" i="6" a="1"/>
  <c r="AK101" i="6"/>
  <c r="AL101" i="6" a="1"/>
  <c r="AL101" i="6"/>
  <c r="AM101" i="6" a="1"/>
  <c r="AM101" i="6"/>
  <c r="AN101" i="6"/>
  <c r="AO101" i="6"/>
  <c r="AP101" i="6"/>
  <c r="AR101" i="6" a="1"/>
  <c r="AR101" i="6"/>
  <c r="AS101" i="6" a="1"/>
  <c r="AS101" i="6"/>
  <c r="AT101" i="6" a="1"/>
  <c r="AT101" i="6"/>
  <c r="AU101" i="6"/>
  <c r="AV101" i="6"/>
  <c r="AW101" i="6"/>
  <c r="BG101" i="6"/>
  <c r="BH101" i="6"/>
  <c r="BQ101" i="6"/>
  <c r="BR101" i="6"/>
  <c r="BS101" i="6"/>
  <c r="BT101" i="6"/>
  <c r="BU101" i="6"/>
  <c r="BV101" i="6"/>
  <c r="BW101" i="6"/>
  <c r="BX101" i="6"/>
  <c r="BY101" i="6"/>
  <c r="BZ101" i="6"/>
  <c r="CA101" i="6"/>
  <c r="CB101" i="6"/>
  <c r="CC101" i="6"/>
  <c r="CD101" i="6"/>
  <c r="CL101" i="6"/>
  <c r="CM101" i="6"/>
  <c r="CN101" i="6"/>
  <c r="CO101" i="6"/>
  <c r="CP101" i="6"/>
  <c r="CQ101" i="6"/>
  <c r="CR101" i="6"/>
  <c r="CS101" i="6"/>
  <c r="CT101" i="6"/>
  <c r="CU101" i="6"/>
  <c r="CV101" i="6"/>
  <c r="CW101" i="6"/>
  <c r="CX101" i="6"/>
  <c r="CY101" i="6"/>
  <c r="CZ101" i="6"/>
  <c r="DA101" i="6"/>
  <c r="DB101" i="6"/>
  <c r="DJ101" i="6"/>
  <c r="DK101" i="6"/>
  <c r="DL101" i="6"/>
  <c r="DM101" i="6"/>
  <c r="DN101" i="6"/>
  <c r="DO101" i="6"/>
  <c r="DP101" i="6"/>
  <c r="DQ101" i="6"/>
  <c r="DR101" i="6"/>
  <c r="DS101" i="6"/>
  <c r="DT101" i="6"/>
  <c r="DU101" i="6"/>
  <c r="DV101" i="6"/>
  <c r="DW101" i="6"/>
  <c r="DX101" i="6"/>
  <c r="DY101" i="6"/>
  <c r="DZ101" i="6"/>
  <c r="EH101" i="6"/>
  <c r="EI101" i="6"/>
  <c r="EJ101" i="6"/>
  <c r="EK101" i="6"/>
  <c r="EL101" i="6"/>
  <c r="EM101" i="6"/>
  <c r="EN101" i="6"/>
  <c r="EO101" i="6"/>
  <c r="EP101" i="6"/>
  <c r="EQ101" i="6"/>
  <c r="ER101" i="6"/>
  <c r="ES101" i="6"/>
  <c r="ET101" i="6"/>
  <c r="EU101" i="6"/>
  <c r="EV101" i="6"/>
  <c r="EW101" i="6"/>
  <c r="EX101" i="6"/>
  <c r="FF101" i="6"/>
  <c r="FG101" i="6"/>
  <c r="FH101" i="6"/>
  <c r="FI101" i="6"/>
  <c r="FJ101" i="6"/>
  <c r="FK101" i="6"/>
  <c r="FL101" i="6"/>
  <c r="FM101" i="6"/>
  <c r="FN101" i="6"/>
  <c r="FO101" i="6"/>
  <c r="FP101" i="6"/>
  <c r="FQ101" i="6"/>
  <c r="FR101" i="6"/>
  <c r="FS101" i="6"/>
  <c r="FT101" i="6"/>
  <c r="FU101" i="6"/>
  <c r="FV101" i="6"/>
  <c r="GD101" i="6"/>
  <c r="GE101" i="6"/>
  <c r="GF101" i="6"/>
  <c r="GG101" i="6"/>
  <c r="GH101" i="6"/>
  <c r="GI101" i="6"/>
  <c r="GJ101" i="6"/>
  <c r="GK101" i="6"/>
  <c r="GL101" i="6"/>
  <c r="GM101" i="6"/>
  <c r="GN101" i="6"/>
  <c r="GO101" i="6"/>
  <c r="GP101" i="6"/>
  <c r="GQ101" i="6"/>
  <c r="GR101" i="6"/>
  <c r="GS101" i="6"/>
  <c r="GT101" i="6"/>
  <c r="HB101" i="6"/>
  <c r="HC101" i="6"/>
  <c r="HD101" i="6"/>
  <c r="HE101" i="6"/>
  <c r="HF101" i="6"/>
  <c r="HG101" i="6"/>
  <c r="HH101" i="6"/>
  <c r="HI101" i="6"/>
  <c r="HJ101" i="6"/>
  <c r="HK101" i="6"/>
  <c r="HL101" i="6"/>
  <c r="HM101" i="6"/>
  <c r="HN101" i="6"/>
  <c r="HO101" i="6"/>
  <c r="HP101" i="6"/>
  <c r="HQ101" i="6"/>
  <c r="HR101" i="6"/>
  <c r="HZ101" i="6"/>
  <c r="IA101" i="6"/>
  <c r="IB101" i="6"/>
  <c r="IC101" i="6"/>
  <c r="ID101" i="6"/>
  <c r="IE101" i="6"/>
  <c r="IF101" i="6"/>
  <c r="IG101" i="6"/>
  <c r="IH101" i="6"/>
  <c r="II101" i="6"/>
  <c r="O102" i="6"/>
  <c r="R102" i="6"/>
  <c r="S102" i="6"/>
  <c r="T102" i="6" a="1"/>
  <c r="T102" i="6"/>
  <c r="U102" i="6" a="1"/>
  <c r="U102" i="6"/>
  <c r="V102" i="6" a="1"/>
  <c r="V102" i="6"/>
  <c r="W102" i="6" a="1"/>
  <c r="W102" i="6"/>
  <c r="X102" i="6" a="1"/>
  <c r="X102" i="6"/>
  <c r="Y102" i="6" a="1"/>
  <c r="Y102" i="6"/>
  <c r="AB102" i="6"/>
  <c r="AC102" i="6" a="1"/>
  <c r="AC102" i="6"/>
  <c r="AE102" i="6"/>
  <c r="AF102" i="6"/>
  <c r="AY102" i="6"/>
  <c r="AZ102" i="6"/>
  <c r="BC102" i="6"/>
  <c r="BD102" i="6"/>
  <c r="BG102" i="6"/>
  <c r="BH102" i="6"/>
  <c r="BQ102" i="6"/>
  <c r="BR102" i="6"/>
  <c r="BS102" i="6"/>
  <c r="BT102" i="6"/>
  <c r="BU102" i="6"/>
  <c r="BV102" i="6"/>
  <c r="BW102" i="6"/>
  <c r="BX102" i="6"/>
  <c r="BY102" i="6"/>
  <c r="BZ102" i="6"/>
  <c r="CA102" i="6"/>
  <c r="CB102" i="6"/>
  <c r="CC102" i="6"/>
  <c r="CD102" i="6"/>
  <c r="CL102" i="6"/>
  <c r="CM102" i="6"/>
  <c r="CN102" i="6"/>
  <c r="CO102" i="6"/>
  <c r="CP102" i="6"/>
  <c r="CQ102" i="6"/>
  <c r="CR102" i="6"/>
  <c r="CS102" i="6"/>
  <c r="CT102" i="6"/>
  <c r="CU102" i="6"/>
  <c r="CV102" i="6"/>
  <c r="CW102" i="6"/>
  <c r="CX102" i="6"/>
  <c r="CY102" i="6"/>
  <c r="CZ102" i="6"/>
  <c r="DA102" i="6"/>
  <c r="DB102" i="6"/>
  <c r="DJ102" i="6"/>
  <c r="DK102" i="6"/>
  <c r="DL102" i="6"/>
  <c r="DM102" i="6"/>
  <c r="DN102" i="6"/>
  <c r="DO102" i="6"/>
  <c r="DP102" i="6"/>
  <c r="DQ102" i="6"/>
  <c r="DR102" i="6"/>
  <c r="DS102" i="6"/>
  <c r="DT102" i="6"/>
  <c r="DU102" i="6"/>
  <c r="DV102" i="6"/>
  <c r="DW102" i="6"/>
  <c r="DX102" i="6"/>
  <c r="DY102" i="6"/>
  <c r="DZ102" i="6"/>
  <c r="EH102" i="6"/>
  <c r="EI102" i="6"/>
  <c r="EJ102" i="6"/>
  <c r="EK102" i="6"/>
  <c r="EL102" i="6"/>
  <c r="EM102" i="6"/>
  <c r="EN102" i="6"/>
  <c r="EO102" i="6"/>
  <c r="EP102" i="6"/>
  <c r="EQ102" i="6"/>
  <c r="ER102" i="6"/>
  <c r="ES102" i="6"/>
  <c r="ET102" i="6"/>
  <c r="EU102" i="6"/>
  <c r="EV102" i="6"/>
  <c r="EW102" i="6"/>
  <c r="EX102" i="6"/>
  <c r="FF102" i="6"/>
  <c r="FG102" i="6"/>
  <c r="FH102" i="6"/>
  <c r="FI102" i="6"/>
  <c r="FJ102" i="6"/>
  <c r="FK102" i="6"/>
  <c r="FL102" i="6"/>
  <c r="FM102" i="6"/>
  <c r="FN102" i="6"/>
  <c r="FO102" i="6"/>
  <c r="FP102" i="6"/>
  <c r="FQ102" i="6"/>
  <c r="FR102" i="6"/>
  <c r="FS102" i="6"/>
  <c r="FT102" i="6"/>
  <c r="FU102" i="6"/>
  <c r="FV102" i="6"/>
  <c r="GD102" i="6"/>
  <c r="GE102" i="6"/>
  <c r="GF102" i="6"/>
  <c r="GG102" i="6"/>
  <c r="GH102" i="6"/>
  <c r="GI102" i="6"/>
  <c r="GJ102" i="6"/>
  <c r="GK102" i="6"/>
  <c r="GL102" i="6"/>
  <c r="GM102" i="6"/>
  <c r="GN102" i="6"/>
  <c r="GO102" i="6"/>
  <c r="GP102" i="6"/>
  <c r="GQ102" i="6"/>
  <c r="GR102" i="6"/>
  <c r="GS102" i="6"/>
  <c r="GT102" i="6"/>
  <c r="HB102" i="6"/>
  <c r="HC102" i="6"/>
  <c r="HD102" i="6"/>
  <c r="HE102" i="6"/>
  <c r="HF102" i="6"/>
  <c r="HG102" i="6"/>
  <c r="HH102" i="6"/>
  <c r="HI102" i="6"/>
  <c r="HJ102" i="6"/>
  <c r="HK102" i="6"/>
  <c r="HL102" i="6"/>
  <c r="HM102" i="6"/>
  <c r="HN102" i="6"/>
  <c r="HO102" i="6"/>
  <c r="HP102" i="6"/>
  <c r="HQ102" i="6"/>
  <c r="HR102" i="6"/>
  <c r="HZ102" i="6"/>
  <c r="IA102" i="6"/>
  <c r="IB102" i="6"/>
  <c r="IC102" i="6"/>
  <c r="ID102" i="6"/>
  <c r="IE102" i="6"/>
  <c r="IF102" i="6"/>
  <c r="IG102" i="6"/>
  <c r="IH102" i="6"/>
  <c r="II102" i="6"/>
  <c r="B4" i="10"/>
  <c r="W10" i="10"/>
  <c r="W11" i="10"/>
  <c r="Y50" i="10"/>
  <c r="Z50" i="10"/>
  <c r="AA50" i="10"/>
  <c r="AB50" i="10"/>
  <c r="AC50" i="10"/>
  <c r="AD50" i="10"/>
  <c r="AE50" i="10"/>
  <c r="Y51" i="10"/>
  <c r="Z51" i="10"/>
  <c r="AA51" i="10"/>
  <c r="AB51" i="10"/>
  <c r="AC51" i="10"/>
  <c r="AD51" i="10"/>
  <c r="AE51" i="10"/>
  <c r="Y52" i="10"/>
  <c r="Z52" i="10"/>
  <c r="AA52" i="10"/>
  <c r="AB52" i="10"/>
  <c r="AC52" i="10"/>
  <c r="AD52" i="10"/>
  <c r="AE52" i="10"/>
  <c r="Y53" i="10"/>
  <c r="Z53" i="10"/>
  <c r="AA53" i="10"/>
  <c r="AB53" i="10"/>
  <c r="AC53" i="10"/>
  <c r="AD53" i="10"/>
  <c r="AE53" i="10"/>
  <c r="Y54" i="10"/>
  <c r="Z54" i="10"/>
  <c r="AA54" i="10"/>
  <c r="AB54" i="10"/>
  <c r="AC54" i="10"/>
  <c r="AD54" i="10"/>
  <c r="AE54" i="10"/>
  <c r="Y55" i="10"/>
  <c r="Z55" i="10"/>
  <c r="AA55" i="10"/>
  <c r="AB55" i="10"/>
  <c r="AC55" i="10"/>
  <c r="AD55" i="10"/>
  <c r="AE55" i="10"/>
  <c r="Y56" i="10"/>
  <c r="Z56" i="10"/>
  <c r="AA56" i="10"/>
  <c r="AB56" i="10"/>
  <c r="AC56" i="10"/>
  <c r="AD56" i="10"/>
  <c r="AE56" i="10"/>
  <c r="Q6" i="3"/>
  <c r="P8" i="3"/>
  <c r="Q8" i="3"/>
  <c r="S67" i="3"/>
  <c r="T67" i="3"/>
  <c r="S68" i="3"/>
  <c r="T68" i="3"/>
  <c r="S71" i="3"/>
  <c r="T71" i="3"/>
  <c r="S72" i="3"/>
  <c r="T72" i="3"/>
  <c r="S79" i="3"/>
  <c r="T79" i="3"/>
  <c r="S80" i="3"/>
  <c r="T80" i="3"/>
  <c r="S83" i="3"/>
  <c r="T83" i="3"/>
  <c r="S84" i="3"/>
  <c r="T84" i="3"/>
  <c r="S87" i="3"/>
  <c r="T87" i="3"/>
  <c r="S88" i="3"/>
  <c r="T88" i="3"/>
  <c r="S91" i="3"/>
  <c r="T91" i="3"/>
  <c r="S92" i="3"/>
  <c r="T92" i="3"/>
  <c r="S95" i="3"/>
  <c r="T95" i="3"/>
  <c r="S96" i="3"/>
  <c r="T96" i="3"/>
  <c r="S98" i="3"/>
  <c r="T98" i="3"/>
  <c r="S99" i="3"/>
  <c r="T99" i="3"/>
  <c r="S100" i="3"/>
  <c r="T100" i="3"/>
  <c r="S102" i="3"/>
  <c r="T102" i="3"/>
  <c r="S103" i="3"/>
  <c r="T103" i="3"/>
  <c r="S104" i="3"/>
  <c r="T104" i="3"/>
  <c r="S106" i="3"/>
  <c r="T106" i="3"/>
  <c r="S107" i="3"/>
  <c r="T107" i="3"/>
  <c r="S108" i="3"/>
  <c r="T108" i="3"/>
  <c r="S111" i="3"/>
  <c r="T111" i="3"/>
  <c r="S112" i="3"/>
  <c r="T112" i="3"/>
  <c r="S115" i="3"/>
  <c r="T115" i="3"/>
  <c r="S116" i="3"/>
  <c r="T116" i="3"/>
  <c r="S118" i="3"/>
  <c r="T118" i="3"/>
  <c r="S119" i="3"/>
  <c r="T119" i="3"/>
  <c r="S120" i="3"/>
  <c r="T120" i="3"/>
  <c r="S122" i="3"/>
  <c r="T122" i="3"/>
  <c r="S123" i="3"/>
  <c r="T123" i="3"/>
  <c r="S124" i="3"/>
  <c r="T124" i="3"/>
  <c r="S126" i="3"/>
  <c r="T126" i="3"/>
  <c r="S127" i="3"/>
  <c r="T127" i="3"/>
  <c r="S128" i="3"/>
  <c r="T128" i="3"/>
  <c r="S131" i="3"/>
  <c r="T131" i="3"/>
  <c r="S132" i="3"/>
  <c r="T132" i="3"/>
  <c r="S135" i="3"/>
  <c r="T135" i="3"/>
  <c r="S136" i="3"/>
  <c r="T136" i="3"/>
  <c r="S139" i="3"/>
  <c r="T139" i="3"/>
  <c r="S140" i="3"/>
  <c r="T140" i="3"/>
  <c r="S143" i="3"/>
  <c r="T143" i="3"/>
  <c r="S144" i="3"/>
  <c r="T144" i="3"/>
  <c r="S198" i="3"/>
  <c r="T198" i="3"/>
  <c r="S199" i="3"/>
  <c r="T199" i="3"/>
  <c r="S200" i="3"/>
  <c r="T200" i="3"/>
  <c r="S203" i="3"/>
  <c r="T203" i="3"/>
  <c r="S204" i="3"/>
  <c r="T204" i="3"/>
  <c r="S206" i="3"/>
  <c r="T206" i="3"/>
  <c r="S207" i="3"/>
  <c r="T207" i="3"/>
  <c r="S208" i="3"/>
  <c r="T208" i="3"/>
  <c r="S211" i="3"/>
  <c r="T211" i="3"/>
  <c r="S212" i="3"/>
  <c r="T212" i="3"/>
  <c r="S215" i="3"/>
  <c r="T215" i="3"/>
  <c r="S216" i="3"/>
  <c r="T216" i="3"/>
  <c r="S218" i="3"/>
  <c r="T218" i="3"/>
  <c r="S219" i="3"/>
  <c r="T219" i="3"/>
  <c r="S220" i="3"/>
  <c r="T220" i="3"/>
  <c r="S222" i="3"/>
  <c r="T222" i="3"/>
  <c r="S223" i="3"/>
  <c r="T223" i="3"/>
  <c r="S224" i="3"/>
  <c r="T224" i="3"/>
  <c r="S226" i="3"/>
  <c r="T226" i="3"/>
  <c r="S227" i="3"/>
  <c r="T227" i="3"/>
  <c r="S228" i="3"/>
  <c r="T228" i="3"/>
  <c r="S246" i="3"/>
  <c r="T246" i="3"/>
  <c r="S247" i="3"/>
  <c r="T247" i="3"/>
  <c r="S248" i="3"/>
  <c r="T248" i="3"/>
  <c r="S250" i="3"/>
  <c r="T250" i="3"/>
  <c r="S251" i="3"/>
  <c r="T251" i="3"/>
  <c r="S252" i="3"/>
  <c r="T252" i="3"/>
  <c r="S254" i="3"/>
  <c r="T254" i="3"/>
  <c r="S255" i="3"/>
  <c r="T255" i="3"/>
  <c r="S256" i="3"/>
  <c r="T256" i="3"/>
  <c r="S259" i="3"/>
  <c r="T259" i="3"/>
  <c r="S260" i="3"/>
  <c r="T260" i="3"/>
  <c r="S263" i="3"/>
  <c r="T263" i="3"/>
  <c r="S264" i="3"/>
  <c r="T264" i="3"/>
  <c r="S267" i="3"/>
  <c r="T267" i="3"/>
  <c r="S268" i="3"/>
  <c r="T268" i="3"/>
  <c r="S271" i="3"/>
  <c r="T271" i="3"/>
  <c r="S272" i="3"/>
  <c r="T272" i="3"/>
  <c r="S275" i="3"/>
  <c r="T275" i="3"/>
  <c r="S276" i="3"/>
  <c r="T276" i="3"/>
  <c r="S330" i="3"/>
  <c r="T330" i="3"/>
  <c r="S331" i="3"/>
  <c r="T331" i="3"/>
  <c r="S332" i="3"/>
  <c r="T332" i="3"/>
  <c r="S334" i="3"/>
  <c r="T334" i="3"/>
  <c r="S335" i="3"/>
  <c r="T335" i="3"/>
  <c r="S336" i="3"/>
  <c r="T336" i="3"/>
  <c r="S338" i="3"/>
  <c r="T338" i="3"/>
  <c r="S339" i="3"/>
  <c r="T339" i="3"/>
  <c r="S340" i="3"/>
  <c r="T340" i="3"/>
  <c r="S342" i="3"/>
  <c r="T342" i="3"/>
  <c r="S343" i="3"/>
  <c r="T343" i="3"/>
  <c r="S344" i="3"/>
  <c r="T344" i="3"/>
  <c r="S346" i="3"/>
  <c r="T346" i="3"/>
  <c r="S347" i="3"/>
  <c r="T347" i="3"/>
  <c r="S348" i="3"/>
  <c r="T348" i="3"/>
  <c r="S351" i="3"/>
  <c r="T351" i="3"/>
  <c r="S352" i="3"/>
  <c r="T352" i="3"/>
  <c r="S355" i="3"/>
  <c r="T355" i="3"/>
  <c r="S356" i="3"/>
  <c r="T356" i="3"/>
  <c r="S362" i="3"/>
  <c r="T362" i="3"/>
  <c r="S363" i="3"/>
  <c r="T363" i="3"/>
  <c r="S364" i="3"/>
  <c r="T364" i="3"/>
  <c r="S367" i="3"/>
  <c r="T367" i="3"/>
  <c r="S368" i="3"/>
  <c r="T368" i="3"/>
  <c r="S371" i="3"/>
  <c r="T371" i="3"/>
  <c r="S372" i="3"/>
  <c r="T372" i="3"/>
  <c r="S375" i="3"/>
  <c r="T375" i="3"/>
  <c r="S376" i="3"/>
  <c r="T376" i="3"/>
  <c r="S378" i="3"/>
  <c r="T378" i="3"/>
  <c r="S379" i="3"/>
  <c r="T379" i="3"/>
  <c r="S380" i="3"/>
  <c r="T380" i="3"/>
  <c r="S383" i="3"/>
  <c r="T383" i="3"/>
  <c r="S384" i="3"/>
  <c r="T384" i="3"/>
  <c r="S390" i="3"/>
  <c r="T390" i="3"/>
  <c r="S391" i="3"/>
  <c r="T391" i="3"/>
  <c r="S392" i="3"/>
  <c r="T39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tc={3DC16471-E397-47EC-86A6-DFEE5D5FCC05}</author>
    <author>tc={1A8AA154-7B59-4A59-B3B0-45A1E9A477C6}</author>
    <author>tc={3A4F2EAD-1546-4DD5-8FF6-FFF71DB8D2A2}</author>
    <author>tc={6FF18C6F-AB42-44FA-A851-F4CD185A58C2}</author>
    <author>tc={25AF3FBC-3E52-4ACA-B29A-9C90A87E52DA}</author>
    <author>tc={51906813-27E7-448A-B431-1993FB0B230B}</author>
    <author>tc={880114FC-EEA6-4109-81D0-B0388917E660}</author>
    <author>tc={D4932617-8726-40E7-904C-F43E9F10CFAF}</author>
    <author>tc={7A9E46C7-CF72-41BD-84F8-00F2E87F26E4}</author>
    <author>tc={8E773F8A-4196-48BC-82F4-45CE2F18A92C}</author>
    <author>tc={D04DBA43-BE52-425D-AB26-EC30A9A0AA1B}</author>
  </authors>
  <commentList>
    <comment ref="A4" authorId="0" shapeId="0" xr:uid="{3DC16471-E397-47EC-86A6-DFEE5D5FCC05}">
      <text>
        <t>[Threaded comment]
Your version of Excel allows you to read this threaded comment; however, any edits to it will get removed if the file is opened in a newer version of Excel. Learn more: https://go.microsoft.com/fwlink/?linkid=870924
Comment:
    User manually selects the name of a step from the dropdown menu to enter an input or output of that step in the columns to the right. The dropdown menu is populated by the step names in the Name column of Process_Steps.
Select the same step name in multiple rows to indicate multiple inputs to the step, or to indicate the step's output. Each step may have any number of inputs but only one output.
If a step has been selected using the dropdown menu and the name is later changed in Process_Steps, the new step name must be re-selected using the dropdown menu. Step names that were previously selected will not update automatically.
The text in this column is used in Index/Match pairings.</t>
      </text>
    </comment>
    <comment ref="B4" authorId="1" shapeId="0" xr:uid="{1A8AA154-7B59-4A59-B3B0-45A1E9A477C6}">
      <text>
        <t>[Threaded comment]
Your version of Excel allows you to read this threaded comment; however, any edits to it will get removed if the file is opened in a newer version of Excel. Learn more: https://go.microsoft.com/fwlink/?linkid=870924
Comment:
    The user selects "Input" or "Output" from the in-cell dropdown menu to indicate if the information to be entered in the row relates to a step input (raw material, solvent, reagent, etc) or the step's product.
Each step may have any number of rows identified as "Input," but only one row identified as "Output."
The values for the dropdown list are contained in Input_or_Output using:
=INDIRECT("Input_or_Output")
The selected value is used by another =Indirect() reference in the LCA Data Source Class column to generate a dropdown list that is apporpriate for an input or output.
The entries in this column are used for Index/Match pairings or other calculation logic.</t>
      </text>
    </comment>
    <comment ref="C4" authorId="2" shapeId="0" xr:uid="{3A4F2EAD-1546-4DD5-8FF6-FFF71DB8D2A2}">
      <text>
        <t>[Threaded comment]
Your version of Excel allows you to read this threaded comment; however, any edits to it will get removed if the file is opened in a newer version of Excel. Learn more: https://go.microsoft.com/fwlink/?linkid=870924
Comment:
    The user manually selects the LCA Data Source Class using the in-cell dropdown menu. The options available within the in-cell dropdown are determined by the entry in the Input or Output column via two nested =Indirect() commands:
=INDIRECT(INDIRECT("Table_Process_Details[@[Input or Output]]"))
The dropdown list options therefore the contents of the table Input or those of the table Output, depending on whether the entry in the Input or Ouput column is "Input" or "Output". If "Output" is selected, only the option "None" is available, as LCA data for outputs is calculated from inputs. 
If the input to this step is an output from a previous step, the user should select "Process_Steps" in the dropdown, so that the LCA Data Source Subclass dropdown will provide the names of the process steps that have been entered into the Process_Steps table.
The text within this column is used to select the table for the dropdown reference of the cells in LCA Data Source Subclass, and may also be used for other calculation logic, such as identifying all inputs within a certain class.</t>
      </text>
    </comment>
    <comment ref="D4" authorId="3" shapeId="0" xr:uid="{6FF18C6F-AB42-44FA-A851-F4CD185A58C2}">
      <text>
        <t>[Threaded comment]
Your version of Excel allows you to read this threaded comment; however, any edits to it will get removed if the file is opened in a newer version of Excel. Learn more: https://go.microsoft.com/fwlink/?linkid=870924
Comment:
    The user selects the LCA Data Source Subclass (e.g., a particular solvent within the Common_Solvent class, a default or manually entered reagent in the iGAL_Aligned_Organic class, etc. 
Options are avalable via an in-cell dropdown menu that is populated based on the Name column of the table indicated by the entry in the LCA Data Source Class column via:
=INDIRECT(INDIRECT("Table_Process_Details[@[LCA Data Source Class]]")&amp;"[Name]")
Therefore, if the selected LCA Data Source Class is Common_Solvent, the dropdown list will provide the names of solvents in the Common_Solvent table. 
Similarly, if the selected LCA Data Source Class is Process_Steps, the dropdown list will allow the user to select the name of a process step that they have entered into the Name column of the Process_Steps table. If a process step name has been selected via the dropdown and the name in Process_Steps is later changed, the  user must re-select that name via the dropdown list. Previously selected step names will not update automatically. 
Do not enter the name of a step as its own input. 
The values entered here are used for Index/Match pairings to apply the right LCA data values to the step input.</t>
      </text>
    </comment>
    <comment ref="E4" authorId="4" shapeId="0" xr:uid="{25AF3FBC-3E52-4ACA-B29A-9C90A87E52DA}">
      <text>
        <t>[Threaded comment]
Your version of Excel allows you to read this threaded comment; however, any edits to it will get removed if the file is opened in a newer version of Excel. Learn more: https://go.microsoft.com/fwlink/?linkid=870924
Comment:
    User enters a unique name or identifier for the corresponding process input or output. If the same material appears more than once in this column, the names must match exactly in each instance, or Excel will treat each entry as different materials. 
The text in this column is used for plot labels and categorical data ranges, as well as Index/Match pairings and other calculation logic.</t>
      </text>
    </comment>
    <comment ref="F4" authorId="5" shapeId="0" xr:uid="{51906813-27E7-448A-B431-1993FB0B230B}">
      <text>
        <t>[Threaded comment]
Your version of Excel allows you to read this threaded comment; however, any edits to it will get removed if the file is opened in a newer version of Excel. Learn more: https://go.microsoft.com/fwlink/?linkid=870924
Comment:
    The user enters the mass of the corresponding step input or output in kilograms. 
This value is the basis for all numerical calculations within the spreadsheet, both for direct calculation of PMI, and as a multiplier for the LCA data values corresponding to the selected LCA Data Source Subclass.</t>
      </text>
    </comment>
    <comment ref="I4" authorId="6" shapeId="0" xr:uid="{880114FC-EEA6-4109-81D0-B0388917E660}">
      <text>
        <t>[Threaded comment]
Your version of Excel allows you to read this threaded comment; however, any edits to it will get removed if the file is opened in a newer version of Excel. Learn more: https://go.microsoft.com/fwlink/?linkid=870924
Comment:
    Second person reviewer may add notes and comments here</t>
      </text>
    </comment>
    <comment ref="J4" authorId="7" shapeId="0" xr:uid="{D4932617-8726-40E7-904C-F43E9F10CFAF}">
      <text>
        <t>[Threaded comment]
Your version of Excel allows you to read this threaded comment; however, any edits to it will get removed if the file is opened in a newer version of Excel. Learn more: https://go.microsoft.com/fwlink/?linkid=870924
Comment:
    This column is filled in automatically with the reference that was entered in Sheet '1. Define Process Steps.'</t>
      </text>
    </comment>
    <comment ref="K4" authorId="8" shapeId="0" xr:uid="{7A9E46C7-CF72-41BD-84F8-00F2E87F26E4}">
      <text>
        <t>[Threaded comment]
Your version of Excel allows you to read this threaded comment; however, any edits to it will get removed if the file is opened in a newer version of Excel. Learn more: https://go.microsoft.com/fwlink/?linkid=870924
Comment:
    This column is filled in automatically, but is placed here to serve as a helpful reference and reminder when filling in step details. 
The values in this column will resolve to "Real" or "Virtual", by according to the entry in the Real or Virtual column of Process_Steps in the row corresponding to the step that has been selected in Step Name. 
The text in this column is used for Index/Match pairings or other calculation logic.</t>
      </text>
    </comment>
    <comment ref="BI4" authorId="9" shapeId="0" xr:uid="{8E773F8A-4196-48BC-82F4-45CE2F18A92C}">
      <text>
        <t>[Threaded comment]
Your version of Excel allows you to read this threaded comment; however, any edits to it will get removed if the file is opened in a newer version of Excel. Learn more: https://go.microsoft.com/fwlink/?linkid=870924
Comment:
    This column is used for error-checking</t>
      </text>
    </comment>
    <comment ref="BJ4" authorId="10" shapeId="0" xr:uid="{D04DBA43-BE52-425D-AB26-EC30A9A0AA1B}">
      <text>
        <t>[Threaded comment]
Your version of Excel allows you to read this threaded comment; however, any edits to it will get removed if the file is opened in a newer version of Excel. Learn more: https://go.microsoft.com/fwlink/?linkid=870924
Comment:
    This column is used for error-checking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tc={16527EB5-A09A-414C-9F62-06BD0E84D03C}</author>
  </authors>
  <commentList>
    <comment ref="Q5" authorId="0" shapeId="0" xr:uid="{16527EB5-A09A-414C-9F62-06BD0E84D03C}">
      <text>
        <t>[Threaded comment]
Your version of Excel allows you to read this threaded comment; however, any edits to it will get removed if the file is opened in a newer version of Excel. Learn more: https://go.microsoft.com/fwlink/?linkid=870924
Comment:
    NOTE: unlike most columns in mostTables in this tool, each row of the Status column in this table should have a DISTINCT formula. Each formula detects a particular error event. Some cells may contain CSE formulae.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tc={29B07269-08C2-4BA8-B945-360734E15F36}</author>
  </authors>
  <commentList>
    <comment ref="B2" authorId="0" shapeId="0" xr:uid="{29B07269-08C2-4BA8-B945-360734E15F36}">
      <text>
        <t>[Threaded comment]
Your version of Excel allows you to read this threaded comment; however, any edits to it will get removed if the file is opened in a newer version of Excel. Learn more: https://go.microsoft.com/fwlink/?linkid=870924
Comment:
    Remember to set Other Organic equal to average of everything else if pasting in new database values.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<sst xmlns="http://schemas.openxmlformats.org/spreadsheetml/2006/main" count="1436" uniqueCount="870">
  <si>
    <t>Step Name</t>
  </si>
  <si>
    <t>Input or Output</t>
  </si>
  <si>
    <t>Reference</t>
  </si>
  <si>
    <t>Input_or_Output</t>
  </si>
  <si>
    <t>Input</t>
  </si>
  <si>
    <t>Output</t>
  </si>
  <si>
    <t>Common_Solvent</t>
  </si>
  <si>
    <t>Common_Inorganic</t>
  </si>
  <si>
    <t>Special_Metal</t>
  </si>
  <si>
    <t>Density</t>
  </si>
  <si>
    <t>CAS #</t>
  </si>
  <si>
    <t>1-butanol</t>
  </si>
  <si>
    <t>1-butyl acetate</t>
  </si>
  <si>
    <t>1-methyl-2-pyrrolidinone/N-methyl pyrrolidone (NMP)</t>
  </si>
  <si>
    <t xml:space="preserve">1-pentanol </t>
  </si>
  <si>
    <t>1-propanol</t>
  </si>
  <si>
    <t>71-36-3</t>
  </si>
  <si>
    <t>123-86-4</t>
  </si>
  <si>
    <t>872-50-4</t>
  </si>
  <si>
    <t>71-41-0</t>
  </si>
  <si>
    <t>71-23-8</t>
  </si>
  <si>
    <t>Name</t>
  </si>
  <si>
    <t>Notes</t>
  </si>
  <si>
    <t>Mass Net (kg)</t>
  </si>
  <si>
    <t>Energy (MJ)</t>
  </si>
  <si>
    <t>GWP (kg CO2 equiv.)</t>
  </si>
  <si>
    <t>Acidification (kg SO2 equiv.)</t>
  </si>
  <si>
    <t>Eutrophication (kg posphate equiv.)</t>
  </si>
  <si>
    <t>Water (kg)</t>
  </si>
  <si>
    <t>EcoInvent, sums from LCI</t>
  </si>
  <si>
    <t>EcoInvent, IPCC 2007</t>
  </si>
  <si>
    <t>EcoInvent, CML 2001</t>
  </si>
  <si>
    <t xml:space="preserve">2-butanol </t>
  </si>
  <si>
    <t>78-92-2</t>
  </si>
  <si>
    <t>2-methyl-1-butanol</t>
  </si>
  <si>
    <t>137-32-6</t>
  </si>
  <si>
    <t>2-methyl-2-propanol/tert-butanol/isobutanol</t>
  </si>
  <si>
    <t>75-65-0</t>
  </si>
  <si>
    <t>2-methylpentane/isohexane</t>
  </si>
  <si>
    <t>107-83-5</t>
  </si>
  <si>
    <t>2-propanol/isopropanol (IPA), isopropyl alcohol</t>
  </si>
  <si>
    <t>67-63-0</t>
  </si>
  <si>
    <t>3-methyl-1-butanol/isoamyl alcohol</t>
  </si>
  <si>
    <t>123-51-3</t>
  </si>
  <si>
    <t>4-methyl-2-pentanone/methyl isobutyl ketone (MIBK)</t>
  </si>
  <si>
    <t>108-10-1</t>
  </si>
  <si>
    <t>acetaldehyde</t>
  </si>
  <si>
    <t>75-07-0</t>
  </si>
  <si>
    <t>acetic acid</t>
  </si>
  <si>
    <t>64-19-7</t>
  </si>
  <si>
    <t>acetone/2-propanone</t>
  </si>
  <si>
    <t>67-64-1</t>
  </si>
  <si>
    <t xml:space="preserve">acetonitrile </t>
  </si>
  <si>
    <t>75-05-8</t>
  </si>
  <si>
    <t xml:space="preserve">benzene </t>
  </si>
  <si>
    <t>71-43-2</t>
  </si>
  <si>
    <t>benzyl alcohol</t>
  </si>
  <si>
    <t>100-51-6</t>
  </si>
  <si>
    <t xml:space="preserve">benzyl chloride </t>
  </si>
  <si>
    <t>100-44-7</t>
  </si>
  <si>
    <t xml:space="preserve">carbon tetrachloride </t>
  </si>
  <si>
    <t>56-23-5</t>
  </si>
  <si>
    <t>chloroacetic acid</t>
  </si>
  <si>
    <t>79-11-8</t>
  </si>
  <si>
    <t xml:space="preserve">cyclohexane </t>
  </si>
  <si>
    <t>110-82-7</t>
  </si>
  <si>
    <t xml:space="preserve">cyclohexanol </t>
  </si>
  <si>
    <t>108-93-0</t>
  </si>
  <si>
    <t xml:space="preserve">cyclohexanone </t>
  </si>
  <si>
    <t>108-94-1</t>
  </si>
  <si>
    <t>dichloromethane (MDC/DCM)</t>
  </si>
  <si>
    <t>75-09-2</t>
  </si>
  <si>
    <t>diethanolamine  (DEA)</t>
  </si>
  <si>
    <t>111-42-2</t>
  </si>
  <si>
    <t>diethyl ether</t>
  </si>
  <si>
    <t>60-29-7</t>
  </si>
  <si>
    <t>diethylene glycol</t>
  </si>
  <si>
    <t>111-46-6</t>
  </si>
  <si>
    <t>dimethyl ether (DME)</t>
  </si>
  <si>
    <t>115-10-6</t>
  </si>
  <si>
    <t>dimethyl sulfoxide (DMSO)</t>
  </si>
  <si>
    <t>67-68-5</t>
  </si>
  <si>
    <t>dimethylacetamide (DMAC)</t>
  </si>
  <si>
    <t>127-19-5</t>
  </si>
  <si>
    <t xml:space="preserve">dimethylamine </t>
  </si>
  <si>
    <t>124-40-3</t>
  </si>
  <si>
    <t>dioxane/1,4-dioxacyclohexane</t>
  </si>
  <si>
    <t>123-91-1</t>
  </si>
  <si>
    <t xml:space="preserve">ethanol </t>
  </si>
  <si>
    <t>64-17-5</t>
  </si>
  <si>
    <t>ethyl acetate</t>
  </si>
  <si>
    <t>141-78-6</t>
  </si>
  <si>
    <t xml:space="preserve">ethyl benzene </t>
  </si>
  <si>
    <t>100-41-4</t>
  </si>
  <si>
    <t xml:space="preserve">ethylene glycol diethyl ether </t>
  </si>
  <si>
    <t>629-14-1</t>
  </si>
  <si>
    <t>ethylene glycol/antifreeze</t>
  </si>
  <si>
    <t>107-21-1</t>
  </si>
  <si>
    <t>formaldehyde</t>
  </si>
  <si>
    <t>50-00-0</t>
  </si>
  <si>
    <t xml:space="preserve">heptane </t>
  </si>
  <si>
    <t>142-82-5</t>
  </si>
  <si>
    <t>hexane</t>
  </si>
  <si>
    <t>110-54-3</t>
  </si>
  <si>
    <t>isobutanol</t>
  </si>
  <si>
    <t>78-83-1</t>
  </si>
  <si>
    <t>isobutyl acetate</t>
  </si>
  <si>
    <t>110-19-0</t>
  </si>
  <si>
    <t>isopropyl acetate (IPAc)</t>
  </si>
  <si>
    <t>108-21-1</t>
  </si>
  <si>
    <t>methanol</t>
  </si>
  <si>
    <t>67-56-1</t>
  </si>
  <si>
    <t>methyl acetate</t>
  </si>
  <si>
    <t>79-20-9</t>
  </si>
  <si>
    <t>methyl cyclohexane</t>
  </si>
  <si>
    <t>108-87-2</t>
  </si>
  <si>
    <t>methyl ethyl ketone (MEK)/2-butanone</t>
  </si>
  <si>
    <t>78-93-3</t>
  </si>
  <si>
    <t>methyl tert-butyl ether (MTBE)</t>
  </si>
  <si>
    <t>1634-04-4</t>
  </si>
  <si>
    <t>monoethanolamine</t>
  </si>
  <si>
    <t>141-43-5</t>
  </si>
  <si>
    <t>N,N-dimethylformamide (DMF)</t>
  </si>
  <si>
    <t>68-12-2</t>
  </si>
  <si>
    <t>pentane</t>
  </si>
  <si>
    <t>109-66-0</t>
  </si>
  <si>
    <t>tert-amyl alcohol/2-methyl-2-butanol</t>
  </si>
  <si>
    <t>75-85-4</t>
  </si>
  <si>
    <t>tetrahydrofuran (THF)</t>
  </si>
  <si>
    <t>109-99-9</t>
  </si>
  <si>
    <t>toluene</t>
  </si>
  <si>
    <t>108-88-3</t>
  </si>
  <si>
    <t>trichloromethane/chloroform</t>
  </si>
  <si>
    <t>67-66-3</t>
  </si>
  <si>
    <t>triethanolamine (TEA)</t>
  </si>
  <si>
    <t>102-71-6</t>
  </si>
  <si>
    <t>triethylene glycol</t>
  </si>
  <si>
    <t>112-27-6</t>
  </si>
  <si>
    <t>trifluoromethane</t>
  </si>
  <si>
    <t>75-46-7</t>
  </si>
  <si>
    <t>xylene/P-dimethylbenzene/1,4 dimethylbenzene</t>
  </si>
  <si>
    <t>106-42-3</t>
  </si>
  <si>
    <t>p-dichlorobenzene/1,4-dichlorobenzene</t>
  </si>
  <si>
    <t>106-46-7</t>
  </si>
  <si>
    <t>o-dichlorobenzene/1,2-dichlorobenzene</t>
  </si>
  <si>
    <t>95-50-1</t>
  </si>
  <si>
    <t>water, deionized</t>
  </si>
  <si>
    <t>7732-18-5</t>
  </si>
  <si>
    <t>Other Organic…</t>
  </si>
  <si>
    <t>Averaged Organic Solvent Data</t>
  </si>
  <si>
    <t>Physical Mass (kg)</t>
  </si>
  <si>
    <t>xx</t>
  </si>
  <si>
    <t>Custom Reagent 01</t>
  </si>
  <si>
    <t>iGAL_Aligned_Organic</t>
  </si>
  <si>
    <t>Non_iGAL_Aligned_Organic</t>
  </si>
  <si>
    <t>None</t>
  </si>
  <si>
    <t>Default iGal Aligned Organic Reagent</t>
  </si>
  <si>
    <t>Default Non-iGAL Aligned Organic Reagent</t>
  </si>
  <si>
    <t>Default Inorganic Material</t>
  </si>
  <si>
    <t>LCA Data Source Class</t>
  </si>
  <si>
    <t>LCA Data Source Subclass</t>
  </si>
  <si>
    <t>Copper</t>
  </si>
  <si>
    <t>Gold</t>
  </si>
  <si>
    <t>Indium</t>
  </si>
  <si>
    <t>Iron</t>
  </si>
  <si>
    <t>Nickel</t>
  </si>
  <si>
    <t xml:space="preserve">Palladium </t>
  </si>
  <si>
    <t>Platinum</t>
  </si>
  <si>
    <t>Rhodium</t>
  </si>
  <si>
    <t>Zinc</t>
  </si>
  <si>
    <t>Process_Steps</t>
  </si>
  <si>
    <t>Product Display Name</t>
  </si>
  <si>
    <t>Unique Process Inputs</t>
  </si>
  <si>
    <t>PMI</t>
  </si>
  <si>
    <t>Real</t>
  </si>
  <si>
    <t>Virtual</t>
  </si>
  <si>
    <t>Real_or_Virtual</t>
  </si>
  <si>
    <t>Real or Virtual?</t>
  </si>
  <si>
    <t>Messages</t>
  </si>
  <si>
    <t>Real or Virtual</t>
  </si>
  <si>
    <t>RV Step PMI</t>
  </si>
  <si>
    <r>
      <t xml:space="preserve">DETAILS OF PROCESS STEPS: </t>
    </r>
    <r>
      <rPr>
        <sz val="11"/>
        <color theme="1"/>
        <rFont val="Calibri"/>
        <family val="2"/>
        <scheme val="minor"/>
      </rPr>
      <t>Fill in the yellow columns and add rows as necessary.</t>
    </r>
  </si>
  <si>
    <r>
      <t xml:space="preserve">PROCESS STEPS: </t>
    </r>
    <r>
      <rPr>
        <sz val="11"/>
        <color theme="1"/>
        <rFont val="Calibri"/>
        <family val="2"/>
        <scheme val="minor"/>
      </rPr>
      <t>Fill in the yellow columns and add rows as necessary.</t>
    </r>
  </si>
  <si>
    <t>Recycle Rate</t>
  </si>
  <si>
    <t>Table Row</t>
  </si>
  <si>
    <t>Process Metrics per kg API</t>
  </si>
  <si>
    <t>RV Mass Net (kg) per kg API</t>
  </si>
  <si>
    <t>RV Energy (MJ) per kg API</t>
  </si>
  <si>
    <t>RV GWP (kg CO2 equiv.) per kg API</t>
  </si>
  <si>
    <t>RV Acidification (kg SO2 equiv.) per kg API</t>
  </si>
  <si>
    <t>RV Eutrophication (kg phosphate equiv.) per kg API</t>
  </si>
  <si>
    <t>RV Water (kg) per kg API</t>
  </si>
  <si>
    <t>Physical Mass per kg API</t>
  </si>
  <si>
    <t>Total [Physical Mass per kg API] of Unique Inputs</t>
  </si>
  <si>
    <t>Unique Inputs Sorted by [Physical Mass per kg API]</t>
  </si>
  <si>
    <t>Total [Mass Net (kg) per kg API] of Unique Inputs</t>
  </si>
  <si>
    <t>Unique Inputs Sorted by [Mass Net (kg) per kg API]</t>
  </si>
  <si>
    <t>[Physical Mass per kg API] of Unique Inputs Sorted by [Physical Mass per kg API]</t>
  </si>
  <si>
    <t>[Mass Net (kg) per kg API] of Unique Inputs Sorted by [Mass Net (kg) per kg API]</t>
  </si>
  <si>
    <t>Total [Energy (MJ) per kg API] of Unique Inputs</t>
  </si>
  <si>
    <t>Unique Inputs Sorted by [Energy (MJ) per kg API]</t>
  </si>
  <si>
    <t>[Energy (MJ) per kg API] of Unique Inputs Sorted by [Energy (MJ) per kg API]</t>
  </si>
  <si>
    <t>Total [GWP (kg CO2 equiv.) per kg API] of Unique Inputs</t>
  </si>
  <si>
    <t>Unique Inputs Sorted by [GWP (kg CO2 equiv.) per kg API]</t>
  </si>
  <si>
    <t>[GWP (kg CO2 equiv.) per kg API] of Unique Inputs Sorted by [GWP (kg CO2 equiv.) per kg API]</t>
  </si>
  <si>
    <t>Total [Acidification (kg SO2 equiv.) per kg API] of Unique Inputs</t>
  </si>
  <si>
    <t>Unique Inputs Sorted by [Acidification (kg SO2 equiv.) per kg API]</t>
  </si>
  <si>
    <t>[Acidification (kg SO2 equiv.) per kg API] of Unique Inputs Sorted by [Acidification (kg SO2 equiv.) per kg API]</t>
  </si>
  <si>
    <t>Total [Eutrophication (kg posphate equiv.) per kg API] of Unique Inputs</t>
  </si>
  <si>
    <t>Unique Inputs Sorted by [Eutrophication (kg posphate equiv.) per kg API]</t>
  </si>
  <si>
    <t>[Eutrophication (kg posphate equiv.) per kg API] of Unique Inputs Sorted by [Eutrophication (kg posphate equiv.) per kg API]</t>
  </si>
  <si>
    <t>Total [Water (kg) per kg API] of Unique Inputs</t>
  </si>
  <si>
    <t>Unique Inputs Sorted by [Water (kg) per kg API]</t>
  </si>
  <si>
    <t>[Water (kg) per kg API] of Unique Inputs Sorted by [Water (kg) per kg API]</t>
  </si>
  <si>
    <t>Cumulative Sum of [Water(kg) per kg API]</t>
  </si>
  <si>
    <t>RV Step Mass Net (kg) per kg API</t>
  </si>
  <si>
    <t>RV Step Energy (MJ) per kg API</t>
  </si>
  <si>
    <t>RV Step GWP (kg CO2 equiv.) per kg API</t>
  </si>
  <si>
    <t>RV Step Acidification (kg SO2 equiv.) per kg API</t>
  </si>
  <si>
    <t>RV Step Eutrophication (kg posphate equiv.) per kg API</t>
  </si>
  <si>
    <t>RV Step Water (kg) per kg API</t>
  </si>
  <si>
    <t>RV Physical Mass per kg API</t>
  </si>
  <si>
    <t>Labels for [Water (kg) per kg API]</t>
  </si>
  <si>
    <t>Cumulative Sum of [Eutrophication (kg posphate equiv.) per kg API]</t>
  </si>
  <si>
    <t>Labels for [Eutrophication (kg posphate equiv.) per kg API]</t>
  </si>
  <si>
    <t>Cumulative Sum of [Acidification (kg SO2 equiv.) per kg API]</t>
  </si>
  <si>
    <t>Labels for [Acidification (kg SO2 equiv.) per kg API]</t>
  </si>
  <si>
    <t>Cumulative Sum of [GWP (kg CO2 equiv.) per kg API]</t>
  </si>
  <si>
    <t>Labels for [GWP (kg CO2 equiv.) per kg API]</t>
  </si>
  <si>
    <t>Cumulative Sum of [Energy (MJ) per kg API]</t>
  </si>
  <si>
    <t>Labels for [Energy (MJ) per kg API]</t>
  </si>
  <si>
    <t>Cumulative Sum of [Mass Net (kg) per kg API]</t>
  </si>
  <si>
    <t>Labels for [Mass Net (kg) per kg API]</t>
  </si>
  <si>
    <t>Cumulative Sum of [Physical Mass per kg API]</t>
  </si>
  <si>
    <t>Labels for [Physical Mass per kg API]</t>
  </si>
  <si>
    <t>Table_Process_Overview</t>
  </si>
  <si>
    <t>RV Step PMI per kg API</t>
  </si>
  <si>
    <t>Display Name</t>
  </si>
  <si>
    <t>Recycle Rate Reference</t>
  </si>
  <si>
    <t>Steps Sorted by [RV Step PMI per kg API]</t>
  </si>
  <si>
    <t>Name if Real</t>
  </si>
  <si>
    <t>[RV Step PMI per kg API] of Each Step Sorted by [RV Step PMI per kg API]</t>
  </si>
  <si>
    <t>Steps Sorted by [RV Step Mass Net (kg) per kg API]</t>
  </si>
  <si>
    <t>[RV Step Mass Net (kg) per kg API] of Each Step Sorted by [RV Step Mass Net (kg) per kg API]</t>
  </si>
  <si>
    <t>[RV Step Energy (MJ) per kg API] of Each Step Sorted by [RV Step Energy (MJ) per kg API]</t>
  </si>
  <si>
    <t>Steps Sorted by [RV Step Energy (MJ) per kg API]</t>
  </si>
  <si>
    <t xml:space="preserve">Cumulative Sum of [RV Step PMI per kg API] </t>
  </si>
  <si>
    <t>Labels for [RV Step PMI per kg API]</t>
  </si>
  <si>
    <t>[RV Step PMI per kg API]</t>
  </si>
  <si>
    <t>[RV Step Mass Net (kg) per kg API]</t>
  </si>
  <si>
    <t>[RV Step Energy (MJ) per kg API]</t>
  </si>
  <si>
    <t>[RV Step GWP (kg CO2 equiv.) per kg API]</t>
  </si>
  <si>
    <t>[RV Step Acidification (kg SO2 equiv.) per kg API]</t>
  </si>
  <si>
    <t>[RV Step Eutrophication (kg phosphate equiv.) per kg API]</t>
  </si>
  <si>
    <t>[RV Step Water (kg) per kg API]</t>
  </si>
  <si>
    <t>Cumulative Sum of [RV Step Mass Net (kg) per kg API]</t>
  </si>
  <si>
    <t>Labels for [RV Step Mass Net (kg) per kg API]</t>
  </si>
  <si>
    <t>Cumulative Sum of [RV Step Energy (MJ) per kg API]</t>
  </si>
  <si>
    <t>Labels for [RV Step Energy (MJ) per kg API]</t>
  </si>
  <si>
    <t>Steps Sorted by [RV Step GWP (kg CO2 equiv.) per kg API]</t>
  </si>
  <si>
    <t>[RV Step GWP (kg CO2 equiv.) per kg API] of Each Step Sorted by [RV Step GWP (kg CO2 equiv.) per kg API]</t>
  </si>
  <si>
    <t>Cumulative Sum of [RV Step GWP (kg CO2 equiv.) per kg API]</t>
  </si>
  <si>
    <t>Labels for [RV Step GWP (kg CO2 equiv.) per kg API]</t>
  </si>
  <si>
    <t>Steps Sorted by [RV Step Acidification (kg SO2 equiv.) per kg API]</t>
  </si>
  <si>
    <t>[RV Step Acidification (kg SO2 equiv.) per kg API] of Each Step Sorted by [RV Step Acidification (kg SO2 equiv.) per kg API]</t>
  </si>
  <si>
    <t>Cumulative Sum of [RV Step Acidification (kg SO2 equiv.) per kg API]</t>
  </si>
  <si>
    <t>Labels for [RV Step Acidification (kg SO2 equiv.) per kg API]</t>
  </si>
  <si>
    <t>Steps Sorted by [RV Step Eutrophication (kg phosphate equiv.) per kg API]</t>
  </si>
  <si>
    <t>[RV Step Eutrophication (kg phosphate equiv.) per kg API] of Each Step Sorted by [RV Step Eutrophication (kg phosphate equiv.) per kg API]</t>
  </si>
  <si>
    <t>Cumulative Sum of [RV Step Eutrophication (kg phosphate equiv.) per kg API]</t>
  </si>
  <si>
    <t>Labels for [RV Step Eutrophication (kg phosphate equiv.) per kg API]</t>
  </si>
  <si>
    <t>Steps Sorted by [RV Step Water (kg) per kg API]</t>
  </si>
  <si>
    <t>[RV Step Water (kg) per kg API] of Each Step Sorted by [RV Step Water (kg) per kg API]</t>
  </si>
  <si>
    <t>Cumulative Sum of [RV Step Water (kg) per kg API]</t>
  </si>
  <si>
    <t>Labels for [RV Step Water (kg) per kg API]</t>
  </si>
  <si>
    <t>Data Table</t>
  </si>
  <si>
    <t xml:space="preserve"> By Material</t>
  </si>
  <si>
    <t xml:space="preserve"> By Step</t>
  </si>
  <si>
    <t>Mass Net  per kg API</t>
  </si>
  <si>
    <t>Physical Mass and PMI per kg API</t>
  </si>
  <si>
    <t>Energy  per kg API</t>
  </si>
  <si>
    <t>GWP per kg API</t>
  </si>
  <si>
    <t>Acidification per kg API</t>
  </si>
  <si>
    <t>Eutrophication per kg API</t>
  </si>
  <si>
    <t>Water per kg API</t>
  </si>
  <si>
    <t>NOTE: When updating Common_Solvent Database, inlude "Other Organic…" with properties equal to average of props from the other organic solvents. Also add "water, deionized".</t>
  </si>
  <si>
    <t>Acidification (kg SO2 equiv.)
(Pre-Recycling)</t>
  </si>
  <si>
    <t>Energy (MJ)
(Pre-Recycling)</t>
  </si>
  <si>
    <t>Mass Net (kg)
(Pre-Recycling)</t>
  </si>
  <si>
    <t>Eutrophication (kg posphate equiv.)
(Pre-Recycling)</t>
  </si>
  <si>
    <t>Water (kg)
(Pre-Recycling)</t>
  </si>
  <si>
    <t>"easy to recover"</t>
  </si>
  <si>
    <t>http://link.springer.com/article/10.1007%2Fs11144-005-0213-6</t>
  </si>
  <si>
    <t>http://www.ncbi.nlm.nih.gov/pubmed/21784579</t>
  </si>
  <si>
    <t>http://www.sciencedirect.com/science/article/pii/S0304386X10000460?np=y</t>
  </si>
  <si>
    <t>As part of a vanadium catalyst</t>
  </si>
  <si>
    <t>Recycling Notes</t>
  </si>
  <si>
    <t>90-98.6%. 
99% for Nickel oxide</t>
  </si>
  <si>
    <t>http://www.sciencedirect.com/science/article/pii/S0304389409019578
http://www.sciencedirect.com/science/article/pii/S0956053X01000241</t>
  </si>
  <si>
    <t>80-90% in industry. Up to 95% for state of the art</t>
  </si>
  <si>
    <t>http://www.technology.matthey.com/article/56/1/29-35/</t>
  </si>
  <si>
    <t>http://www.technology.matthey.com/article/56/1/29-35/
http://www.ncbi.nlm.nih.gov/pubmed/21784579</t>
  </si>
  <si>
    <t>80-90% in industry. Up to 95% for state of the art. &gt;98% reported using chloride medium</t>
  </si>
  <si>
    <t>http://www.sciencedirect.com/science/article/pii/0378382078900073</t>
  </si>
  <si>
    <t>98.5-99.7%</t>
  </si>
  <si>
    <t>These post-recycling values are used in the LCA calculations.</t>
  </si>
  <si>
    <t>GWP (kg CO2 equiv.)
(Pre-Recycling)</t>
  </si>
  <si>
    <t>ê</t>
  </si>
  <si>
    <t>Bar Graph Style</t>
  </si>
  <si>
    <t>Radar Plot Style</t>
  </si>
  <si>
    <t>Status</t>
  </si>
  <si>
    <t/>
  </si>
  <si>
    <t>Physical Mass per kg API (REAGENT)</t>
  </si>
  <si>
    <t>Physical Mass per kg API (SOLVENT)</t>
  </si>
  <si>
    <t>Physical Mass per kg API (WATER)</t>
  </si>
  <si>
    <t>RV Physical Mass per kg API (REAGENT)</t>
  </si>
  <si>
    <t>RV Physical Mass per kg API (SOLVENT)</t>
  </si>
  <si>
    <t>RV Physical Mass per kg API (WATER)</t>
  </si>
  <si>
    <t>Total [Physical Mass per kg API] of Unique Inputs (REAGENT)</t>
  </si>
  <si>
    <t>Total [Physical Mass per kg API] of Unique Inputs (SOLVENT)</t>
  </si>
  <si>
    <t>Total [Physical Mass per kg API] of Unique Inputs (WATER)</t>
  </si>
  <si>
    <t>[Physical Mass per kg API] of Unique Inputs Sorted by [Physical Mass per kg API] (REAGENT)</t>
  </si>
  <si>
    <t>[Physical Mass per kg API] of Unique Inputs Sorted by [Physical Mass per kg API] (SOLVENT)</t>
  </si>
  <si>
    <t>[Physical Mass per kg API] of Unique Inputs Sorted by [Physical Mass per kg API] (WATER)</t>
  </si>
  <si>
    <t>Total [Physical Mass per kg API] of Unique Inputs (OTHER)</t>
  </si>
  <si>
    <t>Physical Mass per kg API (OTHER)</t>
  </si>
  <si>
    <t>Physical Mass per kg API (METAL)</t>
  </si>
  <si>
    <t>Physical Mass per kg API (ENZ&amp;PLNT)</t>
  </si>
  <si>
    <t>Enzymes_and_Plant_Extracts</t>
  </si>
  <si>
    <t>Not accounting for Virtual vs Real steps</t>
  </si>
  <si>
    <t>Total across classes</t>
  </si>
  <si>
    <t>Breakdown by material class</t>
  </si>
  <si>
    <t>RV Physical Mass per kg API (METAL)</t>
  </si>
  <si>
    <t>RV Physical Mass per kg API (ENZ&amp;PLNT)</t>
  </si>
  <si>
    <t>RV Physical Mass per kg API (OTHER)</t>
  </si>
  <si>
    <t>Accounting for Virtual vs Real steps</t>
  </si>
  <si>
    <t>Total [Physical Mass per kg API] of Unique Inputs (METAL)</t>
  </si>
  <si>
    <t>Total [Physical Mass per kg API] of Unique Inputs (ENZ&amp;PLNT)</t>
  </si>
  <si>
    <t>[Physical Mass per kg API] of Unique Inputs Sorted by [Physical Mass per kg API] (METAL)</t>
  </si>
  <si>
    <t>[Physical Mass per kg API] of Unique Inputs Sorted by [Physical Mass per kg API] (ENZ&amp;PLNT)</t>
  </si>
  <si>
    <t>[Physical Mass per kg API] of Unique Inputs Sorted by [Physical Mass per kg API] (OTHER)</t>
  </si>
  <si>
    <t>Accounting for Virtual vs Real steps, and sorted by total value</t>
  </si>
  <si>
    <t>RV Mass Net (kg) per kg API (METAL)</t>
  </si>
  <si>
    <t>RV Mass Net (kg) per kg API (SOLVENT)</t>
  </si>
  <si>
    <t>RV Mass Net (kg) per kg API (WATER)</t>
  </si>
  <si>
    <t>RV Mass Net (kg) per kg API (ENZ&amp;PLNT)</t>
  </si>
  <si>
    <t>RV Mass Net (kg) per kg API (OTHER)</t>
  </si>
  <si>
    <t>Classes</t>
  </si>
  <si>
    <t>Classification</t>
  </si>
  <si>
    <t>Material Class</t>
  </si>
  <si>
    <t>SOLVENT</t>
  </si>
  <si>
    <t>REAGENT</t>
  </si>
  <si>
    <t>WATER</t>
  </si>
  <si>
    <t>ENZ&amp;PLNT</t>
  </si>
  <si>
    <t>METAL</t>
  </si>
  <si>
    <t>OTHER</t>
  </si>
  <si>
    <t>Custom Metal 01</t>
  </si>
  <si>
    <t>Custom Water 01</t>
  </si>
  <si>
    <t>Custom Enzyme 01</t>
  </si>
  <si>
    <t>Custom Solvent 01</t>
  </si>
  <si>
    <t>Custom Other 01</t>
  </si>
  <si>
    <t>RV Energy (MJ) per kg API (REAGENT)</t>
  </si>
  <si>
    <t>RV Energy (MJ) per kg API (METAL)</t>
  </si>
  <si>
    <t>RV Energy (MJ) per kg API (SOLVENT)</t>
  </si>
  <si>
    <t>RV Energy (MJ) per kg API (WATER)</t>
  </si>
  <si>
    <t>RV Energy (MJ) per kg API (ENZ&amp;PLNT)</t>
  </si>
  <si>
    <t>RV Energy (MJ) per kg API (OTHER)</t>
  </si>
  <si>
    <t>RV GWP (kg CO2 equiv.) per kg API (REAGENT)</t>
  </si>
  <si>
    <t>RV GWP (kg CO2 equiv.) per kg API (METAL)</t>
  </si>
  <si>
    <t>RV GWP (kg CO2 equiv.) per kg API (SOLVENT)</t>
  </si>
  <si>
    <t>RV GWP (kg CO2 equiv.) per kg API (WATER)</t>
  </si>
  <si>
    <t>RV GWP (kg CO2 equiv.) per kg API (ENZ&amp;PLNT)</t>
  </si>
  <si>
    <t>RV GWP (kg CO2 equiv.) per kg API (OTHER)</t>
  </si>
  <si>
    <t>RV Acidification (kg SO2 equiv.) per kg API (REAGENT)</t>
  </si>
  <si>
    <t>RV Acidification (kg SO2 equiv.) per kg API (METAL)</t>
  </si>
  <si>
    <t>RV Acidification (kg SO2 equiv.) per kg API (SOLVENT)</t>
  </si>
  <si>
    <t>RV Acidification (kg SO2 equiv.) per kg API (WATER)</t>
  </si>
  <si>
    <t>RV Acidification (kg SO2 equiv.) per kg API (ENZ&amp;PLNT)</t>
  </si>
  <si>
    <t>RV Acidification (kg SO2 equiv.) per kg API (OTHER)</t>
  </si>
  <si>
    <t>RV Eutrophication (kg phosphate equiv.) per kg API (REAGENT)</t>
  </si>
  <si>
    <t>RV Eutrophication (kg phosphate equiv.) per kg API (METAL)</t>
  </si>
  <si>
    <t>RV Eutrophication (kg phosphate equiv.) per kg API (SOLVENT)</t>
  </si>
  <si>
    <t>RV Eutrophication (kg phosphate equiv.) per kg API (WATER)</t>
  </si>
  <si>
    <t>RV Eutrophication (kg phosphate equiv.) per kg API (ENZ&amp;PLNT)</t>
  </si>
  <si>
    <t>RV Eutrophication (kg phosphate equiv.) per kg API (OTHER)</t>
  </si>
  <si>
    <t>RV Water (kg) per kg API (REAGENT)</t>
  </si>
  <si>
    <t>RV Water (kg) per kg API (METAL)</t>
  </si>
  <si>
    <t>RV Water (kg) per kg API (SOLVENT)</t>
  </si>
  <si>
    <t>RV Water (kg) per kg API (WATER)</t>
  </si>
  <si>
    <t>RV Water (kg) per kg API (ENZ&amp;PLNT)</t>
  </si>
  <si>
    <t>RV Water (kg) per kg API (OTHER)</t>
  </si>
  <si>
    <t>Accounting for virtual steps and grouped by unique material inputs</t>
  </si>
  <si>
    <t>Total [Mass Net (kg) per kg API] of Unique Inputs (REAGENT)</t>
  </si>
  <si>
    <t>Total [Mass Net (kg) per kg API] of Unique Inputs (METAL)</t>
  </si>
  <si>
    <t>Total [Mass Net (kg) per kg API] of Unique Inputs (SOLVENT)</t>
  </si>
  <si>
    <t>Total [Mass Net (kg) per kg API] of Unique Inputs (WATER)</t>
  </si>
  <si>
    <t>Total [Mass Net (kg) per kg API] of Unique Inputs (ENZ&amp;PLNT)</t>
  </si>
  <si>
    <t>Total [Mass Net (kg) per kg API] of Unique Inputs (OTHER)</t>
  </si>
  <si>
    <t>Total [Energy (MJ) per kg API] of Unique Inputs (REAGENT)</t>
  </si>
  <si>
    <t>Total [Energy (MJ) per kg API] of Unique Inputs (METAL)</t>
  </si>
  <si>
    <t>Total [Energy (MJ) per kg API] of Unique Inputs (SOLVENT)</t>
  </si>
  <si>
    <t>Total [Energy (MJ) per kg API] of Unique Inputs (WATER)</t>
  </si>
  <si>
    <t>Total [Energy (MJ) per kg API] of Unique Inputs (ENZ&amp;PLNT)</t>
  </si>
  <si>
    <t>Total [Energy (MJ) per kg API] of Unique Inputs (OTHER)</t>
  </si>
  <si>
    <t>Total [GWP (kg CO2 equiv.) per kg API] of Unique Inputs (REAGENT)</t>
  </si>
  <si>
    <t>Total [GWP (kg CO2 equiv.) per kg API] of Unique Inputs (METAL)</t>
  </si>
  <si>
    <t>Total [GWP (kg CO2 equiv.) per kg API] of Unique Inputs (SOLVENT)</t>
  </si>
  <si>
    <t>Total [GWP (kg CO2 equiv.) per kg API] of Unique Inputs (WATER)</t>
  </si>
  <si>
    <t>Total [GWP (kg CO2 equiv.) per kg API] of Unique Inputs (ENZ&amp;PLNT)</t>
  </si>
  <si>
    <t>Total [GWP (kg CO2 equiv.) per kg API] of Unique Inputs (OTHER)</t>
  </si>
  <si>
    <t>Total [Acidification (kg SO2 equiv.) per kg API] of Unique Inputs (REAGENT)</t>
  </si>
  <si>
    <t>Total [Acidification (kg SO2 equiv.) per kg API] of Unique Inputs (METAL)</t>
  </si>
  <si>
    <t>Total [Acidification (kg SO2 equiv.) per kg API] of Unique Inputs (SOLVENT)</t>
  </si>
  <si>
    <t>Total [Acidification (kg SO2 equiv.) per kg API] of Unique Inputs (WATER)</t>
  </si>
  <si>
    <t>Total [Acidification (kg SO2 equiv.) per kg API] of Unique Inputs (ENZ&amp;PLNT)</t>
  </si>
  <si>
    <t>Total [Acidification (kg SO2 equiv.) per kg API] of Unique Inputs (OTHER)</t>
  </si>
  <si>
    <t>Total [Eutrophication (kg posphate equiv.) per kg API] of Unique Inputs (REAGENT)</t>
  </si>
  <si>
    <t>Total [Eutrophication (kg posphate equiv.) per kg API] of Unique Inputs (METAL)</t>
  </si>
  <si>
    <t>Total [Eutrophication (kg posphate equiv.) per kg API] of Unique Inputs (SOLVENT)</t>
  </si>
  <si>
    <t>Total [Eutrophication (kg posphate equiv.) per kg API] of Unique Inputs (WATER)</t>
  </si>
  <si>
    <t>Total [Eutrophication (kg posphate equiv.) per kg API] of Unique Inputs (ENZ&amp;PLNT)</t>
  </si>
  <si>
    <t>Total [Eutrophication (kg posphate equiv.) per kg API] of Unique Inputs (OTHER)</t>
  </si>
  <si>
    <t>Total [Water (kg) per kg API] of Unique Inputs (REAGENT)</t>
  </si>
  <si>
    <t>Total [Water (kg) per kg API] of Unique Inputs (METAL)</t>
  </si>
  <si>
    <t>Total [Water (kg) per kg API] of Unique Inputs (SOLVENT)</t>
  </si>
  <si>
    <t>Total [Water (kg) per kg API] of Unique Inputs (WATER)</t>
  </si>
  <si>
    <t>Total [Water (kg) per kg API] of Unique Inputs (ENZ&amp;PLNT)</t>
  </si>
  <si>
    <t>Total [Water (kg) per kg API] of Unique Inputs (OTHER)</t>
  </si>
  <si>
    <t>RV Mass Net (kg) per kg API (REAGENT)</t>
  </si>
  <si>
    <t>[Mass Net (kg) per kg API] of Unique Inputs Sorted by [Mass Net (kg) per kg API] (REAGENT)</t>
  </si>
  <si>
    <t>[Mass Net (kg) per kg API] of Unique Inputs Sorted by [Mass Net (kg) per kg API] (METAL)</t>
  </si>
  <si>
    <t>[Mass Net (kg) per kg API] of Unique Inputs Sorted by [Mass Net (kg) per kg API] (SOLVENT)</t>
  </si>
  <si>
    <t>[Mass Net (kg) per kg API] of Unique Inputs Sorted by [Mass Net (kg) per kg API] (WATER)</t>
  </si>
  <si>
    <t>[Mass Net (kg) per kg API] of Unique Inputs Sorted by [Mass Net (kg) per kg API] (ENZ&amp;PLNT)</t>
  </si>
  <si>
    <t>[Mass Net (kg) per kg API] of Unique Inputs Sorted by [Mass Net (kg) per kg API] (OTHER)</t>
  </si>
  <si>
    <t>[Energy (MJ) per kg API] of Unique Inputs Sorted by [Energy (MJ) per kg API] (REAGENT)</t>
  </si>
  <si>
    <t>[Energy (MJ) per kg API] of Unique Inputs Sorted by [Energy (MJ) per kg API] (METAL)</t>
  </si>
  <si>
    <t>[Energy (MJ) per kg API] of Unique Inputs Sorted by [Energy (MJ) per kg API] (SOLVENT)</t>
  </si>
  <si>
    <t>[Energy (MJ) per kg API] of Unique Inputs Sorted by [Energy (MJ) per kg API] (WATER)</t>
  </si>
  <si>
    <t>[Energy (MJ) per kg API] of Unique Inputs Sorted by [Energy (MJ) per kg API] (ENZ&amp;PLNT)</t>
  </si>
  <si>
    <t>[Energy (MJ) per kg API] of Unique Inputs Sorted by [Energy (MJ) per kg API] (OTHER)</t>
  </si>
  <si>
    <t>[GWP (kg CO2 equiv.) per kg API] of Unique Inputs Sorted by [GWP (kg CO2 equiv.) per kg API] (REAGENT)</t>
  </si>
  <si>
    <t>[GWP (kg CO2 equiv.) per kg API] of Unique Inputs Sorted by [GWP (kg CO2 equiv.) per kg API] (METAL)</t>
  </si>
  <si>
    <t>[GWP (kg CO2 equiv.) per kg API] of Unique Inputs Sorted by [GWP (kg CO2 equiv.) per kg API] (SOLVENT)</t>
  </si>
  <si>
    <t>[GWP (kg CO2 equiv.) per kg API] of Unique Inputs Sorted by [GWP (kg CO2 equiv.) per kg API] (WATER)</t>
  </si>
  <si>
    <t>[GWP (kg CO2 equiv.) per kg API] of Unique Inputs Sorted by [GWP (kg CO2 equiv.) per kg API] (ENZ&amp;PLNT)</t>
  </si>
  <si>
    <t>[GWP (kg CO2 equiv.) per kg API] of Unique Inputs Sorted by [GWP (kg CO2 equiv.) per kg API] (OTHER)</t>
  </si>
  <si>
    <t>[Acidification (kg SO2 equiv.) per kg API] of Unique Inputs Sorted by [Acidification (kg SO2 equiv.) per kg API] (REAGENT)</t>
  </si>
  <si>
    <t>[Acidification (kg SO2 equiv.) per kg API] of Unique Inputs Sorted by [Acidification (kg SO2 equiv.) per kg API] (METAL)</t>
  </si>
  <si>
    <t>[Acidification (kg SO2 equiv.) per kg API] of Unique Inputs Sorted by [Acidification (kg SO2 equiv.) per kg API] (SOLVENT)</t>
  </si>
  <si>
    <t>[Acidification (kg SO2 equiv.) per kg API] of Unique Inputs Sorted by [Acidification (kg SO2 equiv.) per kg API] (WATER)</t>
  </si>
  <si>
    <t>[Acidification (kg SO2 equiv.) per kg API] of Unique Inputs Sorted by [Acidification (kg SO2 equiv.) per kg API] (ENZ&amp;PLNT)</t>
  </si>
  <si>
    <t>[Acidification (kg SO2 equiv.) per kg API] of Unique Inputs Sorted by [Acidification (kg SO2 equiv.) per kg API] (OTHER)</t>
  </si>
  <si>
    <t>[Eutrophication (kg posphate equiv.) per kg API] of Unique Inputs Sorted by [Eutrophication (kg posphate equiv.) per kg API] (REAGENT)</t>
  </si>
  <si>
    <t>[Eutrophication (kg posphate equiv.) per kg API] of Unique Inputs Sorted by [Eutrophication (kg posphate equiv.) per kg API] (METAL)</t>
  </si>
  <si>
    <t>[Eutrophication (kg posphate equiv.) per kg API] of Unique Inputs Sorted by [Eutrophication (kg posphate equiv.) per kg API] (SOLVENT)</t>
  </si>
  <si>
    <t>[Eutrophication (kg posphate equiv.) per kg API] of Unique Inputs Sorted by [Eutrophication (kg posphate equiv.) per kg API] (WATER)</t>
  </si>
  <si>
    <t>[Eutrophication (kg posphate equiv.) per kg API] of Unique Inputs Sorted by [Eutrophication (kg posphate equiv.) per kg API] (ENZ&amp;PLNT)</t>
  </si>
  <si>
    <t>[Eutrophication (kg posphate equiv.) per kg API] of Unique Inputs Sorted by [Eutrophication (kg posphate equiv.) per kg API] (OTHER)</t>
  </si>
  <si>
    <t>[Water (kg) per kg API] of Unique Inputs Sorted by [Water (kg) per kg API] (REAGENT)</t>
  </si>
  <si>
    <t>[Water (kg) per kg API] of Unique Inputs Sorted by [Water (kg) per kg API] (METAL)</t>
  </si>
  <si>
    <t>[Water (kg) per kg API] of Unique Inputs Sorted by [Water (kg) per kg API] (SOLVENT)</t>
  </si>
  <si>
    <t>[Water (kg) per kg API] of Unique Inputs Sorted by [Water (kg) per kg API] (WATER)</t>
  </si>
  <si>
    <t>[Water (kg) per kg API] of Unique Inputs Sorted by [Water (kg) per kg API] (ENZ&amp;PLNT)</t>
  </si>
  <si>
    <t>[Water (kg) per kg API] of Unique Inputs Sorted by [Water (kg) per kg API] (OTHER)</t>
  </si>
  <si>
    <t>RV Step PMI per kg API (REAGENT)</t>
  </si>
  <si>
    <t>RV Step PMI per kg API (METAL)</t>
  </si>
  <si>
    <t>RV Step PMI per kg API (SOLVENT)</t>
  </si>
  <si>
    <t>RV Step PMI per kg API (WATER)</t>
  </si>
  <si>
    <t>RV Step PMI per kg API (ENZ&amp;PLNT)</t>
  </si>
  <si>
    <t>RV Step PMI per kg API (OTHER)</t>
  </si>
  <si>
    <t>[RV Step PMI per kg API] of Each Step Sorted by [RV Step PMI per kg API] (REAGENT)</t>
  </si>
  <si>
    <t>[RV Step PMI per kg API] of Each Step Sorted by [RV Step PMI per kg API] (METAL)</t>
  </si>
  <si>
    <t>[RV Step PMI per kg API] of Each Step Sorted by [RV Step PMI per kg API] (SOLVENT)</t>
  </si>
  <si>
    <t>[RV Step PMI per kg API] of Each Step Sorted by [RV Step PMI per kg API] (WATER)</t>
  </si>
  <si>
    <t>[RV Step PMI per kg API] of Each Step Sorted by [RV Step PMI per kg API] (ENZ&amp;PLNT)</t>
  </si>
  <si>
    <t>[RV Step PMI per kg API] of Each Step Sorted by [RV Step PMI per kg API] (OTHER)</t>
  </si>
  <si>
    <t>RV Step Mass Net (kg) per kg API (REAGENT)</t>
  </si>
  <si>
    <t>RV Step Mass Net (kg) per kg API (METAL)</t>
  </si>
  <si>
    <t>RV Step Mass Net (kg) per kg API (SOLVENT)</t>
  </si>
  <si>
    <t>RV Step Mass Net (kg) per kg API (WATER)</t>
  </si>
  <si>
    <t>RV Step Mass Net (kg) per kg API (OTHER)</t>
  </si>
  <si>
    <t>RV Step Mass Net (kg) per kg API (ENZ&amp;PLNT)</t>
  </si>
  <si>
    <t>[RV Step Mass Net (kg) per kg API] of Each Step Sorted by [RV Step Mass Net (kg) per kg API] (REAGENT)</t>
  </si>
  <si>
    <t>[RV Step Mass Net (kg) per kg API] of Each Step Sorted by [RV Step Mass Net (kg) per kg API] (METAL)</t>
  </si>
  <si>
    <t>[RV Step Mass Net (kg) per kg API] of Each Step Sorted by [RV Step Mass Net (kg) per kg API] (SOLVENT)</t>
  </si>
  <si>
    <t>[RV Step Mass Net (kg) per kg API] of Each Step Sorted by [RV Step Mass Net (kg) per kg API] (WATER)</t>
  </si>
  <si>
    <t>[RV Step Mass Net (kg) per kg API] of Each Step Sorted by [RV Step Mass Net (kg) per kg API] (ENZ&amp;PLNT)</t>
  </si>
  <si>
    <t>[RV Step Mass Net (kg) per kg API] of Each Step Sorted by [RV Step Mass Net (kg) per kg API] (OTHER)</t>
  </si>
  <si>
    <t>RV Step Energy (MJ) per kg API (REAGENT)</t>
  </si>
  <si>
    <t>RV Step Energy (MJ) per kg API (METAL)</t>
  </si>
  <si>
    <t>RV Step Energy (MJ) per kg API (SOLVENT)</t>
  </si>
  <si>
    <t>RV Step Energy (MJ) per kg API (WATER)</t>
  </si>
  <si>
    <t>RV Step Energy (MJ) per kg API (ENZ&amp;PLNT)</t>
  </si>
  <si>
    <t>RV Step Energy (MJ) per kg API (OTHER)</t>
  </si>
  <si>
    <t>[RV Step Energy (MJ) per kg API] of Each Step Sorted by [RV Step Energy (MJ) per kg API] (REAGENT)</t>
  </si>
  <si>
    <t>[RV Step Energy (MJ) per kg API] of Each Step Sorted by [RV Step Energy (MJ) per kg API] (METAL)</t>
  </si>
  <si>
    <t>[RV Step Energy (MJ) per kg API] of Each Step Sorted by [RV Step Energy (MJ) per kg API] (SOLVENT)</t>
  </si>
  <si>
    <t>[RV Step Energy (MJ) per kg API] of Each Step Sorted by [RV Step Energy (MJ) per kg API] (WATER)</t>
  </si>
  <si>
    <t>[RV Step Energy (MJ) per kg API] of Each Step Sorted by [RV Step Energy (MJ) per kg API] (ENZ&amp;PLNT)</t>
  </si>
  <si>
    <t>[RV Step Energy (MJ) per kg API] of Each Step Sorted by [RV Step Energy (MJ) per kg API] (OTHER)</t>
  </si>
  <si>
    <t>RV Step GWP (kg CO2 equiv.) per kg API (REAGENT)</t>
  </si>
  <si>
    <t>RV Step GWP (kg CO2 equiv.) per kg API (METAL)</t>
  </si>
  <si>
    <t>RV Step GWP (kg CO2 equiv.) per kg API (SOLVENT)</t>
  </si>
  <si>
    <t>RV Step GWP (kg CO2 equiv.) per kg API (WATER)</t>
  </si>
  <si>
    <t>RV Step GWP (kg CO2 equiv.) per kg API (ENZ&amp;PLNT)</t>
  </si>
  <si>
    <t>RV Step GWP (kg CO2 equiv.) per kg API (OTHER)</t>
  </si>
  <si>
    <t>[RV Step GWP (kg CO2 equiv.) per kg API] of Each Step Sorted by [RV Step GWP (kg CO2 equiv.) per kg API] (REAGENT)</t>
  </si>
  <si>
    <t>[RV Step GWP (kg CO2 equiv.) per kg API] of Each Step Sorted by [RV Step GWP (kg CO2 equiv.) per kg API] (METAL)</t>
  </si>
  <si>
    <t>[RV Step GWP (kg CO2 equiv.) per kg API] of Each Step Sorted by [RV Step GWP (kg CO2 equiv.) per kg API] (SOLVENT)</t>
  </si>
  <si>
    <t>[RV Step GWP (kg CO2 equiv.) per kg API] of Each Step Sorted by [RV Step GWP (kg CO2 equiv.) per kg API] (WATER)</t>
  </si>
  <si>
    <t>[RV Step GWP (kg CO2 equiv.) per kg API] of Each Step Sorted by [RV Step GWP (kg CO2 equiv.) per kg API] (ENZ&amp;PLNT)</t>
  </si>
  <si>
    <t>[RV Step GWP (kg CO2 equiv.) per kg API] of Each Step Sorted by [RV Step GWP (kg CO2 equiv.) per kg API] (OTHER)</t>
  </si>
  <si>
    <t>RV Step Acidification (kg SO2 equiv.) per kg API (REAGENT)</t>
  </si>
  <si>
    <t>RV Step Acidification (kg SO2 equiv.) per kg API (METAL)</t>
  </si>
  <si>
    <t>RV Step Acidification (kg SO2 equiv.) per kg API (SOLVENT)</t>
  </si>
  <si>
    <t>RV Step Acidification (kg SO2 equiv.) per kg API (WATER)</t>
  </si>
  <si>
    <t>RV Step Acidification (kg SO2 equiv.) per kg API (ENZ&amp;PLNT)</t>
  </si>
  <si>
    <t>RV Step Acidification (kg SO2 equiv.) per kg API (OTHER)</t>
  </si>
  <si>
    <t>[RV Step Acidification (kg SO2 equiv.) per kg API] of Each Step Sorted by [RV Step Acidification (kg SO2 equiv.) per kg API] (REAGENT)</t>
  </si>
  <si>
    <t>[RV Step Acidification (kg SO2 equiv.) per kg API] of Each Step Sorted by [RV Step Acidification (kg SO2 equiv.) per kg API] (METAL)</t>
  </si>
  <si>
    <t>[RV Step Acidification (kg SO2 equiv.) per kg API] of Each Step Sorted by [RV Step Acidification (kg SO2 equiv.) per kg API] (SOLVENT)</t>
  </si>
  <si>
    <t>[RV Step Acidification (kg SO2 equiv.) per kg API] of Each Step Sorted by [RV Step Acidification (kg SO2 equiv.) per kg API] (WATER)</t>
  </si>
  <si>
    <t>[RV Step Acidification (kg SO2 equiv.) per kg API] of Each Step Sorted by [RV Step Acidification (kg SO2 equiv.) per kg API] (ENZ&amp;PLNT)</t>
  </si>
  <si>
    <t>[RV Step Acidification (kg SO2 equiv.) per kg API] of Each Step Sorted by [RV Step Acidification (kg SO2 equiv.) per kg API] (OTHER)</t>
  </si>
  <si>
    <t>RV Step Eutrophication (kg posphate equiv.) per kg API (REAGENT)</t>
  </si>
  <si>
    <t>RV Step Eutrophication (kg posphate equiv.) per kg API (METAL)</t>
  </si>
  <si>
    <t>RV Step Eutrophication (kg posphate equiv.) per kg API (SOLVENT)</t>
  </si>
  <si>
    <t>RV Step Eutrophication (kg posphate equiv.) per kg API (WATER)</t>
  </si>
  <si>
    <t>RV Step Eutrophication (kg posphate equiv.) per kg API (ENZ&amp;PLNT)</t>
  </si>
  <si>
    <t>RV Step Eutrophication (kg posphate equiv.) per kg API (OTHER)</t>
  </si>
  <si>
    <t>[RV Step Eutrophication (kg phosphate equiv.) per kg API] of Each Step Sorted by [RV Step Eutrophication (kg phosphate equiv.) per kg API] (REAGENT)</t>
  </si>
  <si>
    <t>[RV Step Eutrophication (kg phosphate equiv.) per kg API] of Each Step Sorted by [RV Step Eutrophication (kg phosphate equiv.) per kg API] (METAL)</t>
  </si>
  <si>
    <t>[RV Step Eutrophication (kg phosphate equiv.) per kg API] of Each Step Sorted by [RV Step Eutrophication (kg phosphate equiv.) per kg API] (SOLVENT)</t>
  </si>
  <si>
    <t>[RV Step Eutrophication (kg phosphate equiv.) per kg API] of Each Step Sorted by [RV Step Eutrophication (kg phosphate equiv.) per kg API] (WATER)</t>
  </si>
  <si>
    <t>[RV Step Eutrophication (kg phosphate equiv.) per kg API] of Each Step Sorted by [RV Step Eutrophication (kg phosphate equiv.) per kg API] (ENZ&amp;PLNT)</t>
  </si>
  <si>
    <t>[RV Step Eutrophication (kg phosphate equiv.) per kg API] of Each Step Sorted by [RV Step Eutrophication (kg phosphate equiv.) per kg API] (OTHER)</t>
  </si>
  <si>
    <t>RV Step Water (kg) per kg API (REAGENT)</t>
  </si>
  <si>
    <t>RV Step Water (kg) per kg API (METAL)</t>
  </si>
  <si>
    <t>RV Step Water (kg) per kg API (SOLVENT)</t>
  </si>
  <si>
    <t>RV Step Water (kg) per kg API (WATER)</t>
  </si>
  <si>
    <t>RV Step Water (kg) per kg API (ENZ&amp;PLNT)</t>
  </si>
  <si>
    <t>RV Step Water (kg) per kg API (OTHER)</t>
  </si>
  <si>
    <t>[RV Step Water (kg) per kg API] of Each Step Sorted by [RV Step Water (kg) per kg API] (REAGENT)</t>
  </si>
  <si>
    <t>[RV Step Water (kg) per kg API] of Each Step Sorted by [RV Step Water (kg) per kg API] (METAL)</t>
  </si>
  <si>
    <t>[RV Step Water (kg) per kg API] of Each Step Sorted by [RV Step Water (kg) per kg API] (SOLVENT)</t>
  </si>
  <si>
    <t>[RV Step Water (kg) per kg API] of Each Step Sorted by [RV Step Water (kg) per kg API] (WATER)</t>
  </si>
  <si>
    <t>[RV Step Water (kg) per kg API] of Each Step Sorted by [RV Step Water (kg) per kg API] (ENZ&amp;PLNT)</t>
  </si>
  <si>
    <t>[RV Step Water (kg) per kg API] of Each Step Sorted by [RV Step Water (kg) per kg API] (OTHER)</t>
  </si>
  <si>
    <t>Total</t>
  </si>
  <si>
    <t>Water</t>
  </si>
  <si>
    <t>Solvent</t>
  </si>
  <si>
    <t>Reagent</t>
  </si>
  <si>
    <t>Metal</t>
  </si>
  <si>
    <t>Enzymes &amp; Plant Extracts</t>
  </si>
  <si>
    <t>Other</t>
  </si>
  <si>
    <t>PACKAGE</t>
  </si>
  <si>
    <t>Total Mass that must be produced</t>
  </si>
  <si>
    <t>Unscaled Step Product Mass</t>
  </si>
  <si>
    <t>Step Scale Factor for 1kg Packaged API</t>
  </si>
  <si>
    <t>Name of Final Product Selected From Current Process Information:</t>
  </si>
  <si>
    <t>X Move Collision</t>
  </si>
  <si>
    <t>Y Move Collision</t>
  </si>
  <si>
    <t>Number of Collision Moves</t>
  </si>
  <si>
    <t>X Init</t>
  </si>
  <si>
    <t>Y Init</t>
  </si>
  <si>
    <t>X Moved</t>
  </si>
  <si>
    <t>Y Moved</t>
  </si>
  <si>
    <t>X Move Edge Length</t>
  </si>
  <si>
    <t>Y Move Edge Length</t>
  </si>
  <si>
    <t>Number of Edge Length Moves</t>
  </si>
  <si>
    <t>X Move Special</t>
  </si>
  <si>
    <t>Y Move Special</t>
  </si>
  <si>
    <t>Number of Special Moves</t>
  </si>
  <si>
    <t>target x</t>
  </si>
  <si>
    <t>target y</t>
  </si>
  <si>
    <t>X if RM</t>
  </si>
  <si>
    <t>Y if RM</t>
  </si>
  <si>
    <t>Y Start</t>
  </si>
  <si>
    <t>X Start</t>
  </si>
  <si>
    <t>X Guide</t>
  </si>
  <si>
    <t>Y Guide</t>
  </si>
  <si>
    <t>Arrow_X</t>
  </si>
  <si>
    <t>Arrow_Y</t>
  </si>
  <si>
    <t>X Intentionally NA</t>
  </si>
  <si>
    <t>Y Intentionally NA</t>
  </si>
  <si>
    <t>ç</t>
  </si>
  <si>
    <t>Coll Dist Helper</t>
  </si>
  <si>
    <t>Collision_Distance</t>
  </si>
  <si>
    <t>Edge Length</t>
  </si>
  <si>
    <t>(Advanced)</t>
  </si>
  <si>
    <t>Graph Dynamics</t>
  </si>
  <si>
    <t>Run</t>
  </si>
  <si>
    <t>Reset</t>
  </si>
  <si>
    <t>Reset_Run_Freeze</t>
  </si>
  <si>
    <t>Freeze</t>
  </si>
  <si>
    <t>X End (To Node Center)</t>
  </si>
  <si>
    <t>X End (to Stop Radius)</t>
  </si>
  <si>
    <t>r0</t>
  </si>
  <si>
    <t>Y End (to Node Center)</t>
  </si>
  <si>
    <t>Y End (to Stop Radius)</t>
  </si>
  <si>
    <t>Arrow Offset</t>
  </si>
  <si>
    <t>X if Real Step</t>
  </si>
  <si>
    <t>Y if Real Step</t>
  </si>
  <si>
    <t>X Mover</t>
  </si>
  <si>
    <t>Y Mover</t>
  </si>
  <si>
    <t>Display As</t>
  </si>
  <si>
    <t>X for Labels</t>
  </si>
  <si>
    <t>Y for Labels</t>
  </si>
  <si>
    <t>X Start Prefilter</t>
  </si>
  <si>
    <t>X Guide Prefilter</t>
  </si>
  <si>
    <t>X End (to Stop Radius) Prefilter</t>
  </si>
  <si>
    <t>Y Start Prefilter</t>
  </si>
  <si>
    <t>Y Guide Prefilter</t>
  </si>
  <si>
    <t>Y End (to Stop Radius) Prefilter</t>
  </si>
  <si>
    <t xml:space="preserve">NOTE: Each step can have only one output, but that output can be used in multiple steps. </t>
  </si>
  <si>
    <r>
      <t>ç</t>
    </r>
    <r>
      <rPr>
        <sz val="20"/>
        <color theme="1"/>
        <rFont val="Calibri Light"/>
        <family val="2"/>
        <scheme val="major"/>
      </rPr>
      <t xml:space="preserve"> Warning: Slow, please be patient</t>
    </r>
  </si>
  <si>
    <t>Initialization of nodes and arrows for force-directed layout</t>
  </si>
  <si>
    <t>Cumulative anti-collision vector</t>
  </si>
  <si>
    <t>Cumulative edge/spring length maintenance vector</t>
  </si>
  <si>
    <t>"Gravity" vector to (target x, target y)</t>
  </si>
  <si>
    <t>Iteratively updating point coordinates</t>
  </si>
  <si>
    <t>Point coords after update</t>
  </si>
  <si>
    <t>To Plot… or Not?</t>
  </si>
  <si>
    <t>Arrow endpoints, if no radius offset applied</t>
  </si>
  <si>
    <t>Edge length of terminal arrow segment before offset</t>
  </si>
  <si>
    <t>X coordinates of Arrow start, middle, end, before 'plot or not' filter</t>
  </si>
  <si>
    <t>Y coordinates of Arrow start, middle, end, before 'plot or not' filter</t>
  </si>
  <si>
    <t>#N/A to break-up arrows into segments</t>
  </si>
  <si>
    <t>X coordinate of Arrow  start</t>
  </si>
  <si>
    <t>X coordinate of Arrow middle</t>
  </si>
  <si>
    <t>X coordinate of Arrow end</t>
  </si>
  <si>
    <t>Y coordinate of Arrow  start</t>
  </si>
  <si>
    <t>Y coordinate of Arrow middle</t>
  </si>
  <si>
    <t>Y coordinate of Arrow end</t>
  </si>
  <si>
    <t>Coordinates of step nodes</t>
  </si>
  <si>
    <t>Coordinates of raw material nodes</t>
  </si>
  <si>
    <t>Coordinates of all nodes</t>
  </si>
  <si>
    <t>Table_Arrow_Coords</t>
  </si>
  <si>
    <t>Recycle loop scaling iterators</t>
  </si>
  <si>
    <r>
      <rPr>
        <b/>
        <sz val="11"/>
        <color theme="1"/>
        <rFont val="Calibri"/>
        <family val="2"/>
        <scheme val="minor"/>
      </rPr>
      <t>NOTE:</t>
    </r>
    <r>
      <rPr>
        <sz val="11"/>
        <color theme="1"/>
        <rFont val="Calibri"/>
        <family val="2"/>
        <scheme val="minor"/>
      </rPr>
      <t xml:space="preserve"> Do not edit 'PACKAGE' row, in this version of the tool it is necessary for limiting the degrees of freedom in the recycle loop iterator, and the name "PACKAGE" is a required keyword. </t>
    </r>
  </si>
  <si>
    <t xml:space="preserve">If plots appear blank after re-running and freezing iterator, press 'F9' on keyboard. </t>
  </si>
  <si>
    <t xml:space="preserve">Warning: Check Inputs! Only primary steps may be Virtual. Steps with inputs from prior processing must be Real. </t>
  </si>
  <si>
    <t xml:space="preserve">Warning: Check Inputs! An "Input: Process_Steps" Step Name selected in Sheet '2. Enter Step Details' is blank or not defined in Sheet '1. Define Process Steps'. </t>
  </si>
  <si>
    <t xml:space="preserve">Warning: Check Inputs! A Step Name selected in Sheet '2. Enter Step Details' is blank or not defined in Sheet '1. Define Process Steps'. </t>
  </si>
  <si>
    <t>Scaled Physical Mass per kg API for All Inputs &amp; Outputs</t>
  </si>
  <si>
    <t>Multi-Use Process_Steps Input Scale Factor</t>
  </si>
  <si>
    <t>Mass Net (kg) Factor Lookup</t>
  </si>
  <si>
    <t>GWP (kg CO2 equiv.) Factor Lookup</t>
  </si>
  <si>
    <t>Acidification (kg SO2 equiv.) Factor Lookup</t>
  </si>
  <si>
    <t>Eutrophication (kg phosphate equiv.) Factor Lookup</t>
  </si>
  <si>
    <t>Water (kg) Factor Lookup</t>
  </si>
  <si>
    <t>Energy (MJ) Factor Lookup</t>
  </si>
  <si>
    <t>Scheme</t>
  </si>
  <si>
    <t>Step Instructions</t>
  </si>
  <si>
    <r>
      <t xml:space="preserve">NOTIFICATIONS </t>
    </r>
    <r>
      <rPr>
        <i/>
        <sz val="26"/>
        <rFont val="Calibri"/>
        <family val="2"/>
        <scheme val="minor"/>
      </rPr>
      <t>(ENSURE ALL ROWS ARE VISIBLE)</t>
    </r>
    <r>
      <rPr>
        <b/>
        <sz val="26"/>
        <rFont val="Calibri"/>
        <family val="2"/>
        <scheme val="minor"/>
      </rPr>
      <t xml:space="preserve"> </t>
    </r>
    <r>
      <rPr>
        <sz val="26"/>
        <rFont val="Calibri"/>
        <family val="2"/>
        <scheme val="minor"/>
      </rPr>
      <t>[press 'F9' to refresh calculations if necessary]</t>
    </r>
  </si>
  <si>
    <t>Custom_Material</t>
  </si>
  <si>
    <t xml:space="preserve">Warning: Check Inputs! Each step may have only one output, although that output can be used as an input by multiple steps. </t>
  </si>
  <si>
    <t>Warning: Check Inputs! LCA Data Source Class and Subclass must match.</t>
  </si>
  <si>
    <t xml:space="preserve">Warning: Check Inputs: A 'Step Name' cell in Sheet '2. Enter Step Details' is blank. </t>
  </si>
  <si>
    <t xml:space="preserve">Warning: Check Inputs: An 'Input or Output' cell in Sheet '2. Enter Step Details' is blank. </t>
  </si>
  <si>
    <t xml:space="preserve">Warning: Check Inputs: An 'LCA Data Source Class' cell in Sheet '2. Enter Step Details' is blank. </t>
  </si>
  <si>
    <t xml:space="preserve">Warning: Check Inputs: An 'LCA Data Source Subclass' cell in Sheet '2. Enter Step Details' is blank. </t>
  </si>
  <si>
    <t xml:space="preserve">Warning: Check Inputs: A 'Display Name' cell in Sheet '2. Enter Step Details' is blank. </t>
  </si>
  <si>
    <t xml:space="preserve">Warning: Check Inputs: A 'Physical Mass (kg)' cell in Sheet '2. Enter Step Details' is blank. </t>
  </si>
  <si>
    <t>Warning: Check Inputs: A 'Name' cell in Sheet '1. Define Process Steps' is blank.</t>
  </si>
  <si>
    <t>Warning: Check Inputs: A 'Real or Virtual?' cell in Sheet '1. Define Process Steps' is blank.</t>
  </si>
  <si>
    <t>Warning: Check Inputs: A 'Product Display Name' cell in Sheet '1. Define Process Steps' is blank.</t>
  </si>
  <si>
    <t>Lithium</t>
  </si>
  <si>
    <t>Valid Table Lookup 1</t>
  </si>
  <si>
    <t>Valid Table Lookup 2</t>
  </si>
  <si>
    <t>Warning: Check Inputs! LCA Data Source Class selection must match 'Input or Output' selection.</t>
  </si>
  <si>
    <r>
      <rPr>
        <b/>
        <sz val="11"/>
        <color theme="1"/>
        <rFont val="Calibri"/>
        <family val="2"/>
        <scheme val="minor"/>
      </rPr>
      <t>NOTE:</t>
    </r>
    <r>
      <rPr>
        <sz val="11"/>
        <color theme="1"/>
        <rFont val="Calibri"/>
        <family val="2"/>
        <scheme val="minor"/>
      </rPr>
      <t xml:space="preserve"> Do not edit 'PACKAGE' rows </t>
    </r>
    <r>
      <rPr>
        <i/>
        <sz val="11"/>
        <color theme="1"/>
        <rFont val="Calibri"/>
        <family val="2"/>
        <scheme val="minor"/>
      </rPr>
      <t>except to</t>
    </r>
    <r>
      <rPr>
        <sz val="11"/>
        <color theme="1"/>
        <rFont val="Calibri"/>
        <family val="2"/>
        <scheme val="minor"/>
      </rPr>
      <t xml:space="preserve"> select the step for which the output is to be packaged. </t>
    </r>
  </si>
  <si>
    <t>Reviewer Comments</t>
  </si>
  <si>
    <t>Add additional columns as needed</t>
  </si>
  <si>
    <t>è</t>
  </si>
  <si>
    <t>LCIA Notes</t>
  </si>
  <si>
    <t>Process Metrics Detail:</t>
  </si>
  <si>
    <t>Step Scaling Iterator:</t>
  </si>
  <si>
    <t>1-butanol, propylene hydroformylation, at plant/RER S</t>
  </si>
  <si>
    <t>Butyl acetate, at plant/RER S</t>
  </si>
  <si>
    <t>N-methyl-2-pyrrolidone, at plant/RER S</t>
  </si>
  <si>
    <t>1-pentanol, at plant/RER S</t>
  </si>
  <si>
    <t>1-propanol, at plant/RER S</t>
  </si>
  <si>
    <t>2-butanol, at plant/RER S</t>
  </si>
  <si>
    <t>2-methyl-1-butanol, at plant/RER S</t>
  </si>
  <si>
    <t>Isobutanol, at plant/RER S</t>
  </si>
  <si>
    <t>Isohexane, at plant/RER S</t>
  </si>
  <si>
    <t>Isopropanol, at plant/RER S</t>
  </si>
  <si>
    <t>3-methyl-1-butanol, at plant/RER S</t>
  </si>
  <si>
    <t>4-methyl-2-pentanone, at plant/RER S</t>
  </si>
  <si>
    <t>Acetaldehyde, at plant/RER S</t>
  </si>
  <si>
    <t>Acetic acid, 98% in H2O, at plant/RER S</t>
  </si>
  <si>
    <t>Acetone, liquid, at plant/RER S</t>
  </si>
  <si>
    <t>Acetonitrile, at plant/RER S</t>
  </si>
  <si>
    <t>Benzene, at plant/RER S</t>
  </si>
  <si>
    <t>Benzyl alcohol, at plant/RER S</t>
  </si>
  <si>
    <t>Benzyl chloride, at plant/RER S</t>
  </si>
  <si>
    <t>Carbon tetrachloride, at plant/RER S</t>
  </si>
  <si>
    <t>Chloroacetic acid, at plant/RER S</t>
  </si>
  <si>
    <t>Cyclohexane, at plant/RER S</t>
  </si>
  <si>
    <t>Cyclohexanol, at plant/RER S</t>
  </si>
  <si>
    <t>Cyclohexanone, at plant/RER S</t>
  </si>
  <si>
    <t>Dichloromethane, at plant/RER S</t>
  </si>
  <si>
    <t>Diethanolamine, at plant/RER S</t>
  </si>
  <si>
    <t>Diethyl ether, at plant/RER S</t>
  </si>
  <si>
    <t>Diethylene glycol, at plant/RER S</t>
  </si>
  <si>
    <t>Dimethyl ether, at plant/RER S</t>
  </si>
  <si>
    <t>Dimethyl sulfoxide, at plant/RER S</t>
  </si>
  <si>
    <t>Dimethylacetamide, at plant/GLO S</t>
  </si>
  <si>
    <t>Dimethylamine, at plant/RER S</t>
  </si>
  <si>
    <t>Dioxane, at plant/RER S</t>
  </si>
  <si>
    <t>Ethanol from ethylene, at plant/RER S</t>
  </si>
  <si>
    <t>Ethyl acetate, at plant/RER S</t>
  </si>
  <si>
    <t>Ethyl benzene, at plant/RER S</t>
  </si>
  <si>
    <t>Ethylene glycol diethyl ether, at plant/RER S</t>
  </si>
  <si>
    <t>Ethylene glycol, at plant/RER S</t>
  </si>
  <si>
    <t>Formaldehyde, production mix, at plant/RER S</t>
  </si>
  <si>
    <t>Heptane, at plant/RER S</t>
  </si>
  <si>
    <t>Hexane, at plant/RER S</t>
  </si>
  <si>
    <t>Isobutyl acetate, at plant/RER S</t>
  </si>
  <si>
    <t>Isopropyl acetate, at plant/RER S</t>
  </si>
  <si>
    <t>Methanol, at plant/GLO S</t>
  </si>
  <si>
    <t>Methyl acetate, at plant/RER S</t>
  </si>
  <si>
    <t>Methylcyclohexane, from naphtha, at plant/RER S</t>
  </si>
  <si>
    <t>Methyl ethyl ketone, at plant/RER S</t>
  </si>
  <si>
    <t>Methyl tert-butyl ether, at plant/RER S</t>
  </si>
  <si>
    <t>Monoethanolamine, at plant/RER S</t>
  </si>
  <si>
    <t>N,N-dimethylformamide, at plant/RER S</t>
  </si>
  <si>
    <t>Pentane, at plant/RER S</t>
  </si>
  <si>
    <t>2-methyl-2-butanol, at plant/RER S</t>
  </si>
  <si>
    <t>Tetrahydrofuran, at plant/RER S</t>
  </si>
  <si>
    <t>Toluene, liquid, at plant/RER S</t>
  </si>
  <si>
    <t>Trichloromethane, at plant/RER S</t>
  </si>
  <si>
    <t>Triethanolamine, at plant/RER S</t>
  </si>
  <si>
    <t>Triethylene glycol, at plant/RER S</t>
  </si>
  <si>
    <t>Trifluoromethane, at plant/GLO S</t>
  </si>
  <si>
    <t>Xylene, at plant/RER S</t>
  </si>
  <si>
    <t>P-dichlorobenzene, at plant/RER S</t>
  </si>
  <si>
    <t>O-dichlorobenzene, at plant/RER S</t>
  </si>
  <si>
    <t>Water, deionised, at plant/CH S</t>
  </si>
  <si>
    <t>EcoInvent, sums from LCI
(excl. water, assume avg. wood density = 623 kg/m3, assume natural gas density = 0.6572 kg/m3 )</t>
  </si>
  <si>
    <t>Ecoinvent v2.2 Data</t>
  </si>
  <si>
    <t>Default Enzymes and Plant Extracts</t>
  </si>
  <si>
    <t>Copper, at regional storage/RER S</t>
  </si>
  <si>
    <t>Gold, at regional storage/RER S</t>
  </si>
  <si>
    <t>Indium, at regional storage/RER S</t>
  </si>
  <si>
    <t>Cast iron, at plant/RER S</t>
  </si>
  <si>
    <t>Nickel, 99.5%, at plant/GLO S</t>
  </si>
  <si>
    <t>Palladium, at regional storage/RER S</t>
  </si>
  <si>
    <t>Platinum, at regional storage/RER S</t>
  </si>
  <si>
    <t>Rhodium, at regional storage/RER S</t>
  </si>
  <si>
    <t>Zinc, primary, at regional storage/RER S</t>
  </si>
  <si>
    <t>&gt;98% as part of a Platinum-Tin-Indium catalyst</t>
  </si>
  <si>
    <t>The ACS GCI Pharmaceutical Roundtable or American Chemical Society does not guarantee the accuracy of the calculations and accepts no responsibility for any consequence of their use. The ACS GCI Pharmaceutical Roundtable or American Chemical Society does not accept responsibility for any errors or omissions.
The ACS GCI Pharmaceutical Roundtable does not endorse ecoinvent.  
ecoinvent offers comprehensive, up-to-date and transparent Life Cycle Inventory databases. For more than a decade ecoinvent has enabled companies to manufacture their products more in harmony with the environment, policymakers to implement new policies, and consumers to adopt a more environmentally friendly behavior. 
http://www.ecoinvent.org</t>
  </si>
  <si>
    <t xml:space="preserve">Introduction   </t>
  </si>
  <si>
    <t>An iGAL Aligned Organic Reagent is usually a simpler organic molecule with ~4 carbons or less, or with limited functionality e.g.</t>
  </si>
  <si>
    <t>Non-iGAL Aligned Organic Reagents are usually more complex organic molecules with limited functionality/substitution, protecting groups, coupling reagents or ligands e.g.</t>
  </si>
  <si>
    <t>Several common solvents are absent from the EcoInvent v2.2 Database.  These solvents, followed by their appropriate analogues, are listed below:</t>
  </si>
  <si>
    <t>triethylamine -&gt; dimethylamine</t>
  </si>
  <si>
    <t>isooctane -&gt; heptane</t>
  </si>
  <si>
    <t>2-methyltetrahydrofuran -&gt; THF</t>
  </si>
  <si>
    <t>propyl acetate -&gt; ethyl acetate</t>
  </si>
  <si>
    <t>diisopropyl ether -&gt; MTBE</t>
  </si>
  <si>
    <t>Acknowledgments</t>
  </si>
  <si>
    <r>
      <t>Organic reagents</t>
    </r>
    <r>
      <rPr>
        <sz val="13"/>
        <color rgb="FF000000"/>
        <rFont val="Calibri"/>
        <family val="2"/>
        <scheme val="minor"/>
      </rPr>
      <t xml:space="preserve"> have two classification options, iGAL Aligned Organic Reagent and Non-iGAL Aligned Organic Reagent. The same rules of commercial availability and $100/mol at bulk apply. The difference between these categories is their LCA multipliers.  The iGAL Aligned Organic Reagent class multipliers come from an average of all organic solvent data.  The multipliers for Non-iGAL Aligned Organic Reagent class stem from AstraZeneca's "SMART Tool".</t>
    </r>
  </si>
  <si>
    <r>
      <t xml:space="preserve">All </t>
    </r>
    <r>
      <rPr>
        <b/>
        <u/>
        <sz val="13"/>
        <color rgb="FF000000"/>
        <rFont val="Calibri"/>
        <family val="2"/>
        <scheme val="minor"/>
      </rPr>
      <t xml:space="preserve">starting materials </t>
    </r>
    <r>
      <rPr>
        <sz val="13"/>
        <color rgb="FF000000"/>
        <rFont val="Calibri"/>
        <family val="2"/>
        <scheme val="minor"/>
      </rPr>
      <t xml:space="preserve">entered into the process stoichiometry table </t>
    </r>
    <r>
      <rPr>
        <sz val="13"/>
        <color rgb="FFFF0000"/>
        <rFont val="Calibri"/>
        <family val="2"/>
        <scheme val="minor"/>
      </rPr>
      <t xml:space="preserve">must be commodity chemicals or at least </t>
    </r>
    <r>
      <rPr>
        <b/>
        <sz val="13"/>
        <color rgb="FFFF0000"/>
        <rFont val="Calibri"/>
        <family val="2"/>
        <scheme val="minor"/>
      </rPr>
      <t>iGAL Aligned</t>
    </r>
    <r>
      <rPr>
        <b/>
        <sz val="13"/>
        <color rgb="FF000000"/>
        <rFont val="Calibri"/>
        <family val="2"/>
        <scheme val="minor"/>
      </rPr>
      <t xml:space="preserve"> (innovation Green Aspiration Level)</t>
    </r>
    <r>
      <rPr>
        <sz val="13"/>
        <color rgb="FF000000"/>
        <rFont val="Calibri"/>
        <family val="2"/>
        <scheme val="minor"/>
      </rPr>
      <t xml:space="preserve"> - i.e. available in a common chemical catalog with a pricing of less than $100/mol at bulk quantity.  Pricing may originate from the catalog or an invoice or PO (not a quote) from a reliable supplier. </t>
    </r>
  </si>
  <si>
    <t>Everything looks good! Be sure to RESET &gt; RUN &gt; FREEZE the Graph Dynamics and the Step Scaling Iterator before evaluating results!</t>
  </si>
  <si>
    <t xml:space="preserve">This tool is intended as a high-level estimator of process mass intensity (PMI) and environmental life cycle information that can be customized to fit a wide variety of linear and convergent processes for small molecule APIs.  Ecoinvent v2.2 database is utilized as the source for the life cycle assessment (LCA) data.  This tool is limited to 6 LCA indicators: Mass Net, Energy, Global Warming Potential, Acidification, Eutrophication, and Water (Definitions can be found below).  With agreement from Ecoinvent, there is no licensing fee provided the display is limited to a maximum of 6 LCA indicators.  This tool will normalize steps to produce 1 kg API, and display the contributions of steps and raw materials to the overall process PMI and each of the LCA metrics in both tabular and graphical formats. </t>
  </si>
  <si>
    <t>Streamlined PMI-LCA Tool</t>
  </si>
  <si>
    <t xml:space="preserve">This streamlined PMI-LCA Tool and Process Comparison Tool were created by Merck and Co., Inc., Rahway, NJ, USA.  The original calculation platform used as foundation was developed by Merck and Co., Inc., Rahway, NJ, USA, and expanded by GlaxoSmithKline and DSM.  Additional customizations were made by AstraZeneca.  </t>
  </si>
  <si>
    <t>You are using PMI-LCA tool Version 07.2P, revised 06-Dec-2022. LCIA values from Ecoinvent v2</t>
  </si>
  <si>
    <t>1a) Virtual solution prep for (1): 5 wt% reagent A (organic) in acetonitrile</t>
  </si>
  <si>
    <t>5 wt% reagent A (organic) in acetonitrile</t>
  </si>
  <si>
    <t>1b) Virtual solution prep for (1): 10 wt% reagent B (inorganic) in water</t>
  </si>
  <si>
    <t>10 wt% reagent B (inorganic) in water</t>
  </si>
  <si>
    <t>1c) Virtual solution prep for (1): 15 wt% reagent C (inorganic) in water</t>
  </si>
  <si>
    <t>15 wt% reagent C (inorganic) in water</t>
  </si>
  <si>
    <t>1d) Virtual salt prep for (1): nickel salt</t>
  </si>
  <si>
    <t>nickel salt</t>
  </si>
  <si>
    <t>1e) Virtual solution prep for (1): 6 M HCl (aq)</t>
  </si>
  <si>
    <t>6 M HCl (aq)</t>
  </si>
  <si>
    <t>1f) Virtual solution prep for (1) and (3): 20 wt% reagent D (organic) in DMF</t>
  </si>
  <si>
    <t>20 wt% reagent D (organic) in DMF</t>
  </si>
  <si>
    <t>1) Synthesis of Intermediate (1)</t>
  </si>
  <si>
    <t>Intermediate (1)</t>
  </si>
  <si>
    <t>2a) Virtual solution prep for (2): 25 wt% reagent E (inorganic) in water</t>
  </si>
  <si>
    <t>25 wt% reagent E (inorganic) in water</t>
  </si>
  <si>
    <t>2b) Virtual solution prep for (2): 30 wt% reagent F (inorganic) in water</t>
  </si>
  <si>
    <t>30 wt% reagent F (inorganic) in water</t>
  </si>
  <si>
    <t>2c) Virtual solution prep for (2): 0.1 M reagent G (inorganic) in water</t>
  </si>
  <si>
    <t>0.1 M reagent G (inorganic) in water</t>
  </si>
  <si>
    <t>2d) Virtual solution prep for (2): 0.2 M reagent H (inorganic) in water</t>
  </si>
  <si>
    <t>0.2 M reagent H (inorganic) in water</t>
  </si>
  <si>
    <t>2) Synthesis of Intermediate (2)</t>
  </si>
  <si>
    <t>Intermediate (2)</t>
  </si>
  <si>
    <t>3a) Virtual solution prep for (3): 25 wt% reagent I (organic) in DMF</t>
  </si>
  <si>
    <t>25 wt% reagent I (organic) in DMF</t>
  </si>
  <si>
    <t>3) Synthesis of Intermediate (3)</t>
  </si>
  <si>
    <t>Intermediate (3)</t>
  </si>
  <si>
    <t>4a) Virtual solution prep for (4): 20 wt% reagent J (inorganic) in water</t>
  </si>
  <si>
    <t>20 wt% reagent J (inorganic) in water</t>
  </si>
  <si>
    <t>4b) Virtual solution prep for (4): 15 wt% reagent K (inorganic) in water</t>
  </si>
  <si>
    <t>15 wt% reagent K (inorganic) in water</t>
  </si>
  <si>
    <t>4c) Virtual solution prep for (4): 0.3 M reagent L (organic) in water</t>
  </si>
  <si>
    <t>0.3 M reagent L (organic) in water</t>
  </si>
  <si>
    <t>4d) Virtual material prep for (4): 95 wt% reagent M (organic)</t>
  </si>
  <si>
    <t>95 wt% reagent M (organic)</t>
  </si>
  <si>
    <t>4) Synthesis of Intermediate (4)</t>
  </si>
  <si>
    <t>Intermediate (4)</t>
  </si>
  <si>
    <t>5) Pure Step</t>
  </si>
  <si>
    <t>reagent A (organic)</t>
  </si>
  <si>
    <t>acetonitrile</t>
  </si>
  <si>
    <t>reagent B (inorganic)</t>
  </si>
  <si>
    <t>water</t>
  </si>
  <si>
    <t>reagent C (inorganic)</t>
  </si>
  <si>
    <t>nickel</t>
  </si>
  <si>
    <t>counterion for nickel salt</t>
  </si>
  <si>
    <t>HCl</t>
  </si>
  <si>
    <t>reagent D (organic)</t>
  </si>
  <si>
    <t>DMF</t>
  </si>
  <si>
    <t>reagent N (organic)</t>
  </si>
  <si>
    <t>reagent O (organic)</t>
  </si>
  <si>
    <t>reagent P (organic)</t>
  </si>
  <si>
    <t>reagent Q (organic)</t>
  </si>
  <si>
    <t>reagent R (organic)</t>
  </si>
  <si>
    <t>reagent E (inorganic)</t>
  </si>
  <si>
    <t>reagent F (inorganic)</t>
  </si>
  <si>
    <t>reagent G (inorganic)</t>
  </si>
  <si>
    <t>reagent H (inorganic)</t>
  </si>
  <si>
    <t>reagent S (organic)</t>
  </si>
  <si>
    <t>reagent I (organic)</t>
  </si>
  <si>
    <t>reagent T (organic)</t>
  </si>
  <si>
    <t>reagent U (organic)</t>
  </si>
  <si>
    <t>reagent J (inorganic)</t>
  </si>
  <si>
    <t>reagent K (inorganic)</t>
  </si>
  <si>
    <t>reagent L (organic)</t>
  </si>
  <si>
    <t>reagemt M (organic)</t>
  </si>
  <si>
    <t>none</t>
  </si>
  <si>
    <t>reagent V (organic)</t>
  </si>
  <si>
    <t>reagent M (organic)</t>
  </si>
  <si>
    <t>IPA</t>
  </si>
  <si>
    <t>Reference Document  for Step 1</t>
  </si>
  <si>
    <t>Reference Document for Step 2</t>
  </si>
  <si>
    <t>Another Reference Document!</t>
  </si>
  <si>
    <t>Penultimate Reference Document</t>
  </si>
  <si>
    <t>Reference Document for API step</t>
  </si>
  <si>
    <t>Charge crystallization seed to vessel</t>
  </si>
  <si>
    <t>This is a recycle step!</t>
  </si>
  <si>
    <t>mw of nickel</t>
  </si>
  <si>
    <t>mw of fictional counterion</t>
  </si>
  <si>
    <t>mw of HCl * 6</t>
  </si>
  <si>
    <t>remaining mass is water</t>
  </si>
  <si>
    <t>density of 6N HCl * 1L</t>
  </si>
  <si>
    <t>charge 160L of acetontirile to a vessel…</t>
  </si>
  <si>
    <t>160L * density of acetonitrile</t>
  </si>
  <si>
    <t>Virtual step for material that is purchased</t>
  </si>
  <si>
    <t>Use a REAL step for soln prepared in-house</t>
  </si>
  <si>
    <t>use a VIRTUAL step for a purchased complex reagent</t>
  </si>
  <si>
    <t>To a roundbottom vessel charge 10kg of …</t>
  </si>
  <si>
    <t>This step increases mw by 3.25, and has yield of 95%</t>
  </si>
  <si>
    <t>This step will be re-scaled from lab-scale data</t>
  </si>
  <si>
    <t>Assay yield was 50kg, 98% purity</t>
  </si>
  <si>
    <t>All of intermediate 1 stream that was produced is charged</t>
  </si>
  <si>
    <t>Fictional API</t>
  </si>
  <si>
    <t>Solution is used in two steps!</t>
  </si>
  <si>
    <t>Example for a solution prepared by weight</t>
  </si>
  <si>
    <t>Specified as 100 kg for simplicity</t>
  </si>
  <si>
    <t>Example for raw material with special metal</t>
  </si>
  <si>
    <t>This is what re-scales the entire process to 1kg API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</si>
</sst>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000"/>
    <numFmt numFmtId="166" formatCode="0.00000"/>
    <numFmt numFmtId="167" formatCode="0.0%"/>
  </numFmts>
  <fonts count="34" x14ac:knownFonts="1">
    <font>
      <sz val="11"/>
      <color theme="1"/>
      <name val="Calibri"/>
      <family val="2"/>
      <scheme val="minor"/>
    </font>
    <font>
      <b/>
      <sz val="11"/>
      <color theme="1"/>
      <name val="Calibri"/>
      <family val="2"/>
      <scheme val="minor"/>
    </font>
    <font>
      <sz val="11"/>
      <color theme="1"/>
      <name val="Calibri"/>
      <family val="2"/>
      <scheme val="minor"/>
    </font>
    <font>
      <sz val="10"/>
      <name val="Calibri"/>
      <family val="2"/>
      <scheme val="minor"/>
    </font>
    <font>
      <sz val="10"/>
      <color rgb="FF222222"/>
      <name val="Calibri"/>
      <family val="2"/>
      <scheme val="minor"/>
    </font>
    <font>
      <sz val="10"/>
      <name val="Arial"/>
      <family val="2"/>
    </font>
    <font>
      <sz val="10"/>
      <color rgb="FF000000"/>
      <name val="Calibri"/>
      <family val="2"/>
      <scheme val="minor"/>
    </font>
    <font>
      <sz val="11"/>
      <color rgb="FF000000"/>
      <name val="Calibri"/>
      <family val="2"/>
      <scheme val="minor"/>
    </font>
    <font>
      <sz val="11"/>
      <name val="Calibri"/>
      <family val="2"/>
      <scheme val="minor"/>
    </font>
    <font>
      <sz val="11"/>
      <color theme="0"/>
      <name val="Calibri"/>
      <family val="2"/>
      <scheme val="minor"/>
    </font>
    <font>
      <b/>
      <sz val="14"/>
      <color theme="1"/>
      <name val="Calibri"/>
      <family val="2"/>
      <scheme val="minor"/>
    </font>
    <font>
      <sz val="11"/>
      <color rgb="FFFF0000"/>
      <name val="Calibri"/>
      <family val="2"/>
      <scheme val="minor"/>
    </font>
    <font>
      <i/>
      <sz val="11"/>
      <color theme="1"/>
      <name val="Calibri"/>
      <family val="2"/>
      <scheme val="minor"/>
    </font>
    <font>
      <sz val="50"/>
      <color theme="1"/>
      <name val="Calibri"/>
      <family val="2"/>
      <scheme val="minor"/>
    </font>
    <font>
      <b/>
      <sz val="16"/>
      <color theme="1"/>
      <name val="Calibri"/>
      <family val="2"/>
      <scheme val="minor"/>
    </font>
    <font>
      <b/>
      <sz val="26"/>
      <name val="Calibri"/>
      <family val="2"/>
      <scheme val="minor"/>
    </font>
    <font>
      <sz val="36"/>
      <color theme="1"/>
      <name val="Calibri"/>
      <family val="2"/>
      <scheme val="minor"/>
    </font>
    <font>
      <b/>
      <sz val="50"/>
      <color theme="1"/>
      <name val="Calibri"/>
      <family val="2"/>
      <scheme val="minor"/>
    </font>
    <font>
      <b/>
      <sz val="11"/>
      <name val="Calibri"/>
      <family val="2"/>
      <scheme val="minor"/>
    </font>
    <font>
      <sz val="11"/>
      <color theme="1"/>
      <name val="Wingdings"/>
      <charset val="2"/>
    </font>
    <font>
      <i/>
      <sz val="26"/>
      <name val="Calibri"/>
      <family val="2"/>
      <scheme val="minor"/>
    </font>
    <font>
      <b/>
      <sz val="14"/>
      <color rgb="FFFF0000"/>
      <name val="Calibri"/>
      <family val="2"/>
      <scheme val="minor"/>
    </font>
    <font>
      <sz val="20"/>
      <color theme="1"/>
      <name val="Calibri"/>
      <family val="2"/>
      <scheme val="minor"/>
    </font>
    <font>
      <i/>
      <sz val="14"/>
      <color theme="1"/>
      <name val="Calibri"/>
      <family val="2"/>
      <scheme val="minor"/>
    </font>
    <font>
      <sz val="20"/>
      <color theme="1"/>
      <name val="Calibri Light"/>
      <family val="2"/>
      <scheme val="major"/>
    </font>
    <font>
      <b/>
      <sz val="9"/>
      <color theme="1"/>
      <name val="Calibri"/>
      <family val="2"/>
      <scheme val="minor"/>
    </font>
    <font>
      <sz val="26"/>
      <name val="Calibri"/>
      <family val="2"/>
      <scheme val="minor"/>
    </font>
    <font>
      <b/>
      <sz val="20"/>
      <color rgb="FF0000FF"/>
      <name val="Calibri"/>
      <family val="2"/>
      <scheme val="minor"/>
    </font>
    <font>
      <b/>
      <sz val="13"/>
      <color rgb="FF000000"/>
      <name val="Calibri"/>
      <family val="2"/>
      <scheme val="minor"/>
    </font>
    <font>
      <sz val="13"/>
      <color rgb="FF000000"/>
      <name val="Calibri"/>
      <family val="2"/>
      <scheme val="minor"/>
    </font>
    <font>
      <sz val="13"/>
      <color theme="1"/>
      <name val="Calibri"/>
      <family val="2"/>
      <scheme val="minor"/>
    </font>
    <font>
      <b/>
      <u/>
      <sz val="13"/>
      <color rgb="FF000000"/>
      <name val="Calibri"/>
      <family val="2"/>
      <scheme val="minor"/>
    </font>
    <font>
      <sz val="13"/>
      <color rgb="FFFF0000"/>
      <name val="Calibri"/>
      <family val="2"/>
      <scheme val="minor"/>
    </font>
    <font>
      <b/>
      <sz val="13"/>
      <color rgb="FFFF000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4472C4"/>
        <bgColor indexed="64"/>
      </patternFill>
    </fill>
  </fills>
  <borders count="1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s>
  <cellStyleXfs count="1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9" fontId="2" fillId="0" borderId="0" applyFont="0" applyFill="0" applyBorder="0" applyAlignment="0" applyProtection="0"/>
  </cellStyleXfs>
  <cellXfs count="167">
    <xf numFmtId="0" fontId="0" fillId="0" borderId="0" xfId="0"/>
    <xf numFmtId="0" fontId="0" fillId="0" borderId="0" xfId="0" applyNumberFormat="1"/>
    <xf numFmtId="0" fontId="0" fillId="0" borderId="0" xfId="0" quotePrefix="1"/>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1" fillId="0" borderId="0" xfId="0" applyFont="1"/>
    <xf numFmtId="164" fontId="3" fillId="0" borderId="0" xfId="0" applyNumberFormat="1" applyFont="1"/>
    <xf numFmtId="165" fontId="3" fillId="0" borderId="0" xfId="0" applyNumberFormat="1" applyFont="1"/>
    <xf numFmtId="0" fontId="3" fillId="0" borderId="0" xfId="0" applyFont="1" applyAlignment="1"/>
    <xf numFmtId="0" fontId="4" fillId="0" borderId="0" xfId="0" applyFont="1" applyFill="1" applyBorder="1" applyAlignment="1">
      <alignment vertical="center"/>
    </xf>
    <xf numFmtId="0" fontId="3" fillId="0" borderId="0" xfId="0" applyFont="1" applyFill="1" applyBorder="1" applyAlignment="1">
      <alignment horizontal="center"/>
    </xf>
    <xf numFmtId="0" fontId="3" fillId="0" borderId="0" xfId="0" applyFont="1" applyFill="1" applyBorder="1" applyAlignment="1">
      <alignment vertical="center"/>
    </xf>
    <xf numFmtId="43" fontId="3" fillId="0" borderId="0" xfId="1" applyFont="1" applyFill="1" applyBorder="1" applyAlignment="1">
      <alignment horizontal="center" vertical="center"/>
    </xf>
    <xf numFmtId="164" fontId="6" fillId="0" borderId="0" xfId="0" applyNumberFormat="1" applyFont="1" applyFill="1" applyBorder="1" applyAlignment="1">
      <alignment horizontal="right" vertical="center" wrapText="1"/>
    </xf>
    <xf numFmtId="0" fontId="7" fillId="0" borderId="0" xfId="0" applyFont="1" applyAlignment="1">
      <alignment horizontal="left" vertical="top" wrapText="1"/>
    </xf>
    <xf numFmtId="0" fontId="8" fillId="0" borderId="0" xfId="0" applyFont="1"/>
    <xf numFmtId="0" fontId="7" fillId="0" borderId="0" xfId="0" applyFont="1" applyAlignment="1">
      <alignment vertical="top" wrapText="1"/>
    </xf>
    <xf numFmtId="165" fontId="2" fillId="0" borderId="0" xfId="4" applyNumberFormat="1" applyFont="1"/>
    <xf numFmtId="2" fontId="0" fillId="0" borderId="0" xfId="0" applyNumberFormat="1"/>
    <xf numFmtId="0" fontId="0" fillId="0" borderId="0" xfId="0" applyFill="1"/>
    <xf numFmtId="0" fontId="0" fillId="0" borderId="0" xfId="0" applyNumberFormat="1" applyFill="1"/>
    <xf numFmtId="0" fontId="8" fillId="0" borderId="0" xfId="0" applyNumberFormat="1" applyFont="1"/>
    <xf numFmtId="0" fontId="0" fillId="0" borderId="0" xfId="0" applyAlignment="1">
      <alignment horizontal="center"/>
    </xf>
    <xf numFmtId="164" fontId="0" fillId="0" borderId="0" xfId="0" applyNumberFormat="1"/>
    <xf numFmtId="2" fontId="0" fillId="0" borderId="0" xfId="0" applyNumberFormat="1" applyFill="1"/>
    <xf numFmtId="164" fontId="8" fillId="0" borderId="0" xfId="0" applyNumberFormat="1" applyFont="1" applyFill="1"/>
    <xf numFmtId="166" fontId="8" fillId="0" borderId="0" xfId="0" applyNumberFormat="1" applyFont="1" applyAlignment="1">
      <alignment horizontal="right"/>
    </xf>
    <xf numFmtId="164" fontId="0" fillId="0" borderId="0" xfId="0" applyNumberFormat="1" applyFill="1"/>
    <xf numFmtId="0" fontId="8" fillId="0" borderId="0" xfId="0" applyNumberFormat="1" applyFont="1" applyAlignment="1">
      <alignment horizontal="right"/>
    </xf>
    <xf numFmtId="0" fontId="10" fillId="0" borderId="0" xfId="0" applyFont="1" applyFill="1" applyAlignment="1"/>
    <xf numFmtId="165" fontId="0" fillId="0" borderId="0" xfId="6" applyNumberFormat="1" applyFont="1" applyFill="1"/>
    <xf numFmtId="0" fontId="1" fillId="0" borderId="0" xfId="0" applyFont="1" applyFill="1" applyBorder="1"/>
    <xf numFmtId="0" fontId="1" fillId="0" borderId="0" xfId="0" applyFont="1" applyBorder="1"/>
    <xf numFmtId="2" fontId="0" fillId="0" borderId="0" xfId="0" applyNumberFormat="1" applyBorder="1"/>
    <xf numFmtId="0" fontId="0" fillId="7" borderId="0" xfId="0" applyFill="1"/>
    <xf numFmtId="0" fontId="11" fillId="7" borderId="0" xfId="0" applyFont="1" applyFill="1"/>
    <xf numFmtId="0" fontId="13" fillId="7" borderId="0" xfId="0" applyFont="1" applyFill="1"/>
    <xf numFmtId="0" fontId="17" fillId="7" borderId="0" xfId="0" applyFont="1" applyFill="1"/>
    <xf numFmtId="0" fontId="0" fillId="8" borderId="0" xfId="0" applyFill="1"/>
    <xf numFmtId="0" fontId="1" fillId="0" borderId="0" xfId="0" applyFont="1" applyBorder="1" applyAlignment="1">
      <alignment horizontal="center"/>
    </xf>
    <xf numFmtId="0" fontId="0" fillId="0" borderId="0" xfId="0" applyFill="1" applyAlignment="1"/>
    <xf numFmtId="0" fontId="0" fillId="0" borderId="0" xfId="0" applyAlignment="1"/>
    <xf numFmtId="0" fontId="0" fillId="0" borderId="0" xfId="0" applyAlignment="1">
      <alignment wrapText="1"/>
    </xf>
    <xf numFmtId="165" fontId="0" fillId="0" borderId="0" xfId="6" applyNumberFormat="1" applyFont="1" applyFill="1" applyAlignment="1"/>
    <xf numFmtId="167" fontId="0" fillId="0" borderId="0" xfId="9" applyNumberFormat="1" applyFont="1" applyFill="1"/>
    <xf numFmtId="0" fontId="18" fillId="0" borderId="0" xfId="0" applyFont="1" applyFill="1" applyBorder="1"/>
    <xf numFmtId="0" fontId="19" fillId="0" borderId="0" xfId="0" applyFont="1"/>
    <xf numFmtId="0" fontId="0" fillId="7" borderId="0" xfId="0" quotePrefix="1" applyFill="1"/>
    <xf numFmtId="0" fontId="8" fillId="2" borderId="0" xfId="0" applyFont="1" applyFill="1" applyAlignment="1">
      <alignment wrapText="1"/>
    </xf>
    <xf numFmtId="0" fontId="9" fillId="3" borderId="0" xfId="0" applyFont="1" applyFill="1" applyAlignment="1">
      <alignment wrapText="1"/>
    </xf>
    <xf numFmtId="0" fontId="9" fillId="0" borderId="0" xfId="0" applyFont="1" applyAlignment="1">
      <alignment wrapText="1"/>
    </xf>
    <xf numFmtId="0" fontId="19" fillId="0" borderId="0" xfId="0" applyFont="1" applyAlignment="1">
      <alignment wrapText="1"/>
    </xf>
    <xf numFmtId="0" fontId="1" fillId="0" borderId="0" xfId="0" applyFont="1" applyFill="1" applyAlignment="1">
      <alignment wrapText="1"/>
    </xf>
    <xf numFmtId="0" fontId="0" fillId="11" borderId="0" xfId="0" applyFill="1" applyAlignment="1">
      <alignment wrapText="1"/>
    </xf>
    <xf numFmtId="0" fontId="8" fillId="11" borderId="0" xfId="0" applyFont="1" applyFill="1" applyAlignment="1">
      <alignment wrapText="1"/>
    </xf>
    <xf numFmtId="0" fontId="0" fillId="5" borderId="0" xfId="0" applyFill="1" applyAlignment="1">
      <alignment horizontal="center"/>
    </xf>
    <xf numFmtId="0" fontId="1" fillId="0" borderId="0" xfId="0" applyFont="1" applyFill="1" applyAlignment="1"/>
    <xf numFmtId="0" fontId="0" fillId="0" borderId="0" xfId="0" applyFill="1" applyAlignment="1">
      <alignment wrapText="1"/>
    </xf>
    <xf numFmtId="2" fontId="0" fillId="8" borderId="0" xfId="0" applyNumberFormat="1" applyFill="1"/>
    <xf numFmtId="2" fontId="0" fillId="7" borderId="0" xfId="0" applyNumberFormat="1" applyFill="1"/>
    <xf numFmtId="0" fontId="0" fillId="7" borderId="0" xfId="0" applyFill="1" applyBorder="1"/>
    <xf numFmtId="0" fontId="1" fillId="7" borderId="0" xfId="0" applyFont="1" applyFill="1" applyBorder="1"/>
    <xf numFmtId="0" fontId="1" fillId="7" borderId="0" xfId="0" applyFont="1" applyFill="1" applyBorder="1" applyAlignment="1">
      <alignment horizontal="center"/>
    </xf>
    <xf numFmtId="2" fontId="0" fillId="7" borderId="0" xfId="0" applyNumberFormat="1" applyFill="1" applyBorder="1"/>
    <xf numFmtId="0" fontId="19" fillId="7" borderId="0" xfId="0" applyFont="1" applyFill="1"/>
    <xf numFmtId="0" fontId="0" fillId="0" borderId="0" xfId="0" applyAlignment="1">
      <alignment horizontal="center"/>
    </xf>
    <xf numFmtId="0" fontId="0" fillId="7" borderId="0" xfId="0" applyFill="1" applyBorder="1" applyAlignment="1"/>
    <xf numFmtId="0" fontId="22" fillId="14" borderId="5" xfId="0" applyFont="1" applyFill="1" applyBorder="1"/>
    <xf numFmtId="0" fontId="22" fillId="2" borderId="1" xfId="0" applyFont="1" applyFill="1" applyBorder="1"/>
    <xf numFmtId="0" fontId="0" fillId="7" borderId="6" xfId="0" applyFill="1" applyBorder="1"/>
    <xf numFmtId="0" fontId="0" fillId="7" borderId="7" xfId="0" applyFill="1" applyBorder="1"/>
    <xf numFmtId="0" fontId="0" fillId="7" borderId="8" xfId="0" applyFill="1" applyBorder="1"/>
    <xf numFmtId="0" fontId="0" fillId="7" borderId="9" xfId="0" applyFill="1" applyBorder="1"/>
    <xf numFmtId="0" fontId="0" fillId="7" borderId="10" xfId="0" applyFill="1" applyBorder="1"/>
    <xf numFmtId="0" fontId="0" fillId="7" borderId="11" xfId="0" applyFill="1" applyBorder="1"/>
    <xf numFmtId="0" fontId="0" fillId="7" borderId="12" xfId="0" applyFill="1" applyBorder="1"/>
    <xf numFmtId="0" fontId="0" fillId="7" borderId="4" xfId="0" quotePrefix="1" applyFill="1" applyBorder="1"/>
    <xf numFmtId="0" fontId="0" fillId="15" borderId="0" xfId="0" applyFill="1"/>
    <xf numFmtId="164" fontId="0" fillId="15" borderId="0" xfId="0" applyNumberFormat="1" applyFill="1"/>
    <xf numFmtId="166" fontId="8" fillId="15" borderId="0" xfId="0" applyNumberFormat="1" applyFont="1" applyFill="1" applyAlignment="1">
      <alignment horizontal="right"/>
    </xf>
    <xf numFmtId="0" fontId="8" fillId="15" borderId="0" xfId="0" applyNumberFormat="1" applyFont="1" applyFill="1"/>
    <xf numFmtId="0" fontId="8" fillId="15" borderId="0" xfId="0" applyNumberFormat="1" applyFont="1" applyFill="1" applyAlignment="1">
      <alignment horizontal="right"/>
    </xf>
    <xf numFmtId="2" fontId="8" fillId="15" borderId="0" xfId="0" applyNumberFormat="1" applyFont="1" applyFill="1"/>
    <xf numFmtId="2" fontId="0" fillId="15" borderId="0" xfId="0" applyNumberFormat="1" applyFill="1"/>
    <xf numFmtId="0" fontId="23" fillId="0" borderId="0" xfId="0" applyFont="1" applyFill="1" applyAlignment="1"/>
    <xf numFmtId="0" fontId="21" fillId="0" borderId="0" xfId="0" applyFont="1" applyFill="1" applyAlignment="1"/>
    <xf numFmtId="0" fontId="0" fillId="9" borderId="0" xfId="0" applyFill="1" applyAlignment="1">
      <alignment horizontal="center" wrapText="1"/>
    </xf>
    <xf numFmtId="0" fontId="0" fillId="9" borderId="0" xfId="0" applyFill="1" applyAlignment="1">
      <alignment wrapText="1"/>
    </xf>
    <xf numFmtId="0" fontId="0" fillId="0" borderId="0" xfId="0" applyAlignment="1">
      <alignment horizontal="left" wrapText="1"/>
    </xf>
    <xf numFmtId="0" fontId="9" fillId="16" borderId="0" xfId="0" applyFont="1" applyFill="1" applyAlignment="1">
      <alignment wrapText="1"/>
    </xf>
    <xf numFmtId="0" fontId="8" fillId="5" borderId="0" xfId="0" applyFont="1" applyFill="1" applyAlignment="1">
      <alignment wrapText="1"/>
    </xf>
    <xf numFmtId="0" fontId="19" fillId="0" borderId="0" xfId="0" applyFont="1" applyAlignment="1">
      <alignment horizontal="right"/>
    </xf>
    <xf numFmtId="0" fontId="0" fillId="15" borderId="0" xfId="0" applyNumberFormat="1" applyFill="1" applyBorder="1"/>
    <xf numFmtId="0" fontId="0" fillId="15" borderId="0" xfId="0" applyFill="1" applyBorder="1"/>
    <xf numFmtId="0" fontId="0" fillId="0" borderId="0" xfId="0" applyNumberFormat="1" applyFill="1" applyBorder="1"/>
    <xf numFmtId="2" fontId="0" fillId="15" borderId="0" xfId="0" applyNumberFormat="1" applyFill="1" applyBorder="1"/>
    <xf numFmtId="0" fontId="0" fillId="15" borderId="13" xfId="0" applyNumberFormat="1" applyFill="1" applyBorder="1"/>
    <xf numFmtId="0" fontId="0" fillId="15" borderId="13" xfId="0" applyFill="1" applyBorder="1"/>
    <xf numFmtId="2" fontId="0" fillId="15" borderId="13" xfId="0" applyNumberFormat="1" applyFill="1" applyBorder="1"/>
    <xf numFmtId="164" fontId="0" fillId="15" borderId="0" xfId="0" applyNumberFormat="1" applyFill="1" applyBorder="1"/>
    <xf numFmtId="0" fontId="8" fillId="15" borderId="0" xfId="0" applyNumberFormat="1" applyFont="1" applyFill="1" applyBorder="1"/>
    <xf numFmtId="0" fontId="8" fillId="15" borderId="0" xfId="0" applyFont="1" applyFill="1" applyBorder="1"/>
    <xf numFmtId="164" fontId="8" fillId="15" borderId="0" xfId="0" applyNumberFormat="1" applyFont="1" applyFill="1" applyBorder="1"/>
    <xf numFmtId="164" fontId="0" fillId="15" borderId="13" xfId="0" applyNumberFormat="1" applyFill="1" applyBorder="1"/>
    <xf numFmtId="0" fontId="8" fillId="15" borderId="13" xfId="0" applyNumberFormat="1" applyFont="1" applyFill="1" applyBorder="1"/>
    <xf numFmtId="0" fontId="8" fillId="15" borderId="13" xfId="0" applyFont="1" applyFill="1" applyBorder="1"/>
    <xf numFmtId="164" fontId="8" fillId="15" borderId="13" xfId="0" applyNumberFormat="1" applyFont="1" applyFill="1" applyBorder="1"/>
    <xf numFmtId="0" fontId="0" fillId="0" borderId="0" xfId="0" applyFill="1" applyBorder="1"/>
    <xf numFmtId="0" fontId="8" fillId="6" borderId="0" xfId="0" applyFont="1" applyFill="1" applyAlignment="1">
      <alignment wrapText="1"/>
    </xf>
    <xf numFmtId="0" fontId="7" fillId="0" borderId="0" xfId="0" applyFont="1" applyAlignment="1">
      <alignment horizontal="right" vertical="center" wrapText="1"/>
    </xf>
    <xf numFmtId="0" fontId="27" fillId="0" borderId="0" xfId="0" applyFont="1" applyAlignment="1">
      <alignment vertical="top"/>
    </xf>
    <xf numFmtId="0" fontId="0" fillId="0" borderId="0" xfId="0" applyFont="1" applyAlignment="1">
      <alignment horizontal="left" wrapText="1"/>
    </xf>
    <xf numFmtId="0" fontId="28" fillId="0" borderId="0" xfId="0" applyFont="1"/>
    <xf numFmtId="0" fontId="29" fillId="0" borderId="0" xfId="0" applyFont="1" applyAlignment="1">
      <alignment wrapText="1"/>
    </xf>
    <xf numFmtId="0" fontId="30" fillId="0" borderId="0" xfId="0" applyFont="1"/>
    <xf numFmtId="0" fontId="31" fillId="0" borderId="0" xfId="0" applyFont="1" applyAlignment="1">
      <alignment wrapText="1"/>
    </xf>
    <xf numFmtId="2" fontId="8" fillId="0" borderId="0" xfId="0" applyNumberFormat="1" applyFont="1"/>
    <xf numFmtId="0" fontId="0" fillId="0" borderId="13" xfId="0" applyBorder="1"/>
    <xf numFmtId="164" fontId="0" fillId="0" borderId="13" xfId="0" applyNumberFormat="1" applyBorder="1"/>
    <xf numFmtId="166" fontId="8" fillId="0" borderId="13" xfId="0" applyNumberFormat="1" applyFont="1" applyBorder="1" applyAlignment="1">
      <alignment horizontal="right"/>
    </xf>
    <xf numFmtId="0" fontId="8" fillId="0" borderId="13" xfId="0" applyNumberFormat="1" applyFont="1" applyBorder="1"/>
    <xf numFmtId="0" fontId="8" fillId="0" borderId="13" xfId="0" applyNumberFormat="1" applyFont="1" applyBorder="1" applyAlignment="1">
      <alignment horizontal="right"/>
    </xf>
    <xf numFmtId="2" fontId="8" fillId="0" borderId="13" xfId="0" applyNumberFormat="1" applyFont="1" applyBorder="1"/>
    <xf numFmtId="2" fontId="0" fillId="0" borderId="13" xfId="0" applyNumberFormat="1" applyBorder="1"/>
    <xf numFmtId="0" fontId="0" fillId="0" borderId="13" xfId="0" applyNumberFormat="1" applyFill="1" applyBorder="1"/>
    <xf numFmtId="0" fontId="0" fillId="0" borderId="13" xfId="0" applyFill="1" applyBorder="1"/>
    <xf numFmtId="2" fontId="0" fillId="0" borderId="13" xfId="0" applyNumberFormat="1" applyFill="1" applyBorder="1"/>
    <xf numFmtId="164" fontId="8" fillId="0" borderId="13" xfId="0" applyNumberFormat="1" applyFont="1" applyFill="1" applyBorder="1"/>
    <xf numFmtId="164" fontId="0" fillId="0" borderId="13" xfId="0" applyNumberFormat="1" applyFill="1" applyBorder="1"/>
    <xf numFmtId="0" fontId="0" fillId="0" borderId="13" xfId="0" applyNumberFormat="1" applyBorder="1"/>
    <xf numFmtId="0" fontId="0" fillId="0" borderId="14" xfId="0" applyNumberFormat="1" applyFill="1" applyBorder="1"/>
    <xf numFmtId="0" fontId="0" fillId="0" borderId="14" xfId="0" applyFill="1" applyBorder="1"/>
    <xf numFmtId="2" fontId="0" fillId="0" borderId="14" xfId="0" applyNumberFormat="1" applyFill="1" applyBorder="1"/>
    <xf numFmtId="164" fontId="8" fillId="0" borderId="14" xfId="0" applyNumberFormat="1" applyFont="1" applyFill="1" applyBorder="1"/>
    <xf numFmtId="164" fontId="0" fillId="0" borderId="14" xfId="0" applyNumberFormat="1" applyFill="1" applyBorder="1"/>
    <xf numFmtId="0" fontId="8" fillId="0" borderId="14" xfId="0" applyNumberFormat="1" applyFont="1" applyBorder="1"/>
    <xf numFmtId="0" fontId="0" fillId="0" borderId="14" xfId="0" applyNumberFormat="1" applyBorder="1"/>
    <xf numFmtId="0" fontId="0" fillId="0" borderId="14" xfId="0" applyBorder="1"/>
    <xf numFmtId="0" fontId="0" fillId="4" borderId="0" xfId="0" applyFill="1" applyAlignment="1">
      <alignment horizontal="center" wrapText="1"/>
    </xf>
    <xf numFmtId="0" fontId="0" fillId="11" borderId="0" xfId="0" applyFill="1" applyAlignment="1">
      <alignment horizontal="center" wrapText="1"/>
    </xf>
    <xf numFmtId="0" fontId="0" fillId="0" borderId="0" xfId="0" applyAlignment="1">
      <alignment horizontal="left" wrapText="1"/>
    </xf>
    <xf numFmtId="0" fontId="0" fillId="13" borderId="0" xfId="0" applyFill="1" applyAlignment="1">
      <alignment horizontal="center"/>
    </xf>
    <xf numFmtId="0" fontId="12" fillId="0" borderId="0" xfId="0" applyFont="1" applyAlignment="1">
      <alignment horizontal="center" wrapText="1"/>
    </xf>
    <xf numFmtId="0" fontId="0" fillId="9" borderId="0" xfId="0" applyFill="1" applyAlignment="1">
      <alignment horizontal="center"/>
    </xf>
    <xf numFmtId="0" fontId="0" fillId="5" borderId="0" xfId="0" applyFill="1" applyAlignment="1">
      <alignment horizontal="center"/>
    </xf>
    <xf numFmtId="0" fontId="0" fillId="9" borderId="0" xfId="0" applyFill="1" applyAlignment="1">
      <alignment horizontal="center" wrapText="1"/>
    </xf>
    <xf numFmtId="0" fontId="9" fillId="12" borderId="0" xfId="0" applyFont="1" applyFill="1" applyAlignment="1">
      <alignment horizontal="center"/>
    </xf>
    <xf numFmtId="0" fontId="0" fillId="10" borderId="0" xfId="0" applyFill="1" applyAlignment="1">
      <alignment horizontal="center"/>
    </xf>
    <xf numFmtId="0" fontId="25" fillId="7" borderId="0" xfId="0" applyFont="1" applyFill="1" applyAlignment="1">
      <alignment horizontal="left" vertical="center" wrapText="1"/>
    </xf>
    <xf numFmtId="0" fontId="14" fillId="7" borderId="1"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3" xfId="0" applyFont="1" applyFill="1" applyBorder="1" applyAlignment="1">
      <alignment horizontal="left" vertical="top" wrapText="1"/>
    </xf>
    <xf numFmtId="0" fontId="15" fillId="6" borderId="1" xfId="0" applyFont="1" applyFill="1" applyBorder="1" applyAlignment="1">
      <alignment horizontal="left"/>
    </xf>
    <xf numFmtId="0" fontId="15" fillId="6" borderId="2" xfId="0" applyFont="1" applyFill="1" applyBorder="1" applyAlignment="1">
      <alignment horizontal="left"/>
    </xf>
    <xf numFmtId="0" fontId="15" fillId="6" borderId="3" xfId="0" applyFont="1" applyFill="1" applyBorder="1" applyAlignment="1">
      <alignment horizontal="left"/>
    </xf>
    <xf numFmtId="0" fontId="16" fillId="7" borderId="0" xfId="0" applyFont="1" applyFill="1" applyAlignment="1">
      <alignment horizontal="center" vertical="center" textRotation="90"/>
    </xf>
    <xf numFmtId="0" fontId="0" fillId="7" borderId="1" xfId="0" applyFill="1" applyBorder="1" applyAlignment="1">
      <alignment horizontal="center"/>
    </xf>
    <xf numFmtId="0" fontId="0" fillId="7" borderId="3" xfId="0" applyFill="1" applyBorder="1" applyAlignment="1">
      <alignment horizontal="center"/>
    </xf>
    <xf numFmtId="0" fontId="22" fillId="2" borderId="1" xfId="0" applyFont="1" applyFill="1" applyBorder="1" applyAlignment="1">
      <alignment horizontal="center"/>
    </xf>
    <xf numFmtId="0" fontId="22" fillId="2" borderId="3" xfId="0" applyFont="1" applyFill="1" applyBorder="1" applyAlignment="1">
      <alignment horizontal="center"/>
    </xf>
    <xf numFmtId="0" fontId="1" fillId="0" borderId="0" xfId="0" applyFont="1" applyAlignment="1">
      <alignment horizontal="center"/>
    </xf>
    <xf numFmtId="0" fontId="0" fillId="2" borderId="0" xfId="0" applyFill="1" applyAlignment="1">
      <alignment horizontal="center"/>
    </xf>
    <xf numFmtId="2" fontId="0" fillId="2" borderId="0" xfId="0" applyNumberFormat="1" applyFill="1"/>
    <xf numFmtId="2" fontId="0" fillId="2" borderId="13" xfId="0" applyNumberFormat="1" applyFill="1" applyBorder="1"/>
    <xf numFmtId="2" fontId="0" fillId="2" borderId="14" xfId="0" applyNumberFormat="1" applyFill="1" applyBorder="1"/>
  </cellXfs>
  <cellStyles count="10">
    <cellStyle name="Comma" xfId="1" builtinId="3"/>
    <cellStyle name="Normal" xfId="0" builtinId="0"/>
    <cellStyle name="Normal 2 2" xfId="7" xr:uid="{5C2785A1-B9A4-49D5-B24B-700C7FA75E7F}"/>
    <cellStyle name="Normal 4 10" xfId="6" xr:uid="{8D1D490B-747B-410B-AF7F-74C7481466E1}"/>
    <cellStyle name="Normal 5 10" xfId="8" xr:uid="{9F83DCC3-2CAC-44AE-9087-143A2C12A71C}"/>
    <cellStyle name="Normal 6" xfId="5" xr:uid="{45DC1EB1-117B-479C-A5D9-309B0FE8D958}"/>
    <cellStyle name="Normal 7" xfId="4" xr:uid="{94354BCC-D259-4E30-8B6E-ABBF622A9C10}"/>
    <cellStyle name="Normal 8" xfId="2" xr:uid="{EC4F3533-99B5-4C1E-9DE4-FD5769CB4682}"/>
    <cellStyle name="Normal 9" xfId="3" xr:uid="{6D32B2B0-1357-4847-BA9F-4FB08DBB07D7}"/>
    <cellStyle name="Percent" xfId="9" builtinId="5"/>
  </cellStyles>
  <dxfs count="424">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dxf>
    <dxf>
      <font>
        <b val="0"/>
        <i val="0"/>
        <strike val="0"/>
        <condense val="0"/>
        <extend val="0"/>
        <outline val="0"/>
        <shadow val="0"/>
        <u val="none"/>
        <vertAlign val="baseline"/>
        <sz val="11"/>
        <color theme="1"/>
        <name val="Calibri"/>
        <family val="2"/>
        <scheme val="minor"/>
      </font>
      <numFmt numFmtId="165" formatCode="0.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7" formatCode="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5" formatCode="0.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numFmt numFmtId="164" formatCode="0.00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dxf>
    <dxf>
      <numFmt numFmtId="0" formatCode="General"/>
    </dxf>
    <dxf>
      <numFmt numFmtId="0" formatCode="General"/>
    </dxf>
    <dxf>
      <numFmt numFmtId="0" formatCode="General"/>
    </dxf>
    <dxf>
      <numFmt numFmtId="2" formatCode="0.00"/>
      <fill>
        <patternFill patternType="none">
          <fgColor indexed="64"/>
          <bgColor auto="1"/>
        </patternFill>
      </fill>
    </dxf>
    <dxf>
      <numFmt numFmtId="2" formatCode="0.00"/>
    </dxf>
    <dxf>
      <numFmt numFmtId="2" formatCode="0.00"/>
    </dxf>
    <dxf>
      <numFmt numFmtId="2" formatCode="0.00"/>
    </dxf>
    <dxf>
      <numFmt numFmtId="2" formatCode="0.00"/>
    </dxf>
    <dxf>
      <numFmt numFmtId="2" formatCode="0.00"/>
    </dxf>
    <dxf>
      <numFmt numFmtId="2" formatCode="0.00"/>
    </dxf>
    <dxf>
      <font>
        <b/>
        <i val="0"/>
        <strike val="0"/>
        <condense val="0"/>
        <extend val="0"/>
        <outline val="0"/>
        <shadow val="0"/>
        <u val="none"/>
        <vertAlign val="baseline"/>
        <sz val="11"/>
        <color theme="1"/>
        <name val="Calibri"/>
        <family val="2"/>
        <scheme val="minor"/>
      </font>
    </dxf>
    <dxf>
      <border outline="0">
        <left style="medium">
          <color indexed="64"/>
        </left>
        <right style="medium">
          <color indexed="64"/>
        </right>
        <top style="medium">
          <color indexed="64"/>
        </top>
        <bottom style="medium">
          <color indexed="64"/>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000"/>
    </dxf>
    <dxf>
      <numFmt numFmtId="164" formatCode="0.000"/>
    </dxf>
    <dxf>
      <font>
        <color auto="1"/>
      </font>
      <numFmt numFmtId="164" formatCode="0.000"/>
    </dxf>
    <dxf>
      <font>
        <color auto="1"/>
      </font>
      <numFmt numFmtId="164" formatCode="0.000"/>
    </dxf>
    <dxf>
      <numFmt numFmtId="164" formatCode="0.000"/>
    </dxf>
    <dxf>
      <font>
        <color auto="1"/>
      </font>
      <numFmt numFmtId="164" formatCode="0.000"/>
    </dxf>
    <dxf>
      <font>
        <color auto="1"/>
      </font>
      <numFmt numFmtId="164" formatCode="0.000"/>
    </dxf>
    <dxf>
      <font>
        <b val="0"/>
        <i val="0"/>
        <strike val="0"/>
        <condense val="0"/>
        <extend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164" formatCode="0.000"/>
    </dxf>
    <dxf>
      <font>
        <strike val="0"/>
        <outline val="0"/>
        <shadow val="0"/>
        <u val="none"/>
        <vertAlign val="baseline"/>
        <sz val="11"/>
        <color auto="1"/>
        <name val="Calibri"/>
        <family val="2"/>
        <scheme val="minor"/>
      </font>
      <numFmt numFmtId="164" formatCode="0.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0" formatCode="General"/>
    </dxf>
    <dxf>
      <numFmt numFmtId="0" formatCode="General"/>
    </dxf>
    <dxf>
      <numFmt numFmtId="2" formatCode="0.00"/>
    </dxf>
    <dxf>
      <numFmt numFmtId="2" formatCode="0.00"/>
    </dxf>
    <dxf>
      <numFmt numFmtId="2" formatCode="0.00"/>
    </dxf>
    <dxf>
      <numFmt numFmtId="2" formatCode="0.00"/>
    </dxf>
    <dxf>
      <numFmt numFmtId="2" formatCode="0.00"/>
    </dxf>
    <dxf>
      <numFmt numFmtId="2" formatCode="0.00"/>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4" formatCode="0.000"/>
    </dxf>
    <dxf>
      <numFmt numFmtId="2" formatCode="0.00"/>
    </dxf>
    <dxf>
      <numFmt numFmtId="2" formatCode="0.00"/>
    </dxf>
    <dxf>
      <numFmt numFmtId="2" formatCode="0.00"/>
    </dxf>
    <dxf>
      <numFmt numFmtId="164" formatCode="0.000"/>
    </dxf>
    <dxf>
      <numFmt numFmtId="2" formatCode="0.00"/>
    </dxf>
    <dxf>
      <numFmt numFmtId="2" formatCode="0.00"/>
    </dxf>
    <dxf>
      <numFmt numFmtId="0" formatCode="General"/>
    </dxf>
    <dxf>
      <numFmt numFmtId="0" formatCode="General"/>
    </dxf>
    <dxf>
      <numFmt numFmtId="0" formatCode="General"/>
    </dxf>
    <dxf>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dxf>
    <dxf>
      <font>
        <b/>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numFmt numFmtId="2" formatCode="0.00"/>
    </dxf>
    <dxf>
      <numFmt numFmtId="2" formatCode="0.00"/>
    </dxf>
    <dxf>
      <numFmt numFmtId="2" formatCode="0.00"/>
    </dxf>
    <dxf>
      <numFmt numFmtId="2" formatCode="0.00"/>
    </dxf>
    <dxf>
      <numFmt numFmtId="2" formatCode="0.00"/>
    </dxf>
    <dxf>
      <numFmt numFmtId="2" formatCode="0.00"/>
    </dxf>
    <dxf>
      <font>
        <color auto="1"/>
      </font>
      <numFmt numFmtId="2" formatCode="0.00"/>
    </dxf>
    <dxf>
      <font>
        <color auto="1"/>
      </font>
      <numFmt numFmtId="2" formatCode="0.00"/>
    </dxf>
    <dxf>
      <font>
        <b val="0"/>
        <i val="0"/>
        <strike val="0"/>
        <condense val="0"/>
        <extend val="0"/>
        <outline val="0"/>
        <shadow val="0"/>
        <u val="none"/>
        <vertAlign val="baseline"/>
        <sz val="11"/>
        <color auto="1"/>
        <name val="Calibri"/>
        <family val="2"/>
        <scheme val="minor"/>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dxf>
    <dxf>
      <font>
        <strike val="0"/>
        <outline val="0"/>
        <shadow val="0"/>
        <u val="none"/>
        <vertAlign val="baseline"/>
        <sz val="11"/>
        <color auto="1"/>
        <name val="Calibri"/>
        <family val="2"/>
        <scheme val="minor"/>
      </font>
      <numFmt numFmtId="166" formatCode="0.00000"/>
      <alignment horizontal="right" vertical="bottom" textRotation="0" wrapText="0" indent="0" justifyLastLine="0" shrinkToFit="0" readingOrder="0"/>
    </dxf>
    <dxf>
      <numFmt numFmtId="164" formatCode="0.000"/>
    </dxf>
    <dxf>
      <numFmt numFmtId="164" formatCode="0.000"/>
    </dxf>
    <dxf>
      <alignment horizontal="general" vertical="bottom" textRotation="0" wrapText="1" indent="0" justifyLastLine="0" shrinkToFit="0" readingOrder="0"/>
    </dxf>
  </dxfs>
  <tableStyles count="0" defaultTableStyle="TableStyleMedium2" defaultPivotStyle="PivotStyleLight16"/>
  <colors>
    <mruColors>
      <color rgb="FF0000FF"/>
      <color rgb="FF5F6B72"/>
      <color rgb="FF4C7389"/>
      <color rgb="FF397BA0"/>
      <color rgb="FF00D962"/>
      <color rgb="FF00DDA6"/>
      <color rgb="FF00D5E1"/>
      <color rgb="FF4472C4"/>
      <color rgb="FFFFFFFF"/>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9" Type="http://schemas.openxmlformats.org/officeDocument/2006/relationships/customXml" Target="../customXml/item26.xml"/><Relationship Id="rId21" Type="http://schemas.openxmlformats.org/officeDocument/2006/relationships/customXml" Target="../customXml/item8.xml"/><Relationship Id="rId34" Type="http://schemas.openxmlformats.org/officeDocument/2006/relationships/customXml" Target="../customXml/item21.xml"/><Relationship Id="rId42" Type="http://schemas.openxmlformats.org/officeDocument/2006/relationships/customXml" Target="../customXml/item29.xml"/><Relationship Id="rId47" Type="http://schemas.openxmlformats.org/officeDocument/2006/relationships/customXml" Target="../customXml/item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ustomXml" Target="../customXml/item3.xml"/><Relationship Id="rId29" Type="http://schemas.openxmlformats.org/officeDocument/2006/relationships/customXml" Target="../customXml/item16.xml"/><Relationship Id="rId11" Type="http://schemas.openxmlformats.org/officeDocument/2006/relationships/sheetMetadata" Target="metadata.xml"/><Relationship Id="rId24" Type="http://schemas.openxmlformats.org/officeDocument/2006/relationships/customXml" Target="../customXml/item11.xml"/><Relationship Id="rId32" Type="http://schemas.openxmlformats.org/officeDocument/2006/relationships/customXml" Target="../customXml/item19.xml"/><Relationship Id="rId37" Type="http://schemas.openxmlformats.org/officeDocument/2006/relationships/customXml" Target="../customXml/item24.xml"/><Relationship Id="rId40" Type="http://schemas.openxmlformats.org/officeDocument/2006/relationships/customXml" Target="../customXml/item27.xml"/><Relationship Id="rId45" Type="http://schemas.openxmlformats.org/officeDocument/2006/relationships/customXml" Target="../customXml/item32.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36" Type="http://schemas.openxmlformats.org/officeDocument/2006/relationships/customXml" Target="../customXml/item23.xml"/><Relationship Id="rId49" Type="http://schemas.openxmlformats.org/officeDocument/2006/relationships/customXml" Target="../customXml/item36.xml"/><Relationship Id="rId10" Type="http://schemas.openxmlformats.org/officeDocument/2006/relationships/sharedStrings" Target="sharedStrings.xml"/><Relationship Id="rId19" Type="http://schemas.openxmlformats.org/officeDocument/2006/relationships/customXml" Target="../customXml/item6.xml"/><Relationship Id="rId31" Type="http://schemas.openxmlformats.org/officeDocument/2006/relationships/customXml" Target="../customXml/item18.xml"/><Relationship Id="rId44" Type="http://schemas.openxmlformats.org/officeDocument/2006/relationships/customXml" Target="../customXml/item3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35" Type="http://schemas.openxmlformats.org/officeDocument/2006/relationships/customXml" Target="../customXml/item22.xml"/><Relationship Id="rId43" Type="http://schemas.openxmlformats.org/officeDocument/2006/relationships/customXml" Target="../customXml/item30.xml"/><Relationship Id="rId48" Type="http://schemas.openxmlformats.org/officeDocument/2006/relationships/customXml" Target="../customXml/item35.xml"/><Relationship Id="rId8" Type="http://schemas.openxmlformats.org/officeDocument/2006/relationships/theme" Target="theme/theme1.xml"/><Relationship Id="rId3" Type="http://schemas.openxmlformats.org/officeDocument/2006/relationships/worksheet" Target="worksheets/sheet3.xml"/><Relationship Id="rId12" Type="http://schemas.microsoft.com/office/2017/10/relationships/person" Target="persons/person.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38" Type="http://schemas.openxmlformats.org/officeDocument/2006/relationships/customXml" Target="../customXml/item25.xml"/><Relationship Id="rId46" Type="http://schemas.openxmlformats.org/officeDocument/2006/relationships/customXml" Target="../customXml/item33.xml"/><Relationship Id="rId20" Type="http://schemas.openxmlformats.org/officeDocument/2006/relationships/customXml" Target="../customXml/item7.xml"/><Relationship Id="rId41" Type="http://schemas.openxmlformats.org/officeDocument/2006/relationships/customXml" Target="../customXml/item28.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Process Metrics Dashboard'!$D$47</c:f>
          <c:strCache>
            <c:ptCount val="1"/>
            <c:pt idx="0">
              <c:v>Overall Process Metrics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radarChart>
        <c:radarStyle val="filled"/>
        <c:varyColors val="0"/>
        <c:ser>
          <c:idx val="0"/>
          <c:order val="0"/>
          <c:tx>
            <c:strRef>
              <c:f>'3. Process Metrics Dashboard'!$Y$49</c:f>
              <c:strCache>
                <c:ptCount val="1"/>
                <c:pt idx="0">
                  <c:v>Total</c:v>
                </c:pt>
              </c:strCache>
            </c:strRef>
          </c:tx>
          <c:spPr>
            <a:solidFill>
              <a:schemeClr val="accent1">
                <a:alpha val="50000"/>
              </a:schemeClr>
            </a:solidFill>
            <a:ln w="19050">
              <a:solidFill>
                <a:schemeClr val="tx1"/>
              </a:solidFill>
            </a:ln>
            <a:effectLst/>
          </c:spPr>
          <c:cat>
            <c:strRef>
              <c:f>'3. Process Metrics Dashboard'!$X$50:$X$56</c:f>
              <c:strCache>
                <c:ptCount val="7"/>
                <c:pt idx="0">
                  <c:v>PMI</c:v>
                </c:pt>
                <c:pt idx="1">
                  <c:v>Mass Net (kg)</c:v>
                </c:pt>
                <c:pt idx="2">
                  <c:v>Energy (MJ)</c:v>
                </c:pt>
                <c:pt idx="3">
                  <c:v>GWP (kg CO2 equiv.)</c:v>
                </c:pt>
                <c:pt idx="4">
                  <c:v>Acidification (kg SO2 equiv.)</c:v>
                </c:pt>
                <c:pt idx="5">
                  <c:v>Eutrophication (kg posphate equiv.)</c:v>
                </c:pt>
                <c:pt idx="6">
                  <c:v>Water (kg)</c:v>
                </c:pt>
              </c:strCache>
            </c:strRef>
          </c:cat>
          <c:val>
            <c:numRef>
              <c:f>'3. Process Metrics Dashboard'!$Y$50:$Y$56</c:f>
              <c:numCache>
                <c:formatCode>0.00</c:formatCode>
                <c:ptCount val="7"/>
                <c:pt idx="0">
                  <c:v>147.57423309112158</c:v>
                </c:pt>
                <c:pt idx="1">
                  <c:v>127.08899248952403</c:v>
                </c:pt>
                <c:pt idx="2">
                  <c:v>5064.7678314908235</c:v>
                </c:pt>
                <c:pt idx="3">
                  <c:v>156.4994909955808</c:v>
                </c:pt>
                <c:pt idx="4">
                  <c:v>0.65530288249062396</c:v>
                </c:pt>
                <c:pt idx="5">
                  <c:v>1.3757189865780779</c:v>
                </c:pt>
                <c:pt idx="6">
                  <c:v>890.26141237163642</c:v>
                </c:pt>
              </c:numCache>
            </c:numRef>
          </c:val>
          <c:extLst>
            <c:ext xmlns:c16="http://schemas.microsoft.com/office/drawing/2014/chart" uri="{C3380CC4-5D6E-409C-BE32-E72D297353CC}">
              <c16:uniqueId val="{00000000-895A-4670-8849-83A9D92E182D}"/>
            </c:ext>
          </c:extLst>
        </c:ser>
        <c:dLbls>
          <c:showLegendKey val="0"/>
          <c:showVal val="0"/>
          <c:showCatName val="0"/>
          <c:showSerName val="0"/>
          <c:showPercent val="0"/>
          <c:showBubbleSize val="0"/>
        </c:dLbls>
        <c:axId val="615442360"/>
        <c:axId val="615440064"/>
      </c:radarChart>
      <c:catAx>
        <c:axId val="61544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5440064"/>
        <c:crosses val="autoZero"/>
        <c:auto val="1"/>
        <c:lblAlgn val="ctr"/>
        <c:lblOffset val="100"/>
        <c:noMultiLvlLbl val="0"/>
      </c:catAx>
      <c:valAx>
        <c:axId val="615440064"/>
        <c:scaling>
          <c:logBase val="10"/>
          <c:orientation val="minMax"/>
        </c:scaling>
        <c:delete val="0"/>
        <c:axPos val="l"/>
        <c:majorGridlines>
          <c:spPr>
            <a:ln w="9525" cap="flat" cmpd="sng" algn="ctr">
              <a:solidFill>
                <a:schemeClr val="tx1"/>
              </a:solidFill>
              <a:round/>
            </a:ln>
            <a:effectLst/>
          </c:spPr>
        </c:majorGridlines>
        <c:numFmt formatCode="0.E+0" sourceLinked="0"/>
        <c:majorTickMark val="cross"/>
        <c:minorTickMark val="none"/>
        <c:tickLblPos val="nextTo"/>
        <c:spPr>
          <a:noFill/>
          <a:ln>
            <a:solidFill>
              <a:schemeClr val="accent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5442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Dashboard'!$X$98</c:f>
          <c:strCache>
            <c:ptCount val="1"/>
            <c:pt idx="0">
              <c:v>PMI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877109186454856E-2"/>
          <c:y val="0.10444462671332752"/>
          <c:w val="0.758690302196389"/>
          <c:h val="0.48349773986585004"/>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E579-4028-B47C-D1E547172892}"/>
            </c:ext>
          </c:extLst>
        </c:ser>
        <c:ser>
          <c:idx val="6"/>
          <c:order val="1"/>
          <c:tx>
            <c:v>Enzymes &amp; Plant Extracts</c:v>
          </c:tx>
          <c:spPr>
            <a:solidFill>
              <a:srgbClr val="92D050"/>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E579-4028-B47C-D1E547172892}"/>
            </c:ext>
          </c:extLst>
        </c:ser>
        <c:ser>
          <c:idx val="5"/>
          <c:order val="2"/>
          <c:tx>
            <c:v>Metal</c:v>
          </c:tx>
          <c:spPr>
            <a:solidFill>
              <a:schemeClr val="accent3"/>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Steps'!plotrange_by_step_pmi_Y1_METAL</c:f>
              <c:numCache>
                <c:formatCode>General</c:formatCode>
                <c:ptCount val="7"/>
                <c:pt idx="0">
                  <c:v>0</c:v>
                </c:pt>
                <c:pt idx="1">
                  <c:v>0</c:v>
                </c:pt>
                <c:pt idx="2">
                  <c:v>0</c:v>
                </c:pt>
                <c:pt idx="3">
                  <c:v>5.1704470224113947E-3</c:v>
                </c:pt>
                <c:pt idx="4">
                  <c:v>0</c:v>
                </c:pt>
                <c:pt idx="5">
                  <c:v>0</c:v>
                </c:pt>
                <c:pt idx="6">
                  <c:v>#N/A</c:v>
                </c:pt>
              </c:numCache>
            </c:numRef>
          </c:val>
          <c:extLst>
            <c:ext xmlns:c16="http://schemas.microsoft.com/office/drawing/2014/chart" uri="{C3380CC4-5D6E-409C-BE32-E72D297353CC}">
              <c16:uniqueId val="{00000002-E579-4028-B47C-D1E547172892}"/>
            </c:ext>
          </c:extLst>
        </c:ser>
        <c:ser>
          <c:idx val="0"/>
          <c:order val="3"/>
          <c:tx>
            <c:v>Reagent</c:v>
          </c:tx>
          <c:spPr>
            <a:solidFill>
              <a:srgbClr val="FF0000"/>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Steps'!plotrange_by_step_pmi_Y1_REAGENT</c:f>
              <c:numCache>
                <c:formatCode>General</c:formatCode>
                <c:ptCount val="7"/>
                <c:pt idx="0">
                  <c:v>4.9765812634149107</c:v>
                </c:pt>
                <c:pt idx="1">
                  <c:v>1.9200000000000002</c:v>
                </c:pt>
                <c:pt idx="2">
                  <c:v>10.460634978895289</c:v>
                </c:pt>
                <c:pt idx="3">
                  <c:v>1.2806797840738717</c:v>
                </c:pt>
                <c:pt idx="4">
                  <c:v>0.38565736162807535</c:v>
                </c:pt>
                <c:pt idx="5">
                  <c:v>1.2198798873354835</c:v>
                </c:pt>
                <c:pt idx="6">
                  <c:v>#N/A</c:v>
                </c:pt>
              </c:numCache>
            </c:numRef>
          </c:val>
          <c:extLst>
            <c:ext xmlns:c16="http://schemas.microsoft.com/office/drawing/2014/chart" uri="{C3380CC4-5D6E-409C-BE32-E72D297353CC}">
              <c16:uniqueId val="{00000003-E579-4028-B47C-D1E547172892}"/>
            </c:ext>
          </c:extLst>
        </c:ser>
        <c:ser>
          <c:idx val="2"/>
          <c:order val="4"/>
          <c:tx>
            <c:v>Solvent</c:v>
          </c:tx>
          <c:spPr>
            <a:solidFill>
              <a:schemeClr val="accent4"/>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Steps'!plotrange_by_step_pmi_Y1_SOLVENT</c:f>
              <c:numCache>
                <c:formatCode>General</c:formatCode>
                <c:ptCount val="7"/>
                <c:pt idx="0">
                  <c:v>5.7258212516058036</c:v>
                </c:pt>
                <c:pt idx="1">
                  <c:v>36</c:v>
                </c:pt>
                <c:pt idx="2">
                  <c:v>11.561754450357949</c:v>
                </c:pt>
                <c:pt idx="3">
                  <c:v>4.4272513546695098</c:v>
                </c:pt>
                <c:pt idx="4">
                  <c:v>3.8445564056253305</c:v>
                </c:pt>
                <c:pt idx="5">
                  <c:v>4.8795195493419339</c:v>
                </c:pt>
                <c:pt idx="6">
                  <c:v>#N/A</c:v>
                </c:pt>
              </c:numCache>
            </c:numRef>
          </c:val>
          <c:extLst>
            <c:ext xmlns:c16="http://schemas.microsoft.com/office/drawing/2014/chart" uri="{C3380CC4-5D6E-409C-BE32-E72D297353CC}">
              <c16:uniqueId val="{00000004-E579-4028-B47C-D1E547172892}"/>
            </c:ext>
          </c:extLst>
        </c:ser>
        <c:ser>
          <c:idx val="3"/>
          <c:order val="5"/>
          <c:tx>
            <c:v>Water</c:v>
          </c:tx>
          <c:spPr>
            <a:solidFill>
              <a:schemeClr val="accent1"/>
            </a:solidFill>
            <a:ln>
              <a:solidFill>
                <a:schemeClr val="tx1"/>
              </a:solidFill>
            </a:ln>
            <a:effectLst/>
          </c:spPr>
          <c:invertIfNegative val="0"/>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Steps'!plotrange_by_step_pmi_Y1_WATER</c:f>
              <c:numCache>
                <c:formatCode>General</c:formatCode>
                <c:ptCount val="7"/>
                <c:pt idx="0">
                  <c:v>31.118115011130907</c:v>
                </c:pt>
                <c:pt idx="1">
                  <c:v>0</c:v>
                </c:pt>
                <c:pt idx="2">
                  <c:v>11.011194714626619</c:v>
                </c:pt>
                <c:pt idx="3">
                  <c:v>13.271387846248334</c:v>
                </c:pt>
                <c:pt idx="4">
                  <c:v>5.486028785145157</c:v>
                </c:pt>
                <c:pt idx="5">
                  <c:v>0</c:v>
                </c:pt>
                <c:pt idx="6">
                  <c:v>#N/A</c:v>
                </c:pt>
              </c:numCache>
            </c:numRef>
          </c:val>
          <c:extLst>
            <c:ext xmlns:c16="http://schemas.microsoft.com/office/drawing/2014/chart" uri="{C3380CC4-5D6E-409C-BE32-E72D297353CC}">
              <c16:uniqueId val="{00000005-E579-4028-B47C-D1E547172892}"/>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B4F54AC7-2996-40DA-9E36-EABBFDCBEB1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79-4028-B47C-D1E547172892}"/>
                </c:ext>
              </c:extLst>
            </c:dLbl>
            <c:dLbl>
              <c:idx val="1"/>
              <c:tx>
                <c:rich>
                  <a:bodyPr/>
                  <a:lstStyle/>
                  <a:p>
                    <a:fld id="{BC8AD4D4-968E-454B-B76C-05C539EB522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F47-4730-98D0-29102D7FAC2D}"/>
                </c:ext>
              </c:extLst>
            </c:dLbl>
            <c:dLbl>
              <c:idx val="2"/>
              <c:tx>
                <c:rich>
                  <a:bodyPr/>
                  <a:lstStyle/>
                  <a:p>
                    <a:fld id="{024496E4-A94F-4617-B704-852B396796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F47-4730-98D0-29102D7FAC2D}"/>
                </c:ext>
              </c:extLst>
            </c:dLbl>
            <c:dLbl>
              <c:idx val="3"/>
              <c:tx>
                <c:rich>
                  <a:bodyPr/>
                  <a:lstStyle/>
                  <a:p>
                    <a:fld id="{90F113EF-0692-475B-8B6F-C9A28C530B2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B02-4E78-AC32-AAF2FD87588B}"/>
                </c:ext>
              </c:extLst>
            </c:dLbl>
            <c:dLbl>
              <c:idx val="4"/>
              <c:tx>
                <c:rich>
                  <a:bodyPr/>
                  <a:lstStyle/>
                  <a:p>
                    <a:fld id="{BAA1A970-BDA2-4051-81AE-306FDC3D57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B02-4E78-AC32-AAF2FD87588B}"/>
                </c:ext>
              </c:extLst>
            </c:dLbl>
            <c:dLbl>
              <c:idx val="5"/>
              <c:tx>
                <c:rich>
                  <a:bodyPr/>
                  <a:lstStyle/>
                  <a:p>
                    <a:fld id="{FB1E7707-C1FA-49E5-AEE1-B80D70C9C8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B02-4E78-AC32-AAF2FD87588B}"/>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7D15-48E0-9C04-4096F741E4D2}"/>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Steps'!plotrange_by_step_pmi_Y1</c:f>
              <c:numCache>
                <c:formatCode>0.00</c:formatCode>
                <c:ptCount val="7"/>
                <c:pt idx="0" formatCode="General">
                  <c:v>41.820517526151619</c:v>
                </c:pt>
                <c:pt idx="1">
                  <c:v>37.92</c:v>
                </c:pt>
                <c:pt idx="2">
                  <c:v>33.033584143879857</c:v>
                </c:pt>
                <c:pt idx="3">
                  <c:v>18.984489432014126</c:v>
                </c:pt>
                <c:pt idx="4">
                  <c:v>9.7162425523985618</c:v>
                </c:pt>
                <c:pt idx="5">
                  <c:v>6.0993994366774178</c:v>
                </c:pt>
                <c:pt idx="6">
                  <c:v>#N/A</c:v>
                </c:pt>
              </c:numCache>
            </c:numRef>
          </c:val>
          <c:smooth val="0"/>
          <c:extLst>
            <c:ext xmlns:c15="http://schemas.microsoft.com/office/drawing/2012/chart" uri="{02D57815-91ED-43cb-92C2-25804820EDAC}">
              <c15:datalabelsRange>
                <c15:f>'1. Define Process Steps'!plotrange_by_step_pmi_labels</c15:f>
                <c15:dlblRangeCache>
                  <c:ptCount val="7"/>
                  <c:pt idx="0">
                    <c:v>(28%)</c:v>
                  </c:pt>
                  <c:pt idx="1">
                    <c:v>(26%)</c:v>
                  </c:pt>
                  <c:pt idx="2">
                    <c:v>(22%)</c:v>
                  </c:pt>
                  <c:pt idx="3">
                    <c:v>(13%)</c:v>
                  </c:pt>
                  <c:pt idx="4">
                    <c:v>(7%)</c:v>
                  </c:pt>
                  <c:pt idx="5">
                    <c:v>(4%)</c:v>
                  </c:pt>
                  <c:pt idx="6">
                    <c:v>#N/A</c:v>
                  </c:pt>
                </c15:dlblRangeCache>
              </c15:datalabelsRange>
            </c:ext>
            <c:ext xmlns:c16="http://schemas.microsoft.com/office/drawing/2014/chart" uri="{C3380CC4-5D6E-409C-BE32-E72D297353CC}">
              <c16:uniqueId val="{0000000B-E579-4028-B47C-D1E547172892}"/>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Steps'!plotrange_by_step_pmi_X</c:f>
              <c:strCache>
                <c:ptCount val="6"/>
                <c:pt idx="0">
                  <c:v>4) Synthesis of Intermediate (4)</c:v>
                </c:pt>
                <c:pt idx="1">
                  <c:v>5) Pure Step</c:v>
                </c:pt>
                <c:pt idx="2">
                  <c:v>3) Synthesis of Intermediate (3)</c:v>
                </c:pt>
                <c:pt idx="3">
                  <c:v>1) Synthesis of Intermediate (1)</c:v>
                </c:pt>
                <c:pt idx="4">
                  <c:v>2) Synthesis of Intermediate (2)</c:v>
                </c:pt>
                <c:pt idx="5">
                  <c:v>1f) Virtual solution prep for (1) and (3): 20 wt% reagent D (organic) in DMF</c:v>
                </c:pt>
              </c:strCache>
            </c:strRef>
          </c:cat>
          <c:val>
            <c:numRef>
              <c:f>'1. Define Process Steps'!plotrange_by_step_pmi_Y2</c:f>
              <c:numCache>
                <c:formatCode>0.00</c:formatCode>
                <c:ptCount val="7"/>
                <c:pt idx="0" formatCode="General">
                  <c:v>41.820517526151619</c:v>
                </c:pt>
                <c:pt idx="1">
                  <c:v>79.740517526151621</c:v>
                </c:pt>
                <c:pt idx="2">
                  <c:v>112.77410167003148</c:v>
                </c:pt>
                <c:pt idx="3">
                  <c:v>131.75859110204561</c:v>
                </c:pt>
                <c:pt idx="4">
                  <c:v>141.47483365444418</c:v>
                </c:pt>
                <c:pt idx="5">
                  <c:v>147.57423309112161</c:v>
                </c:pt>
                <c:pt idx="6">
                  <c:v>#N/A</c:v>
                </c:pt>
              </c:numCache>
            </c:numRef>
          </c:val>
          <c:smooth val="0"/>
          <c:extLst>
            <c:ext xmlns:c16="http://schemas.microsoft.com/office/drawing/2014/chart" uri="{C3380CC4-5D6E-409C-BE32-E72D297353CC}">
              <c16:uniqueId val="{0000000C-E579-4028-B47C-D1E547172892}"/>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PMI</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Dashboard'!$X$135</c:f>
          <c:strCache>
            <c:ptCount val="1"/>
            <c:pt idx="0">
              <c:v>Mass Net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877109186454856E-2"/>
          <c:y val="0.10444462671332752"/>
          <c:w val="0.74771030265460947"/>
          <c:h val="0.4649792213473315"/>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5B03-46F8-AEF6-C8CE0438E716}"/>
            </c:ext>
          </c:extLst>
        </c:ser>
        <c:ser>
          <c:idx val="6"/>
          <c:order val="1"/>
          <c:tx>
            <c:v>Enzymes &amp; Plant Extracts</c:v>
          </c:tx>
          <c:spPr>
            <a:solidFill>
              <a:srgbClr val="92D050"/>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5B03-46F8-AEF6-C8CE0438E716}"/>
            </c:ext>
          </c:extLst>
        </c:ser>
        <c:ser>
          <c:idx val="5"/>
          <c:order val="2"/>
          <c:tx>
            <c:v>Metal</c:v>
          </c:tx>
          <c:spPr>
            <a:solidFill>
              <a:schemeClr val="accent3"/>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Steps'!plotrange_by_step_massnet_Y1_METAL</c:f>
              <c:numCache>
                <c:formatCode>General</c:formatCode>
                <c:ptCount val="7"/>
                <c:pt idx="0">
                  <c:v>0</c:v>
                </c:pt>
                <c:pt idx="1">
                  <c:v>0</c:v>
                </c:pt>
                <c:pt idx="2">
                  <c:v>0</c:v>
                </c:pt>
                <c:pt idx="3">
                  <c:v>0</c:v>
                </c:pt>
                <c:pt idx="4">
                  <c:v>1.3212335406624615E-2</c:v>
                </c:pt>
                <c:pt idx="5">
                  <c:v>0</c:v>
                </c:pt>
                <c:pt idx="6">
                  <c:v>#N/A</c:v>
                </c:pt>
              </c:numCache>
            </c:numRef>
          </c:val>
          <c:extLst>
            <c:ext xmlns:c16="http://schemas.microsoft.com/office/drawing/2014/chart" uri="{C3380CC4-5D6E-409C-BE32-E72D297353CC}">
              <c16:uniqueId val="{00000002-5B03-46F8-AEF6-C8CE0438E716}"/>
            </c:ext>
          </c:extLst>
        </c:ser>
        <c:ser>
          <c:idx val="0"/>
          <c:order val="3"/>
          <c:tx>
            <c:v>Reagent</c:v>
          </c:tx>
          <c:spPr>
            <a:solidFill>
              <a:srgbClr val="FF0000"/>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Steps'!plotrange_by_step_massnet_Y1_REAGENT</c:f>
              <c:numCache>
                <c:formatCode>General</c:formatCode>
                <c:ptCount val="7"/>
                <c:pt idx="0">
                  <c:v>4.0053519694451616</c:v>
                </c:pt>
                <c:pt idx="1">
                  <c:v>21.822148392898534</c:v>
                </c:pt>
                <c:pt idx="2">
                  <c:v>7.4901870531000636</c:v>
                </c:pt>
                <c:pt idx="3">
                  <c:v>2.5448168277217289</c:v>
                </c:pt>
                <c:pt idx="4">
                  <c:v>2.0319070761885989</c:v>
                </c:pt>
                <c:pt idx="5">
                  <c:v>0.62109008523543885</c:v>
                </c:pt>
                <c:pt idx="6">
                  <c:v>#N/A</c:v>
                </c:pt>
              </c:numCache>
            </c:numRef>
          </c:val>
          <c:extLst>
            <c:ext xmlns:c16="http://schemas.microsoft.com/office/drawing/2014/chart" uri="{C3380CC4-5D6E-409C-BE32-E72D297353CC}">
              <c16:uniqueId val="{00000003-5B03-46F8-AEF6-C8CE0438E716}"/>
            </c:ext>
          </c:extLst>
        </c:ser>
        <c:ser>
          <c:idx val="2"/>
          <c:order val="4"/>
          <c:tx>
            <c:v>Solvent</c:v>
          </c:tx>
          <c:spPr>
            <a:solidFill>
              <a:schemeClr val="accent4"/>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Steps'!plotrange_by_step_massnet_Y1_SOLVENT</c:f>
              <c:numCache>
                <c:formatCode>General</c:formatCode>
                <c:ptCount val="7"/>
                <c:pt idx="0">
                  <c:v>40.063078640000001</c:v>
                </c:pt>
                <c:pt idx="1">
                  <c:v>16.573718021655473</c:v>
                </c:pt>
                <c:pt idx="2">
                  <c:v>11.6515635602863</c:v>
                </c:pt>
                <c:pt idx="3">
                  <c:v>8.106428291202139</c:v>
                </c:pt>
                <c:pt idx="4">
                  <c:v>6.3820087135755195</c:v>
                </c:pt>
                <c:pt idx="5">
                  <c:v>5.6903086782335111</c:v>
                </c:pt>
                <c:pt idx="6">
                  <c:v>#N/A</c:v>
                </c:pt>
              </c:numCache>
            </c:numRef>
          </c:val>
          <c:extLst>
            <c:ext xmlns:c16="http://schemas.microsoft.com/office/drawing/2014/chart" uri="{C3380CC4-5D6E-409C-BE32-E72D297353CC}">
              <c16:uniqueId val="{00000004-5B03-46F8-AEF6-C8CE0438E716}"/>
            </c:ext>
          </c:extLst>
        </c:ser>
        <c:ser>
          <c:idx val="3"/>
          <c:order val="5"/>
          <c:tx>
            <c:v>Water</c:v>
          </c:tx>
          <c:spPr>
            <a:solidFill>
              <a:schemeClr val="accent1"/>
            </a:solidFill>
            <a:ln>
              <a:solidFill>
                <a:schemeClr val="tx1"/>
              </a:solidFill>
            </a:ln>
            <a:effectLst/>
          </c:spPr>
          <c:invertIfNegative val="0"/>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Steps'!plotrange_by_step_massnet_Y1_WATER</c:f>
              <c:numCache>
                <c:formatCode>General</c:formatCode>
                <c:ptCount val="7"/>
                <c:pt idx="0">
                  <c:v>0</c:v>
                </c:pt>
                <c:pt idx="1">
                  <c:v>1.6850049183336515E-2</c:v>
                </c:pt>
                <c:pt idx="2">
                  <c:v>4.761897160294274E-2</c:v>
                </c:pt>
                <c:pt idx="3">
                  <c:v>0</c:v>
                </c:pt>
                <c:pt idx="4">
                  <c:v>2.0308744303955559E-2</c:v>
                </c:pt>
                <c:pt idx="5">
                  <c:v>8.3950794847087885E-3</c:v>
                </c:pt>
                <c:pt idx="6">
                  <c:v>#N/A</c:v>
                </c:pt>
              </c:numCache>
            </c:numRef>
          </c:val>
          <c:extLst>
            <c:ext xmlns:c16="http://schemas.microsoft.com/office/drawing/2014/chart" uri="{C3380CC4-5D6E-409C-BE32-E72D297353CC}">
              <c16:uniqueId val="{00000005-5B03-46F8-AEF6-C8CE0438E716}"/>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C57B1A51-BC96-4D49-A2A6-ED09FC11B7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03-46F8-AEF6-C8CE0438E716}"/>
                </c:ext>
              </c:extLst>
            </c:dLbl>
            <c:dLbl>
              <c:idx val="1"/>
              <c:tx>
                <c:rich>
                  <a:bodyPr/>
                  <a:lstStyle/>
                  <a:p>
                    <a:fld id="{3F8F4C67-40BC-417D-8051-ADC2D545EEF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947-4F63-B450-038CBD83C978}"/>
                </c:ext>
              </c:extLst>
            </c:dLbl>
            <c:dLbl>
              <c:idx val="2"/>
              <c:tx>
                <c:rich>
                  <a:bodyPr/>
                  <a:lstStyle/>
                  <a:p>
                    <a:fld id="{99BF26CF-900F-45B0-94CB-FFAFD28B12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947-4F63-B450-038CBD83C978}"/>
                </c:ext>
              </c:extLst>
            </c:dLbl>
            <c:dLbl>
              <c:idx val="3"/>
              <c:tx>
                <c:rich>
                  <a:bodyPr/>
                  <a:lstStyle/>
                  <a:p>
                    <a:fld id="{9F544694-BCAA-4F1C-97C0-26277AC4FA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73E-4726-B4B3-AE9538AB3D3B}"/>
                </c:ext>
              </c:extLst>
            </c:dLbl>
            <c:dLbl>
              <c:idx val="4"/>
              <c:tx>
                <c:rich>
                  <a:bodyPr/>
                  <a:lstStyle/>
                  <a:p>
                    <a:fld id="{FED72EA2-9007-432E-8755-E082C9C67D2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73E-4726-B4B3-AE9538AB3D3B}"/>
                </c:ext>
              </c:extLst>
            </c:dLbl>
            <c:dLbl>
              <c:idx val="5"/>
              <c:tx>
                <c:rich>
                  <a:bodyPr/>
                  <a:lstStyle/>
                  <a:p>
                    <a:fld id="{A4C44BD3-D388-4201-8FCD-E976B5E8D3B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73E-4726-B4B3-AE9538AB3D3B}"/>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23C9-41A7-991A-5D886BFF8229}"/>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Steps'!plotrange_by_step_massnet_Y1</c:f>
              <c:numCache>
                <c:formatCode>General</c:formatCode>
                <c:ptCount val="7"/>
                <c:pt idx="0">
                  <c:v>44.068430609445159</c:v>
                </c:pt>
                <c:pt idx="1">
                  <c:v>38.412716463737347</c:v>
                </c:pt>
                <c:pt idx="2">
                  <c:v>19.189369584989308</c:v>
                </c:pt>
                <c:pt idx="3">
                  <c:v>10.651245118923867</c:v>
                </c:pt>
                <c:pt idx="4">
                  <c:v>8.4474368694746982</c:v>
                </c:pt>
                <c:pt idx="5">
                  <c:v>6.3197938429536586</c:v>
                </c:pt>
                <c:pt idx="6">
                  <c:v>#N/A</c:v>
                </c:pt>
              </c:numCache>
            </c:numRef>
          </c:val>
          <c:smooth val="0"/>
          <c:extLst>
            <c:ext xmlns:c15="http://schemas.microsoft.com/office/drawing/2012/chart" uri="{02D57815-91ED-43cb-92C2-25804820EDAC}">
              <c15:datalabelsRange>
                <c15:f>'1. Define Process Steps'!plotrange_by_step_massnet_labels</c15:f>
                <c15:dlblRangeCache>
                  <c:ptCount val="7"/>
                  <c:pt idx="0">
                    <c:v>(35%)</c:v>
                  </c:pt>
                  <c:pt idx="1">
                    <c:v>(30%)</c:v>
                  </c:pt>
                  <c:pt idx="2">
                    <c:v>(15%)</c:v>
                  </c:pt>
                  <c:pt idx="3">
                    <c:v>(8%)</c:v>
                  </c:pt>
                  <c:pt idx="4">
                    <c:v>(7%)</c:v>
                  </c:pt>
                  <c:pt idx="5">
                    <c:v>(5%)</c:v>
                  </c:pt>
                  <c:pt idx="6">
                    <c:v>#N/A</c:v>
                  </c:pt>
                </c15:dlblRangeCache>
              </c15:datalabelsRange>
            </c:ext>
            <c:ext xmlns:c16="http://schemas.microsoft.com/office/drawing/2014/chart" uri="{C3380CC4-5D6E-409C-BE32-E72D297353CC}">
              <c16:uniqueId val="{0000000B-5B03-46F8-AEF6-C8CE0438E716}"/>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Steps'!plotrange_by_step_massnet_X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Steps'!plotrange_by_step_massnet_Y2</c:f>
              <c:numCache>
                <c:formatCode>General</c:formatCode>
                <c:ptCount val="7"/>
                <c:pt idx="0">
                  <c:v>44.068430609445159</c:v>
                </c:pt>
                <c:pt idx="1">
                  <c:v>82.481147073182512</c:v>
                </c:pt>
                <c:pt idx="2">
                  <c:v>101.67051665817182</c:v>
                </c:pt>
                <c:pt idx="3">
                  <c:v>112.32176177709569</c:v>
                </c:pt>
                <c:pt idx="4">
                  <c:v>120.76919864657039</c:v>
                </c:pt>
                <c:pt idx="5">
                  <c:v>127.08899248952405</c:v>
                </c:pt>
                <c:pt idx="6">
                  <c:v>#N/A</c:v>
                </c:pt>
              </c:numCache>
            </c:numRef>
          </c:val>
          <c:smooth val="0"/>
          <c:extLst>
            <c:ext xmlns:c16="http://schemas.microsoft.com/office/drawing/2014/chart" uri="{C3380CC4-5D6E-409C-BE32-E72D297353CC}">
              <c16:uniqueId val="{0000000C-5B03-46F8-AEF6-C8CE0438E716}"/>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Mass Net (kg)</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Dashboard'!$X$172</c:f>
          <c:strCache>
            <c:ptCount val="1"/>
            <c:pt idx="0">
              <c:v>Energy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929787474475272"/>
          <c:y val="0.10444462671332752"/>
          <c:w val="0.78892725245602402"/>
          <c:h val="0.4696088509769612"/>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787C-4851-9D84-49547FDB0C13}"/>
            </c:ext>
          </c:extLst>
        </c:ser>
        <c:ser>
          <c:idx val="6"/>
          <c:order val="1"/>
          <c:tx>
            <c:v>Enzymes &amp; Plant Extracts</c:v>
          </c:tx>
          <c:spPr>
            <a:solidFill>
              <a:srgbClr val="92D050"/>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787C-4851-9D84-49547FDB0C13}"/>
            </c:ext>
          </c:extLst>
        </c:ser>
        <c:ser>
          <c:idx val="5"/>
          <c:order val="2"/>
          <c:tx>
            <c:v>Metal</c:v>
          </c:tx>
          <c:spPr>
            <a:solidFill>
              <a:schemeClr val="accent3"/>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Steps'!plotrange_by_step_energy_Y1_METAL</c:f>
              <c:numCache>
                <c:formatCode>General</c:formatCode>
                <c:ptCount val="7"/>
                <c:pt idx="0">
                  <c:v>0</c:v>
                </c:pt>
                <c:pt idx="1">
                  <c:v>0</c:v>
                </c:pt>
                <c:pt idx="2">
                  <c:v>0</c:v>
                </c:pt>
                <c:pt idx="3">
                  <c:v>0</c:v>
                </c:pt>
                <c:pt idx="4">
                  <c:v>4.8400991479566495E-2</c:v>
                </c:pt>
                <c:pt idx="5">
                  <c:v>0</c:v>
                </c:pt>
                <c:pt idx="6">
                  <c:v>#N/A</c:v>
                </c:pt>
              </c:numCache>
            </c:numRef>
          </c:val>
          <c:extLst>
            <c:ext xmlns:c16="http://schemas.microsoft.com/office/drawing/2014/chart" uri="{C3380CC4-5D6E-409C-BE32-E72D297353CC}">
              <c16:uniqueId val="{00000002-787C-4851-9D84-49547FDB0C13}"/>
            </c:ext>
          </c:extLst>
        </c:ser>
        <c:ser>
          <c:idx val="0"/>
          <c:order val="3"/>
          <c:tx>
            <c:v>Reagent</c:v>
          </c:tx>
          <c:spPr>
            <a:solidFill>
              <a:srgbClr val="FF0000"/>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Steps'!plotrange_by_step_energy_Y1_REAGENT</c:f>
              <c:numCache>
                <c:formatCode>General</c:formatCode>
                <c:ptCount val="7"/>
                <c:pt idx="0">
                  <c:v>143.74519413677422</c:v>
                </c:pt>
                <c:pt idx="1">
                  <c:v>783.1593780391845</c:v>
                </c:pt>
                <c:pt idx="2">
                  <c:v>123.63398811573452</c:v>
                </c:pt>
                <c:pt idx="3">
                  <c:v>91.329099598221532</c:v>
                </c:pt>
                <c:pt idx="4">
                  <c:v>40.802104102327149</c:v>
                </c:pt>
                <c:pt idx="5">
                  <c:v>13.080042460169723</c:v>
                </c:pt>
                <c:pt idx="6">
                  <c:v>#N/A</c:v>
                </c:pt>
              </c:numCache>
            </c:numRef>
          </c:val>
          <c:extLst>
            <c:ext xmlns:c16="http://schemas.microsoft.com/office/drawing/2014/chart" uri="{C3380CC4-5D6E-409C-BE32-E72D297353CC}">
              <c16:uniqueId val="{00000003-787C-4851-9D84-49547FDB0C13}"/>
            </c:ext>
          </c:extLst>
        </c:ser>
        <c:ser>
          <c:idx val="2"/>
          <c:order val="4"/>
          <c:tx>
            <c:v>Solvent</c:v>
          </c:tx>
          <c:spPr>
            <a:solidFill>
              <a:schemeClr val="accent4"/>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Steps'!plotrange_by_step_energy_Y1_SOLVENT</c:f>
              <c:numCache>
                <c:formatCode>General</c:formatCode>
                <c:ptCount val="7"/>
                <c:pt idx="0">
                  <c:v>1855.8458439999999</c:v>
                </c:pt>
                <c:pt idx="1">
                  <c:v>704.19670691870579</c:v>
                </c:pt>
                <c:pt idx="2">
                  <c:v>496.26375878142818</c:v>
                </c:pt>
                <c:pt idx="3">
                  <c:v>281.01484891989554</c:v>
                </c:pt>
                <c:pt idx="4">
                  <c:v>298.93428325627741</c:v>
                </c:pt>
                <c:pt idx="5">
                  <c:v>231.55379124945932</c:v>
                </c:pt>
                <c:pt idx="6">
                  <c:v>#N/A</c:v>
                </c:pt>
              </c:numCache>
            </c:numRef>
          </c:val>
          <c:extLst>
            <c:ext xmlns:c16="http://schemas.microsoft.com/office/drawing/2014/chart" uri="{C3380CC4-5D6E-409C-BE32-E72D297353CC}">
              <c16:uniqueId val="{00000004-787C-4851-9D84-49547FDB0C13}"/>
            </c:ext>
          </c:extLst>
        </c:ser>
        <c:ser>
          <c:idx val="3"/>
          <c:order val="5"/>
          <c:tx>
            <c:v>Water</c:v>
          </c:tx>
          <c:spPr>
            <a:solidFill>
              <a:schemeClr val="accent1"/>
            </a:solidFill>
            <a:ln>
              <a:solidFill>
                <a:schemeClr val="tx1"/>
              </a:solidFill>
            </a:ln>
            <a:effectLst/>
          </c:spPr>
          <c:invertIfNegative val="0"/>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Steps'!plotrange_by_step_energy_Y1_WATER</c:f>
              <c:numCache>
                <c:formatCode>General</c:formatCode>
                <c:ptCount val="7"/>
                <c:pt idx="0">
                  <c:v>0</c:v>
                </c:pt>
                <c:pt idx="1">
                  <c:v>0.20985346302073932</c:v>
                </c:pt>
                <c:pt idx="2">
                  <c:v>0.59305501056021503</c:v>
                </c:pt>
                <c:pt idx="3">
                  <c:v>0</c:v>
                </c:pt>
                <c:pt idx="4">
                  <c:v>0.25292865768026723</c:v>
                </c:pt>
                <c:pt idx="5">
                  <c:v>0.10455378990482314</c:v>
                </c:pt>
                <c:pt idx="6">
                  <c:v>#N/A</c:v>
                </c:pt>
              </c:numCache>
            </c:numRef>
          </c:val>
          <c:extLst>
            <c:ext xmlns:c16="http://schemas.microsoft.com/office/drawing/2014/chart" uri="{C3380CC4-5D6E-409C-BE32-E72D297353CC}">
              <c16:uniqueId val="{00000005-787C-4851-9D84-49547FDB0C13}"/>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F0FCDA82-154D-4222-A861-7F54B183DE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7C-4851-9D84-49547FDB0C13}"/>
                </c:ext>
              </c:extLst>
            </c:dLbl>
            <c:dLbl>
              <c:idx val="1"/>
              <c:tx>
                <c:rich>
                  <a:bodyPr/>
                  <a:lstStyle/>
                  <a:p>
                    <a:fld id="{C706C151-87C5-4D76-A545-828AB8FAF8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E55-4FE9-9BF3-D6FCD30B086F}"/>
                </c:ext>
              </c:extLst>
            </c:dLbl>
            <c:dLbl>
              <c:idx val="2"/>
              <c:tx>
                <c:rich>
                  <a:bodyPr/>
                  <a:lstStyle/>
                  <a:p>
                    <a:fld id="{7FFB420F-1CB9-4B7B-9415-DBE62B1B94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55-4FE9-9BF3-D6FCD30B086F}"/>
                </c:ext>
              </c:extLst>
            </c:dLbl>
            <c:dLbl>
              <c:idx val="3"/>
              <c:tx>
                <c:rich>
                  <a:bodyPr/>
                  <a:lstStyle/>
                  <a:p>
                    <a:fld id="{31EBF1C4-2944-49F4-B11D-2855394CAD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E0D-4D27-956E-3F89292E873C}"/>
                </c:ext>
              </c:extLst>
            </c:dLbl>
            <c:dLbl>
              <c:idx val="4"/>
              <c:tx>
                <c:rich>
                  <a:bodyPr/>
                  <a:lstStyle/>
                  <a:p>
                    <a:fld id="{04F5BCB8-574A-4294-8F71-2FDAFFCD89F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E0D-4D27-956E-3F89292E873C}"/>
                </c:ext>
              </c:extLst>
            </c:dLbl>
            <c:dLbl>
              <c:idx val="5"/>
              <c:tx>
                <c:rich>
                  <a:bodyPr/>
                  <a:lstStyle/>
                  <a:p>
                    <a:fld id="{E6814061-AB69-455D-B2ED-5375CA2DE9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E0D-4D27-956E-3F89292E873C}"/>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6AD0-45CF-8BB8-6F739901F730}"/>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Steps'!plotrange_by_step_energy_Y1</c:f>
              <c:numCache>
                <c:formatCode>General</c:formatCode>
                <c:ptCount val="7"/>
                <c:pt idx="0">
                  <c:v>1999.5910381367742</c:v>
                </c:pt>
                <c:pt idx="1">
                  <c:v>1487.5659384209112</c:v>
                </c:pt>
                <c:pt idx="2">
                  <c:v>620.49080190772293</c:v>
                </c:pt>
                <c:pt idx="3">
                  <c:v>372.34394851811709</c:v>
                </c:pt>
                <c:pt idx="4">
                  <c:v>340.03771700776434</c:v>
                </c:pt>
                <c:pt idx="5">
                  <c:v>244.73838749953384</c:v>
                </c:pt>
                <c:pt idx="6">
                  <c:v>#N/A</c:v>
                </c:pt>
              </c:numCache>
            </c:numRef>
          </c:val>
          <c:smooth val="0"/>
          <c:extLst>
            <c:ext xmlns:c15="http://schemas.microsoft.com/office/drawing/2012/chart" uri="{02D57815-91ED-43cb-92C2-25804820EDAC}">
              <c15:datalabelsRange>
                <c15:f>'1. Define Process Steps'!plotrange_by_step_energy_labels</c15:f>
                <c15:dlblRangeCache>
                  <c:ptCount val="7"/>
                  <c:pt idx="0">
                    <c:v>(39%)</c:v>
                  </c:pt>
                  <c:pt idx="1">
                    <c:v>(29%)</c:v>
                  </c:pt>
                  <c:pt idx="2">
                    <c:v>(12%)</c:v>
                  </c:pt>
                  <c:pt idx="3">
                    <c:v>(7%)</c:v>
                  </c:pt>
                  <c:pt idx="4">
                    <c:v>(7%)</c:v>
                  </c:pt>
                  <c:pt idx="5">
                    <c:v>(5%)</c:v>
                  </c:pt>
                  <c:pt idx="6">
                    <c:v>#N/A</c:v>
                  </c:pt>
                </c15:dlblRangeCache>
              </c15:datalabelsRange>
            </c:ext>
            <c:ext xmlns:c16="http://schemas.microsoft.com/office/drawing/2014/chart" uri="{C3380CC4-5D6E-409C-BE32-E72D297353CC}">
              <c16:uniqueId val="{0000000B-787C-4851-9D84-49547FDB0C13}"/>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Steps'!plotrange_by_step_energy_X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Steps'!plotrange_by_step_energy_Y2</c:f>
              <c:numCache>
                <c:formatCode>General</c:formatCode>
                <c:ptCount val="7"/>
                <c:pt idx="0">
                  <c:v>1999.5910381367742</c:v>
                </c:pt>
                <c:pt idx="1">
                  <c:v>3487.1569765576851</c:v>
                </c:pt>
                <c:pt idx="2">
                  <c:v>4107.647778465408</c:v>
                </c:pt>
                <c:pt idx="3">
                  <c:v>4479.991726983525</c:v>
                </c:pt>
                <c:pt idx="4">
                  <c:v>4820.0294439912896</c:v>
                </c:pt>
                <c:pt idx="5">
                  <c:v>5064.7678314908235</c:v>
                </c:pt>
                <c:pt idx="6">
                  <c:v>#N/A</c:v>
                </c:pt>
              </c:numCache>
            </c:numRef>
          </c:val>
          <c:smooth val="0"/>
          <c:extLst>
            <c:ext xmlns:c16="http://schemas.microsoft.com/office/drawing/2014/chart" uri="{C3380CC4-5D6E-409C-BE32-E72D297353CC}">
              <c16:uniqueId val="{0000000C-787C-4851-9D84-49547FDB0C13}"/>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Energy</a:t>
                </a:r>
                <a:r>
                  <a:rPr lang="en-US" baseline="0"/>
                  <a:t> (MJ)</a:t>
                </a:r>
                <a:endParaRPr lang="en-US"/>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Dashboard'!$X$209</c:f>
          <c:strCache>
            <c:ptCount val="1"/>
            <c:pt idx="0">
              <c:v>Global Warming Potential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877109186454856E-2"/>
          <c:y val="0.10444462671332752"/>
          <c:w val="0.82777219958555837"/>
          <c:h val="0.47655329542140568"/>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CF6C-4CA9-9251-5CE3EAEFF406}"/>
            </c:ext>
          </c:extLst>
        </c:ser>
        <c:ser>
          <c:idx val="6"/>
          <c:order val="1"/>
          <c:tx>
            <c:v>Enzymes &amp; Plant Extracts</c:v>
          </c:tx>
          <c:spPr>
            <a:solidFill>
              <a:srgbClr val="92D050"/>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CF6C-4CA9-9251-5CE3EAEFF406}"/>
            </c:ext>
          </c:extLst>
        </c:ser>
        <c:ser>
          <c:idx val="5"/>
          <c:order val="2"/>
          <c:tx>
            <c:v>Metal</c:v>
          </c:tx>
          <c:spPr>
            <a:solidFill>
              <a:schemeClr val="accent3"/>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Steps'!plotrange_by_step_GWP_Y1_METAL</c:f>
              <c:numCache>
                <c:formatCode>General</c:formatCode>
                <c:ptCount val="7"/>
                <c:pt idx="0">
                  <c:v>0</c:v>
                </c:pt>
                <c:pt idx="1">
                  <c:v>0</c:v>
                </c:pt>
                <c:pt idx="2">
                  <c:v>0</c:v>
                </c:pt>
                <c:pt idx="3">
                  <c:v>0</c:v>
                </c:pt>
                <c:pt idx="4">
                  <c:v>2.8110112451826814E-3</c:v>
                </c:pt>
                <c:pt idx="5">
                  <c:v>0</c:v>
                </c:pt>
                <c:pt idx="6">
                  <c:v>#N/A</c:v>
                </c:pt>
              </c:numCache>
            </c:numRef>
          </c:val>
          <c:extLst>
            <c:ext xmlns:c16="http://schemas.microsoft.com/office/drawing/2014/chart" uri="{C3380CC4-5D6E-409C-BE32-E72D297353CC}">
              <c16:uniqueId val="{00000002-CF6C-4CA9-9251-5CE3EAEFF406}"/>
            </c:ext>
          </c:extLst>
        </c:ser>
        <c:ser>
          <c:idx val="0"/>
          <c:order val="3"/>
          <c:tx>
            <c:v>Reagent</c:v>
          </c:tx>
          <c:spPr>
            <a:solidFill>
              <a:srgbClr val="FF0000"/>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Steps'!plotrange_by_step_GWP_Y1_REAGENT</c:f>
              <c:numCache>
                <c:formatCode>General</c:formatCode>
                <c:ptCount val="7"/>
                <c:pt idx="0">
                  <c:v>5.038854827148386</c:v>
                </c:pt>
                <c:pt idx="1">
                  <c:v>27.452927634606134</c:v>
                </c:pt>
                <c:pt idx="2">
                  <c:v>8.2588466228449668</c:v>
                </c:pt>
                <c:pt idx="3">
                  <c:v>3.2014571139800156</c:v>
                </c:pt>
                <c:pt idx="4">
                  <c:v>2.2986629072298421</c:v>
                </c:pt>
                <c:pt idx="5">
                  <c:v>0.70750494723838131</c:v>
                </c:pt>
                <c:pt idx="6">
                  <c:v>#N/A</c:v>
                </c:pt>
              </c:numCache>
            </c:numRef>
          </c:val>
          <c:extLst>
            <c:ext xmlns:c16="http://schemas.microsoft.com/office/drawing/2014/chart" uri="{C3380CC4-5D6E-409C-BE32-E72D297353CC}">
              <c16:uniqueId val="{00000003-CF6C-4CA9-9251-5CE3EAEFF406}"/>
            </c:ext>
          </c:extLst>
        </c:ser>
        <c:ser>
          <c:idx val="2"/>
          <c:order val="4"/>
          <c:tx>
            <c:v>Solvent</c:v>
          </c:tx>
          <c:spPr>
            <a:solidFill>
              <a:schemeClr val="accent4"/>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Steps'!plotrange_by_step_GWP_Y1_SOLVENT</c:f>
              <c:numCache>
                <c:formatCode>General</c:formatCode>
                <c:ptCount val="7"/>
                <c:pt idx="0">
                  <c:v>48.870472079999999</c:v>
                </c:pt>
                <c:pt idx="1">
                  <c:v>19.247116076344426</c:v>
                </c:pt>
                <c:pt idx="2">
                  <c:v>17.448926085520291</c:v>
                </c:pt>
                <c:pt idx="3">
                  <c:v>9.2008420682693028</c:v>
                </c:pt>
                <c:pt idx="4">
                  <c:v>8.1354056745993439</c:v>
                </c:pt>
                <c:pt idx="5">
                  <c:v>6.5738187413510456</c:v>
                </c:pt>
                <c:pt idx="6">
                  <c:v>#N/A</c:v>
                </c:pt>
              </c:numCache>
            </c:numRef>
          </c:val>
          <c:extLst>
            <c:ext xmlns:c16="http://schemas.microsoft.com/office/drawing/2014/chart" uri="{C3380CC4-5D6E-409C-BE32-E72D297353CC}">
              <c16:uniqueId val="{00000004-CF6C-4CA9-9251-5CE3EAEFF406}"/>
            </c:ext>
          </c:extLst>
        </c:ser>
        <c:ser>
          <c:idx val="3"/>
          <c:order val="5"/>
          <c:tx>
            <c:v>Water</c:v>
          </c:tx>
          <c:spPr>
            <a:solidFill>
              <a:schemeClr val="accent1"/>
            </a:solidFill>
            <a:ln>
              <a:solidFill>
                <a:schemeClr val="tx1"/>
              </a:solidFill>
            </a:ln>
            <a:effectLst/>
          </c:spPr>
          <c:invertIfNegative val="0"/>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Steps'!plotrange_by_step_GWP_Y1_WATER</c:f>
              <c:numCache>
                <c:formatCode>General</c:formatCode>
                <c:ptCount val="7"/>
                <c:pt idx="0">
                  <c:v>0</c:v>
                </c:pt>
                <c:pt idx="1">
                  <c:v>1.1184532941824272E-2</c:v>
                </c:pt>
                <c:pt idx="2">
                  <c:v>3.1607976377636127E-2</c:v>
                </c:pt>
                <c:pt idx="3">
                  <c:v>0</c:v>
                </c:pt>
                <c:pt idx="4">
                  <c:v>1.3480306033723976E-2</c:v>
                </c:pt>
                <c:pt idx="5">
                  <c:v>5.5723898502809113E-3</c:v>
                </c:pt>
                <c:pt idx="6">
                  <c:v>#N/A</c:v>
                </c:pt>
              </c:numCache>
            </c:numRef>
          </c:val>
          <c:extLst>
            <c:ext xmlns:c16="http://schemas.microsoft.com/office/drawing/2014/chart" uri="{C3380CC4-5D6E-409C-BE32-E72D297353CC}">
              <c16:uniqueId val="{00000005-CF6C-4CA9-9251-5CE3EAEFF406}"/>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BA8E2508-2B97-4EF6-8781-79C796EFC5C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6C-4CA9-9251-5CE3EAEFF406}"/>
                </c:ext>
              </c:extLst>
            </c:dLbl>
            <c:dLbl>
              <c:idx val="1"/>
              <c:tx>
                <c:rich>
                  <a:bodyPr/>
                  <a:lstStyle/>
                  <a:p>
                    <a:fld id="{EEADBD26-8C98-4D9E-B63B-69933B9394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ABC-4A37-A584-FD52531AB838}"/>
                </c:ext>
              </c:extLst>
            </c:dLbl>
            <c:dLbl>
              <c:idx val="2"/>
              <c:tx>
                <c:rich>
                  <a:bodyPr/>
                  <a:lstStyle/>
                  <a:p>
                    <a:fld id="{424EC634-E9DB-463A-B7C2-6395AC2B48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ABC-4A37-A584-FD52531AB838}"/>
                </c:ext>
              </c:extLst>
            </c:dLbl>
            <c:dLbl>
              <c:idx val="3"/>
              <c:tx>
                <c:rich>
                  <a:bodyPr/>
                  <a:lstStyle/>
                  <a:p>
                    <a:fld id="{AF9850F1-BF4A-4C89-89D1-3B46027D99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BA6-447B-99FD-ECCACA43621D}"/>
                </c:ext>
              </c:extLst>
            </c:dLbl>
            <c:dLbl>
              <c:idx val="4"/>
              <c:tx>
                <c:rich>
                  <a:bodyPr/>
                  <a:lstStyle/>
                  <a:p>
                    <a:fld id="{6D1696D3-5E29-4E57-AC5F-ECD7E3A6F2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BA6-447B-99FD-ECCACA43621D}"/>
                </c:ext>
              </c:extLst>
            </c:dLbl>
            <c:dLbl>
              <c:idx val="5"/>
              <c:tx>
                <c:rich>
                  <a:bodyPr/>
                  <a:lstStyle/>
                  <a:p>
                    <a:fld id="{0D878A50-F78D-45DD-9E11-004F451A08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BA6-447B-99FD-ECCACA43621D}"/>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617D-4B4A-8E9E-AD3FBCA83E7B}"/>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Steps'!plotrange_by_step_GWP_Y1</c:f>
              <c:numCache>
                <c:formatCode>General</c:formatCode>
                <c:ptCount val="7"/>
                <c:pt idx="0">
                  <c:v>53.909326907148383</c:v>
                </c:pt>
                <c:pt idx="1">
                  <c:v>46.711228243892393</c:v>
                </c:pt>
                <c:pt idx="2">
                  <c:v>25.739380684742894</c:v>
                </c:pt>
                <c:pt idx="3">
                  <c:v>12.402299182249319</c:v>
                </c:pt>
                <c:pt idx="4">
                  <c:v>10.450359899108092</c:v>
                </c:pt>
                <c:pt idx="5">
                  <c:v>7.2868960784397085</c:v>
                </c:pt>
                <c:pt idx="6">
                  <c:v>#N/A</c:v>
                </c:pt>
              </c:numCache>
            </c:numRef>
          </c:val>
          <c:smooth val="0"/>
          <c:extLst>
            <c:ext xmlns:c15="http://schemas.microsoft.com/office/drawing/2012/chart" uri="{02D57815-91ED-43cb-92C2-25804820EDAC}">
              <c15:datalabelsRange>
                <c15:f>'1. Define Process Steps'!plotrange_by_step_GWP_labels</c15:f>
                <c15:dlblRangeCache>
                  <c:ptCount val="7"/>
                  <c:pt idx="0">
                    <c:v>(34%)</c:v>
                  </c:pt>
                  <c:pt idx="1">
                    <c:v>(30%)</c:v>
                  </c:pt>
                  <c:pt idx="2">
                    <c:v>(16%)</c:v>
                  </c:pt>
                  <c:pt idx="3">
                    <c:v>(8%)</c:v>
                  </c:pt>
                  <c:pt idx="4">
                    <c:v>(7%)</c:v>
                  </c:pt>
                  <c:pt idx="5">
                    <c:v>(5%)</c:v>
                  </c:pt>
                  <c:pt idx="6">
                    <c:v>#N/A</c:v>
                  </c:pt>
                </c15:dlblRangeCache>
              </c15:datalabelsRange>
            </c:ext>
            <c:ext xmlns:c16="http://schemas.microsoft.com/office/drawing/2014/chart" uri="{C3380CC4-5D6E-409C-BE32-E72D297353CC}">
              <c16:uniqueId val="{0000000B-CF6C-4CA9-9251-5CE3EAEFF406}"/>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Steps'!plotrange_by_step_GWP_X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Steps'!plotrange_by_step_GWP_Y2</c:f>
              <c:numCache>
                <c:formatCode>General</c:formatCode>
                <c:ptCount val="7"/>
                <c:pt idx="0">
                  <c:v>53.909326907148383</c:v>
                </c:pt>
                <c:pt idx="1">
                  <c:v>100.62055515104078</c:v>
                </c:pt>
                <c:pt idx="2">
                  <c:v>126.35993583578367</c:v>
                </c:pt>
                <c:pt idx="3">
                  <c:v>138.76223501803298</c:v>
                </c:pt>
                <c:pt idx="4">
                  <c:v>149.21259491714108</c:v>
                </c:pt>
                <c:pt idx="5">
                  <c:v>156.49949099558077</c:v>
                </c:pt>
                <c:pt idx="6">
                  <c:v>#N/A</c:v>
                </c:pt>
              </c:numCache>
            </c:numRef>
          </c:val>
          <c:smooth val="0"/>
          <c:extLst>
            <c:ext xmlns:c16="http://schemas.microsoft.com/office/drawing/2014/chart" uri="{C3380CC4-5D6E-409C-BE32-E72D297353CC}">
              <c16:uniqueId val="{0000000C-CF6C-4CA9-9251-5CE3EAEFF406}"/>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GWP (kg CO2 equiv.)</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Dashboard'!$X$246</c:f>
          <c:strCache>
            <c:ptCount val="1"/>
            <c:pt idx="0">
              <c:v>Acidification Potential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877109186454856E-2"/>
          <c:y val="0.10444462671332752"/>
          <c:w val="0.75663148023506421"/>
          <c:h val="0.47655329542140568"/>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F1D4-4CA8-84EF-BBB87FF70CCD}"/>
            </c:ext>
          </c:extLst>
        </c:ser>
        <c:ser>
          <c:idx val="6"/>
          <c:order val="1"/>
          <c:tx>
            <c:v>Enzymes &amp; Plant Extracts</c:v>
          </c:tx>
          <c:spPr>
            <a:solidFill>
              <a:srgbClr val="92D050"/>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F1D4-4CA8-84EF-BBB87FF70CCD}"/>
            </c:ext>
          </c:extLst>
        </c:ser>
        <c:ser>
          <c:idx val="5"/>
          <c:order val="2"/>
          <c:tx>
            <c:v>Metal</c:v>
          </c:tx>
          <c:spPr>
            <a:solidFill>
              <a:schemeClr val="accent3"/>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Steps'!plotrange_by_step_acidification_Y1_METAL</c:f>
              <c:numCache>
                <c:formatCode>General</c:formatCode>
                <c:ptCount val="7"/>
                <c:pt idx="0">
                  <c:v>0</c:v>
                </c:pt>
                <c:pt idx="1">
                  <c:v>0</c:v>
                </c:pt>
                <c:pt idx="2">
                  <c:v>0</c:v>
                </c:pt>
                <c:pt idx="3">
                  <c:v>0</c:v>
                </c:pt>
                <c:pt idx="4">
                  <c:v>4.4127374004533426E-4</c:v>
                </c:pt>
                <c:pt idx="5">
                  <c:v>0</c:v>
                </c:pt>
                <c:pt idx="6">
                  <c:v>#N/A</c:v>
                </c:pt>
              </c:numCache>
            </c:numRef>
          </c:val>
          <c:extLst>
            <c:ext xmlns:c16="http://schemas.microsoft.com/office/drawing/2014/chart" uri="{C3380CC4-5D6E-409C-BE32-E72D297353CC}">
              <c16:uniqueId val="{00000002-F1D4-4CA8-84EF-BBB87FF70CCD}"/>
            </c:ext>
          </c:extLst>
        </c:ser>
        <c:ser>
          <c:idx val="0"/>
          <c:order val="3"/>
          <c:tx>
            <c:v>Reagent</c:v>
          </c:tx>
          <c:spPr>
            <a:solidFill>
              <a:srgbClr val="FF0000"/>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Steps'!plotrange_by_step_acidification_Y1_REAGENT</c:f>
              <c:numCache>
                <c:formatCode>General</c:formatCode>
                <c:ptCount val="7"/>
                <c:pt idx="0">
                  <c:v>2.1548378387612907E-2</c:v>
                </c:pt>
                <c:pt idx="1">
                  <c:v>0.1174008961978827</c:v>
                </c:pt>
                <c:pt idx="2">
                  <c:v>6.622690798159761E-2</c:v>
                </c:pt>
                <c:pt idx="3">
                  <c:v>1.3690850729033123E-2</c:v>
                </c:pt>
                <c:pt idx="4">
                  <c:v>1.6668454990672189E-2</c:v>
                </c:pt>
                <c:pt idx="5">
                  <c:v>4.9864031373803774E-3</c:v>
                </c:pt>
                <c:pt idx="6">
                  <c:v>#N/A</c:v>
                </c:pt>
              </c:numCache>
            </c:numRef>
          </c:val>
          <c:extLst>
            <c:ext xmlns:c16="http://schemas.microsoft.com/office/drawing/2014/chart" uri="{C3380CC4-5D6E-409C-BE32-E72D297353CC}">
              <c16:uniqueId val="{00000003-F1D4-4CA8-84EF-BBB87FF70CCD}"/>
            </c:ext>
          </c:extLst>
        </c:ser>
        <c:ser>
          <c:idx val="2"/>
          <c:order val="4"/>
          <c:tx>
            <c:v>Solvent</c:v>
          </c:tx>
          <c:spPr>
            <a:solidFill>
              <a:schemeClr val="accent4"/>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Steps'!plotrange_by_step_acidification_Y1_SOLVENT</c:f>
              <c:numCache>
                <c:formatCode>General</c:formatCode>
                <c:ptCount val="7"/>
                <c:pt idx="0">
                  <c:v>0.1748477088</c:v>
                </c:pt>
                <c:pt idx="1">
                  <c:v>6.6319605652413779E-2</c:v>
                </c:pt>
                <c:pt idx="2">
                  <c:v>8.0705862800513922E-2</c:v>
                </c:pt>
                <c:pt idx="3">
                  <c:v>4.0661274525220337E-2</c:v>
                </c:pt>
                <c:pt idx="4">
                  <c:v>2.7473303471651875E-2</c:v>
                </c:pt>
                <c:pt idx="5">
                  <c:v>2.4095025338618153E-2</c:v>
                </c:pt>
                <c:pt idx="6">
                  <c:v>#N/A</c:v>
                </c:pt>
              </c:numCache>
            </c:numRef>
          </c:val>
          <c:extLst>
            <c:ext xmlns:c16="http://schemas.microsoft.com/office/drawing/2014/chart" uri="{C3380CC4-5D6E-409C-BE32-E72D297353CC}">
              <c16:uniqueId val="{00000004-F1D4-4CA8-84EF-BBB87FF70CCD}"/>
            </c:ext>
          </c:extLst>
        </c:ser>
        <c:ser>
          <c:idx val="3"/>
          <c:order val="5"/>
          <c:tx>
            <c:v>Water</c:v>
          </c:tx>
          <c:spPr>
            <a:solidFill>
              <a:schemeClr val="accent1"/>
            </a:solidFill>
            <a:ln>
              <a:solidFill>
                <a:schemeClr val="tx1"/>
              </a:solidFill>
            </a:ln>
            <a:effectLst/>
          </c:spPr>
          <c:invertIfNegative val="0"/>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Steps'!plotrange_by_step_acidification_Y1_WATER</c:f>
              <c:numCache>
                <c:formatCode>General</c:formatCode>
                <c:ptCount val="7"/>
                <c:pt idx="0">
                  <c:v>0</c:v>
                </c:pt>
                <c:pt idx="1">
                  <c:v>4.284934850431303E-5</c:v>
                </c:pt>
                <c:pt idx="2">
                  <c:v>1.2109412188834019E-4</c:v>
                </c:pt>
                <c:pt idx="3">
                  <c:v>0</c:v>
                </c:pt>
                <c:pt idx="4">
                  <c:v>5.164474316346538E-5</c:v>
                </c:pt>
                <c:pt idx="5">
                  <c:v>2.1348524425521339E-5</c:v>
                </c:pt>
                <c:pt idx="6">
                  <c:v>#N/A</c:v>
                </c:pt>
              </c:numCache>
            </c:numRef>
          </c:val>
          <c:extLst>
            <c:ext xmlns:c16="http://schemas.microsoft.com/office/drawing/2014/chart" uri="{C3380CC4-5D6E-409C-BE32-E72D297353CC}">
              <c16:uniqueId val="{00000005-F1D4-4CA8-84EF-BBB87FF70CCD}"/>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AF8A119B-1D46-43BB-B393-2D41B30D0D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D4-4CA8-84EF-BBB87FF70CCD}"/>
                </c:ext>
              </c:extLst>
            </c:dLbl>
            <c:dLbl>
              <c:idx val="1"/>
              <c:tx>
                <c:rich>
                  <a:bodyPr/>
                  <a:lstStyle/>
                  <a:p>
                    <a:fld id="{E843B4BA-F728-4A1E-8141-10BD58A0CDF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473-469D-B7ED-A0E2BF9757A1}"/>
                </c:ext>
              </c:extLst>
            </c:dLbl>
            <c:dLbl>
              <c:idx val="2"/>
              <c:tx>
                <c:rich>
                  <a:bodyPr/>
                  <a:lstStyle/>
                  <a:p>
                    <a:fld id="{D4BAF4B6-C703-4232-80B0-80AF231022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473-469D-B7ED-A0E2BF9757A1}"/>
                </c:ext>
              </c:extLst>
            </c:dLbl>
            <c:dLbl>
              <c:idx val="3"/>
              <c:tx>
                <c:rich>
                  <a:bodyPr/>
                  <a:lstStyle/>
                  <a:p>
                    <a:fld id="{96D5209D-FACF-4DB4-AE0E-B44D0691999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D2-4A61-BE8A-70E9915003AF}"/>
                </c:ext>
              </c:extLst>
            </c:dLbl>
            <c:dLbl>
              <c:idx val="4"/>
              <c:tx>
                <c:rich>
                  <a:bodyPr/>
                  <a:lstStyle/>
                  <a:p>
                    <a:fld id="{688075D5-2E0B-4562-855C-E3EE7646BC6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9D2-4A61-BE8A-70E9915003AF}"/>
                </c:ext>
              </c:extLst>
            </c:dLbl>
            <c:dLbl>
              <c:idx val="5"/>
              <c:tx>
                <c:rich>
                  <a:bodyPr/>
                  <a:lstStyle/>
                  <a:p>
                    <a:fld id="{1E1D85BC-4533-4F0D-B3C0-E45544BDEBF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D2-4A61-BE8A-70E9915003AF}"/>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5725-4623-8318-22A7151EBFD5}"/>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Steps'!plotrange_by_step_acidification_Y1</c:f>
              <c:numCache>
                <c:formatCode>General</c:formatCode>
                <c:ptCount val="7"/>
                <c:pt idx="0">
                  <c:v>0.19639608718761289</c:v>
                </c:pt>
                <c:pt idx="1">
                  <c:v>0.18376335119880077</c:v>
                </c:pt>
                <c:pt idx="2">
                  <c:v>0.14705386490399988</c:v>
                </c:pt>
                <c:pt idx="3">
                  <c:v>5.435212525425346E-2</c:v>
                </c:pt>
                <c:pt idx="4">
                  <c:v>4.4634676945532865E-2</c:v>
                </c:pt>
                <c:pt idx="5">
                  <c:v>2.9102777000424053E-2</c:v>
                </c:pt>
                <c:pt idx="6">
                  <c:v>#N/A</c:v>
                </c:pt>
              </c:numCache>
            </c:numRef>
          </c:val>
          <c:smooth val="0"/>
          <c:extLst>
            <c:ext xmlns:c15="http://schemas.microsoft.com/office/drawing/2012/chart" uri="{02D57815-91ED-43cb-92C2-25804820EDAC}">
              <c15:datalabelsRange>
                <c15:f>'1. Define Process Steps'!plotrange_by_step_acidification_labels</c15:f>
                <c15:dlblRangeCache>
                  <c:ptCount val="7"/>
                  <c:pt idx="0">
                    <c:v>(30%)</c:v>
                  </c:pt>
                  <c:pt idx="1">
                    <c:v>(28%)</c:v>
                  </c:pt>
                  <c:pt idx="2">
                    <c:v>(22%)</c:v>
                  </c:pt>
                  <c:pt idx="3">
                    <c:v>(8%)</c:v>
                  </c:pt>
                  <c:pt idx="4">
                    <c:v>(7%)</c:v>
                  </c:pt>
                  <c:pt idx="5">
                    <c:v>(4%)</c:v>
                  </c:pt>
                  <c:pt idx="6">
                    <c:v>#N/A</c:v>
                  </c:pt>
                </c15:dlblRangeCache>
              </c15:datalabelsRange>
            </c:ext>
            <c:ext xmlns:c16="http://schemas.microsoft.com/office/drawing/2014/chart" uri="{C3380CC4-5D6E-409C-BE32-E72D297353CC}">
              <c16:uniqueId val="{0000000B-F1D4-4CA8-84EF-BBB87FF70CCD}"/>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Steps'!plotrange_by_step_acidification_X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Steps'!plotrange_by_step_acidification_Y2</c:f>
              <c:numCache>
                <c:formatCode>General</c:formatCode>
                <c:ptCount val="7"/>
                <c:pt idx="0">
                  <c:v>0.19639608718761289</c:v>
                </c:pt>
                <c:pt idx="1">
                  <c:v>0.38015943838641364</c:v>
                </c:pt>
                <c:pt idx="2">
                  <c:v>0.52721330329041349</c:v>
                </c:pt>
                <c:pt idx="3">
                  <c:v>0.58156542854466697</c:v>
                </c:pt>
                <c:pt idx="4">
                  <c:v>0.62620010549019989</c:v>
                </c:pt>
                <c:pt idx="5">
                  <c:v>0.65530288249062396</c:v>
                </c:pt>
                <c:pt idx="6">
                  <c:v>#N/A</c:v>
                </c:pt>
              </c:numCache>
            </c:numRef>
          </c:val>
          <c:smooth val="0"/>
          <c:extLst>
            <c:ext xmlns:c16="http://schemas.microsoft.com/office/drawing/2014/chart" uri="{C3380CC4-5D6E-409C-BE32-E72D297353CC}">
              <c16:uniqueId val="{0000000C-F1D4-4CA8-84EF-BBB87FF70CCD}"/>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Acidification (SO2</a:t>
                </a:r>
                <a:r>
                  <a:rPr lang="en-US" baseline="0"/>
                  <a:t> equiv.)</a:t>
                </a:r>
                <a:endParaRPr lang="en-US"/>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Dashboard'!$X$283</c:f>
          <c:strCache>
            <c:ptCount val="1"/>
            <c:pt idx="0">
              <c:v>Eutrophication Potential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298739184605053"/>
          <c:y val="0.10444462671332752"/>
          <c:w val="0.76029148008232406"/>
          <c:h val="0.46266440653251667"/>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D93F-497A-A739-045BDD89B782}"/>
            </c:ext>
          </c:extLst>
        </c:ser>
        <c:ser>
          <c:idx val="6"/>
          <c:order val="1"/>
          <c:tx>
            <c:v>Enzymes &amp; Plant Extracts</c:v>
          </c:tx>
          <c:spPr>
            <a:solidFill>
              <a:srgbClr val="92D050"/>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D93F-497A-A739-045BDD89B782}"/>
            </c:ext>
          </c:extLst>
        </c:ser>
        <c:ser>
          <c:idx val="5"/>
          <c:order val="2"/>
          <c:tx>
            <c:v>Metal</c:v>
          </c:tx>
          <c:spPr>
            <a:solidFill>
              <a:schemeClr val="accent3"/>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Steps'!plotrange_by_step_eutrophication_Y1_METAL</c:f>
              <c:numCache>
                <c:formatCode>General</c:formatCode>
                <c:ptCount val="7"/>
                <c:pt idx="0">
                  <c:v>0</c:v>
                </c:pt>
                <c:pt idx="1">
                  <c:v>0</c:v>
                </c:pt>
                <c:pt idx="2">
                  <c:v>0</c:v>
                </c:pt>
                <c:pt idx="3">
                  <c:v>0</c:v>
                </c:pt>
                <c:pt idx="4">
                  <c:v>0</c:v>
                </c:pt>
                <c:pt idx="5">
                  <c:v>3.4793419346878223E-5</c:v>
                </c:pt>
                <c:pt idx="6">
                  <c:v>#N/A</c:v>
                </c:pt>
              </c:numCache>
            </c:numRef>
          </c:val>
          <c:extLst>
            <c:ext xmlns:c16="http://schemas.microsoft.com/office/drawing/2014/chart" uri="{C3380CC4-5D6E-409C-BE32-E72D297353CC}">
              <c16:uniqueId val="{00000002-D93F-497A-A739-045BDD89B782}"/>
            </c:ext>
          </c:extLst>
        </c:ser>
        <c:ser>
          <c:idx val="0"/>
          <c:order val="3"/>
          <c:tx>
            <c:v>Reagent</c:v>
          </c:tx>
          <c:spPr>
            <a:solidFill>
              <a:srgbClr val="FF0000"/>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Steps'!plotrange_by_step_eutrophication_Y1_REAGENT</c:f>
              <c:numCache>
                <c:formatCode>General</c:formatCode>
                <c:ptCount val="7"/>
                <c:pt idx="0">
                  <c:v>9.400401110058737E-2</c:v>
                </c:pt>
                <c:pt idx="1">
                  <c:v>1.0962394032659225E-2</c:v>
                </c:pt>
                <c:pt idx="2">
                  <c:v>1.4284233660345489E-3</c:v>
                </c:pt>
                <c:pt idx="3">
                  <c:v>1.7253990955354841E-2</c:v>
                </c:pt>
                <c:pt idx="4">
                  <c:v>1.2607982317586237E-2</c:v>
                </c:pt>
                <c:pt idx="5">
                  <c:v>4.4037232258929823E-3</c:v>
                </c:pt>
                <c:pt idx="6">
                  <c:v>#N/A</c:v>
                </c:pt>
              </c:numCache>
            </c:numRef>
          </c:val>
          <c:extLst>
            <c:ext xmlns:c16="http://schemas.microsoft.com/office/drawing/2014/chart" uri="{C3380CC4-5D6E-409C-BE32-E72D297353CC}">
              <c16:uniqueId val="{00000003-D93F-497A-A739-045BDD89B782}"/>
            </c:ext>
          </c:extLst>
        </c:ser>
        <c:ser>
          <c:idx val="2"/>
          <c:order val="4"/>
          <c:tx>
            <c:v>Solvent</c:v>
          </c:tx>
          <c:spPr>
            <a:solidFill>
              <a:schemeClr val="accent4"/>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Steps'!plotrange_by_step_eutrophication_Y1_SOLVENT</c:f>
              <c:numCache>
                <c:formatCode>General</c:formatCode>
                <c:ptCount val="7"/>
                <c:pt idx="0">
                  <c:v>0.44235037869701188</c:v>
                </c:pt>
                <c:pt idx="1">
                  <c:v>0.43353244954549874</c:v>
                </c:pt>
                <c:pt idx="2">
                  <c:v>0.18687332941100285</c:v>
                </c:pt>
                <c:pt idx="3">
                  <c:v>9.0954346640000003E-2</c:v>
                </c:pt>
                <c:pt idx="4">
                  <c:v>4.7555266742521599E-2</c:v>
                </c:pt>
                <c:pt idx="5">
                  <c:v>3.361675137867326E-2</c:v>
                </c:pt>
                <c:pt idx="6">
                  <c:v>#N/A</c:v>
                </c:pt>
              </c:numCache>
            </c:numRef>
          </c:val>
          <c:extLst>
            <c:ext xmlns:c16="http://schemas.microsoft.com/office/drawing/2014/chart" uri="{C3380CC4-5D6E-409C-BE32-E72D297353CC}">
              <c16:uniqueId val="{00000004-D93F-497A-A739-045BDD89B782}"/>
            </c:ext>
          </c:extLst>
        </c:ser>
        <c:ser>
          <c:idx val="3"/>
          <c:order val="5"/>
          <c:tx>
            <c:v>Water</c:v>
          </c:tx>
          <c:spPr>
            <a:solidFill>
              <a:schemeClr val="accent1"/>
            </a:solidFill>
            <a:ln>
              <a:solidFill>
                <a:schemeClr val="tx1"/>
              </a:solidFill>
            </a:ln>
            <a:effectLst/>
          </c:spPr>
          <c:invertIfNegative val="0"/>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Steps'!plotrange_by_step_eutrophication_Y1_WATER</c:f>
              <c:numCache>
                <c:formatCode>General</c:formatCode>
                <c:ptCount val="7"/>
                <c:pt idx="0">
                  <c:v>2.5525814644889162E-5</c:v>
                </c:pt>
                <c:pt idx="1">
                  <c:v>0</c:v>
                </c:pt>
                <c:pt idx="2">
                  <c:v>1.2717544057242678E-5</c:v>
                </c:pt>
                <c:pt idx="3">
                  <c:v>0</c:v>
                </c:pt>
                <c:pt idx="4">
                  <c:v>7.2137062004484328E-5</c:v>
                </c:pt>
                <c:pt idx="5">
                  <c:v>3.0765325200704792E-5</c:v>
                </c:pt>
                <c:pt idx="6">
                  <c:v>#N/A</c:v>
                </c:pt>
              </c:numCache>
            </c:numRef>
          </c:val>
          <c:extLst>
            <c:ext xmlns:c16="http://schemas.microsoft.com/office/drawing/2014/chart" uri="{C3380CC4-5D6E-409C-BE32-E72D297353CC}">
              <c16:uniqueId val="{00000005-D93F-497A-A739-045BDD89B782}"/>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0DB55297-052A-44BF-815D-3627FBCCC41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93F-497A-A739-045BDD89B782}"/>
                </c:ext>
              </c:extLst>
            </c:dLbl>
            <c:dLbl>
              <c:idx val="1"/>
              <c:tx>
                <c:rich>
                  <a:bodyPr/>
                  <a:lstStyle/>
                  <a:p>
                    <a:fld id="{4829CD2C-48A3-40C3-89AF-4625E3241F7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7C0-4C60-AD2E-39B2B13ACE07}"/>
                </c:ext>
              </c:extLst>
            </c:dLbl>
            <c:dLbl>
              <c:idx val="2"/>
              <c:tx>
                <c:rich>
                  <a:bodyPr/>
                  <a:lstStyle/>
                  <a:p>
                    <a:fld id="{8A6CA7B0-AE5B-4DB7-83FA-383AEAA851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7C0-4C60-AD2E-39B2B13ACE07}"/>
                </c:ext>
              </c:extLst>
            </c:dLbl>
            <c:dLbl>
              <c:idx val="3"/>
              <c:tx>
                <c:rich>
                  <a:bodyPr/>
                  <a:lstStyle/>
                  <a:p>
                    <a:fld id="{EFDFCB01-6D57-488A-BFE7-E1D560E121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65-4FF3-A86E-4514BECEC311}"/>
                </c:ext>
              </c:extLst>
            </c:dLbl>
            <c:dLbl>
              <c:idx val="4"/>
              <c:tx>
                <c:rich>
                  <a:bodyPr/>
                  <a:lstStyle/>
                  <a:p>
                    <a:fld id="{6BFB1E2C-73F3-42BB-8994-F184028AD8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65-4FF3-A86E-4514BECEC311}"/>
                </c:ext>
              </c:extLst>
            </c:dLbl>
            <c:dLbl>
              <c:idx val="5"/>
              <c:tx>
                <c:rich>
                  <a:bodyPr/>
                  <a:lstStyle/>
                  <a:p>
                    <a:fld id="{49F1F133-CDCE-498C-8A49-F934D9A619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65-4FF3-A86E-4514BECEC31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A533-4D3E-BA8A-A4546A974233}"/>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Steps'!plotrange_by_step_eutrophication_Y1</c:f>
              <c:numCache>
                <c:formatCode>General</c:formatCode>
                <c:ptCount val="7"/>
                <c:pt idx="0">
                  <c:v>0.53637991561224418</c:v>
                </c:pt>
                <c:pt idx="1">
                  <c:v>0.44449484357815799</c:v>
                </c:pt>
                <c:pt idx="2">
                  <c:v>0.18831447032109466</c:v>
                </c:pt>
                <c:pt idx="3">
                  <c:v>0.10820833759535484</c:v>
                </c:pt>
                <c:pt idx="4">
                  <c:v>6.0235386122112322E-2</c:v>
                </c:pt>
                <c:pt idx="5">
                  <c:v>3.8086033349113826E-2</c:v>
                </c:pt>
                <c:pt idx="6">
                  <c:v>#N/A</c:v>
                </c:pt>
              </c:numCache>
            </c:numRef>
          </c:val>
          <c:smooth val="0"/>
          <c:extLst>
            <c:ext xmlns:c15="http://schemas.microsoft.com/office/drawing/2012/chart" uri="{02D57815-91ED-43cb-92C2-25804820EDAC}">
              <c15:datalabelsRange>
                <c15:f>'1. Define Process Steps'!plotrange_by_step_eutrophication_labels</c15:f>
                <c15:dlblRangeCache>
                  <c:ptCount val="7"/>
                  <c:pt idx="0">
                    <c:v>(39%)</c:v>
                  </c:pt>
                  <c:pt idx="1">
                    <c:v>(32%)</c:v>
                  </c:pt>
                  <c:pt idx="2">
                    <c:v>(14%)</c:v>
                  </c:pt>
                  <c:pt idx="3">
                    <c:v>(8%)</c:v>
                  </c:pt>
                  <c:pt idx="4">
                    <c:v>(4%)</c:v>
                  </c:pt>
                  <c:pt idx="5">
                    <c:v>(3%)</c:v>
                  </c:pt>
                  <c:pt idx="6">
                    <c:v>#N/A</c:v>
                  </c:pt>
                </c15:dlblRangeCache>
              </c15:datalabelsRange>
            </c:ext>
            <c:ext xmlns:c16="http://schemas.microsoft.com/office/drawing/2014/chart" uri="{C3380CC4-5D6E-409C-BE32-E72D297353CC}">
              <c16:uniqueId val="{0000000B-D93F-497A-A739-045BDD89B782}"/>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Steps'!plotrange_by_step_eutrophication_X</c:f>
              <c:strCache>
                <c:ptCount val="6"/>
                <c:pt idx="0">
                  <c:v>3) Synthesis of Intermediate (3)</c:v>
                </c:pt>
                <c:pt idx="1">
                  <c:v>1f) Virtual solution prep for (1) and (3): 20 wt% reagent D (organic) in DMF</c:v>
                </c:pt>
                <c:pt idx="2">
                  <c:v>2) Synthesis of Intermediate (2)</c:v>
                </c:pt>
                <c:pt idx="3">
                  <c:v>5) Pure Step</c:v>
                </c:pt>
                <c:pt idx="4">
                  <c:v>4) Synthesis of Intermediate (4)</c:v>
                </c:pt>
                <c:pt idx="5">
                  <c:v>1) Synthesis of Intermediate (1)</c:v>
                </c:pt>
              </c:strCache>
            </c:strRef>
          </c:cat>
          <c:val>
            <c:numRef>
              <c:f>'1. Define Process Steps'!plotrange_by_step_eutrophication_Y2</c:f>
              <c:numCache>
                <c:formatCode>General</c:formatCode>
                <c:ptCount val="7"/>
                <c:pt idx="0">
                  <c:v>0.53637991561224418</c:v>
                </c:pt>
                <c:pt idx="1">
                  <c:v>0.98087475919040212</c:v>
                </c:pt>
                <c:pt idx="2">
                  <c:v>1.1691892295114967</c:v>
                </c:pt>
                <c:pt idx="3">
                  <c:v>1.2773975671068516</c:v>
                </c:pt>
                <c:pt idx="4">
                  <c:v>1.3376329532289639</c:v>
                </c:pt>
                <c:pt idx="5">
                  <c:v>1.3757189865780777</c:v>
                </c:pt>
                <c:pt idx="6">
                  <c:v>#N/A</c:v>
                </c:pt>
              </c:numCache>
            </c:numRef>
          </c:val>
          <c:smooth val="0"/>
          <c:extLst>
            <c:ext xmlns:c16="http://schemas.microsoft.com/office/drawing/2014/chart" uri="{C3380CC4-5D6E-409C-BE32-E72D297353CC}">
              <c16:uniqueId val="{0000000C-D93F-497A-A739-045BDD89B782}"/>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Eutrophication (kg phosphate equiv.)</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Dashboard'!$X$320</c:f>
          <c:strCache>
            <c:ptCount val="1"/>
            <c:pt idx="0">
              <c:v>Water Depletion of Each Step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877109186454856E-2"/>
          <c:y val="0.10444462671332752"/>
          <c:w val="0.82777219958555837"/>
          <c:h val="0.49275699912510934"/>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Steps'!plotrange_by_step_water_Y1_OTHER</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6957-4EA2-9389-51C3C46C77C3}"/>
            </c:ext>
          </c:extLst>
        </c:ser>
        <c:ser>
          <c:idx val="6"/>
          <c:order val="1"/>
          <c:tx>
            <c:v>Enzymes &amp; Plant Extracts</c:v>
          </c:tx>
          <c:spPr>
            <a:solidFill>
              <a:srgbClr val="92D050"/>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Steps'!plotrange_by_step_water_Y1_ENZ_PLNT</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1-6957-4EA2-9389-51C3C46C77C3}"/>
            </c:ext>
          </c:extLst>
        </c:ser>
        <c:ser>
          <c:idx val="5"/>
          <c:order val="2"/>
          <c:tx>
            <c:v>Metal</c:v>
          </c:tx>
          <c:spPr>
            <a:solidFill>
              <a:schemeClr val="accent3"/>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Steps'!plotrange_by_step_water_Y1_METAL</c:f>
              <c:numCache>
                <c:formatCode>General</c:formatCode>
                <c:ptCount val="7"/>
                <c:pt idx="0">
                  <c:v>0</c:v>
                </c:pt>
                <c:pt idx="1">
                  <c:v>0</c:v>
                </c:pt>
                <c:pt idx="2">
                  <c:v>0</c:v>
                </c:pt>
                <c:pt idx="3">
                  <c:v>0</c:v>
                </c:pt>
                <c:pt idx="4">
                  <c:v>7.2587890236292571E-2</c:v>
                </c:pt>
                <c:pt idx="5">
                  <c:v>0</c:v>
                </c:pt>
                <c:pt idx="6">
                  <c:v>#N/A</c:v>
                </c:pt>
              </c:numCache>
            </c:numRef>
          </c:val>
          <c:extLst>
            <c:ext xmlns:c16="http://schemas.microsoft.com/office/drawing/2014/chart" uri="{C3380CC4-5D6E-409C-BE32-E72D297353CC}">
              <c16:uniqueId val="{00000002-6957-4EA2-9389-51C3C46C77C3}"/>
            </c:ext>
          </c:extLst>
        </c:ser>
        <c:ser>
          <c:idx val="0"/>
          <c:order val="3"/>
          <c:tx>
            <c:v>Reagent</c:v>
          </c:tx>
          <c:spPr>
            <a:solidFill>
              <a:srgbClr val="FF0000"/>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Steps'!plotrange_by_step_water_Y1_REAGENT</c:f>
              <c:numCache>
                <c:formatCode>General</c:formatCode>
                <c:ptCount val="7"/>
                <c:pt idx="0">
                  <c:v>28.21501286059355</c:v>
                </c:pt>
                <c:pt idx="1">
                  <c:v>153.72237003099235</c:v>
                </c:pt>
                <c:pt idx="2">
                  <c:v>18.860137562976561</c:v>
                </c:pt>
                <c:pt idx="3">
                  <c:v>17.926524327890665</c:v>
                </c:pt>
                <c:pt idx="4">
                  <c:v>6.8124849796520737</c:v>
                </c:pt>
                <c:pt idx="5">
                  <c:v>2.2243783319686297</c:v>
                </c:pt>
                <c:pt idx="6">
                  <c:v>#N/A</c:v>
                </c:pt>
              </c:numCache>
            </c:numRef>
          </c:val>
          <c:extLst>
            <c:ext xmlns:c16="http://schemas.microsoft.com/office/drawing/2014/chart" uri="{C3380CC4-5D6E-409C-BE32-E72D297353CC}">
              <c16:uniqueId val="{00000003-6957-4EA2-9389-51C3C46C77C3}"/>
            </c:ext>
          </c:extLst>
        </c:ser>
        <c:ser>
          <c:idx val="2"/>
          <c:order val="4"/>
          <c:tx>
            <c:v>Solvent</c:v>
          </c:tx>
          <c:spPr>
            <a:solidFill>
              <a:schemeClr val="accent4"/>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Steps'!plotrange_by_step_water_Y1_SOLVENT</c:f>
              <c:numCache>
                <c:formatCode>General</c:formatCode>
                <c:ptCount val="7"/>
                <c:pt idx="0">
                  <c:v>375.89051999999998</c:v>
                </c:pt>
                <c:pt idx="1">
                  <c:v>54.766595191778713</c:v>
                </c:pt>
                <c:pt idx="2">
                  <c:v>68.378616259864245</c:v>
                </c:pt>
                <c:pt idx="3">
                  <c:v>47.141721498929329</c:v>
                </c:pt>
                <c:pt idx="4">
                  <c:v>17.245711130539597</c:v>
                </c:pt>
                <c:pt idx="5">
                  <c:v>22.083561360961383</c:v>
                </c:pt>
                <c:pt idx="6">
                  <c:v>#N/A</c:v>
                </c:pt>
              </c:numCache>
            </c:numRef>
          </c:val>
          <c:extLst>
            <c:ext xmlns:c16="http://schemas.microsoft.com/office/drawing/2014/chart" uri="{C3380CC4-5D6E-409C-BE32-E72D297353CC}">
              <c16:uniqueId val="{00000004-6957-4EA2-9389-51C3C46C77C3}"/>
            </c:ext>
          </c:extLst>
        </c:ser>
        <c:ser>
          <c:idx val="3"/>
          <c:order val="5"/>
          <c:tx>
            <c:v>Water</c:v>
          </c:tx>
          <c:spPr>
            <a:solidFill>
              <a:schemeClr val="accent1"/>
            </a:solidFill>
            <a:ln>
              <a:solidFill>
                <a:schemeClr val="tx1"/>
              </a:solidFill>
            </a:ln>
            <a:effectLst/>
          </c:spPr>
          <c:invertIfNegative val="0"/>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Steps'!plotrange_by_step_water_Y1_WATER</c:f>
              <c:numCache>
                <c:formatCode>General</c:formatCode>
                <c:ptCount val="7"/>
                <c:pt idx="0">
                  <c:v>0</c:v>
                </c:pt>
                <c:pt idx="1">
                  <c:v>13.910982932648295</c:v>
                </c:pt>
                <c:pt idx="2">
                  <c:v>39.313042593008717</c:v>
                </c:pt>
                <c:pt idx="3">
                  <c:v>0</c:v>
                </c:pt>
                <c:pt idx="4">
                  <c:v>16.766395891308768</c:v>
                </c:pt>
                <c:pt idx="5">
                  <c:v>6.9307695282872261</c:v>
                </c:pt>
                <c:pt idx="6">
                  <c:v>#N/A</c:v>
                </c:pt>
              </c:numCache>
            </c:numRef>
          </c:val>
          <c:extLst>
            <c:ext xmlns:c16="http://schemas.microsoft.com/office/drawing/2014/chart" uri="{C3380CC4-5D6E-409C-BE32-E72D297353CC}">
              <c16:uniqueId val="{00000005-6957-4EA2-9389-51C3C46C77C3}"/>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EC72A8AD-70F8-4750-AFD9-B4B2D23E06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57-4EA2-9389-51C3C46C77C3}"/>
                </c:ext>
              </c:extLst>
            </c:dLbl>
            <c:dLbl>
              <c:idx val="1"/>
              <c:tx>
                <c:rich>
                  <a:bodyPr/>
                  <a:lstStyle/>
                  <a:p>
                    <a:fld id="{563D7923-FAAE-49F8-B977-92A24D6450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660-41FA-8116-59EC00CA6D21}"/>
                </c:ext>
              </c:extLst>
            </c:dLbl>
            <c:dLbl>
              <c:idx val="2"/>
              <c:tx>
                <c:rich>
                  <a:bodyPr/>
                  <a:lstStyle/>
                  <a:p>
                    <a:fld id="{0525840C-7E79-400B-A78E-FA72AB26FA9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660-41FA-8116-59EC00CA6D21}"/>
                </c:ext>
              </c:extLst>
            </c:dLbl>
            <c:dLbl>
              <c:idx val="3"/>
              <c:tx>
                <c:rich>
                  <a:bodyPr/>
                  <a:lstStyle/>
                  <a:p>
                    <a:fld id="{9AE7A797-9CA3-4BD6-AE9B-44C37F56A9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660-41FA-8116-59EC00CA6D21}"/>
                </c:ext>
              </c:extLst>
            </c:dLbl>
            <c:dLbl>
              <c:idx val="4"/>
              <c:tx>
                <c:rich>
                  <a:bodyPr/>
                  <a:lstStyle/>
                  <a:p>
                    <a:fld id="{E417F874-D85D-455A-AC83-F7E915D6A8A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660-41FA-8116-59EC00CA6D21}"/>
                </c:ext>
              </c:extLst>
            </c:dLbl>
            <c:dLbl>
              <c:idx val="5"/>
              <c:tx>
                <c:rich>
                  <a:bodyPr/>
                  <a:lstStyle/>
                  <a:p>
                    <a:fld id="{4552C739-D865-4141-A8E9-766C301E5E1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16-4E05-B003-814AD19DEF14}"/>
                </c:ext>
              </c:extLst>
            </c:dLbl>
            <c:spPr>
              <a:solidFill>
                <a:srgbClr val="FFFFFF">
                  <a:alpha val="50000"/>
                </a:srgb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Steps'!plotrange_by_step_water_Y1</c:f>
              <c:numCache>
                <c:formatCode>General</c:formatCode>
                <c:ptCount val="6"/>
                <c:pt idx="0">
                  <c:v>404.10553286059354</c:v>
                </c:pt>
                <c:pt idx="1">
                  <c:v>222.39994815541937</c:v>
                </c:pt>
                <c:pt idx="2">
                  <c:v>126.55179641584952</c:v>
                </c:pt>
                <c:pt idx="3">
                  <c:v>65.068245826819989</c:v>
                </c:pt>
                <c:pt idx="4">
                  <c:v>40.897179891736734</c:v>
                </c:pt>
                <c:pt idx="5">
                  <c:v>31.238709221217242</c:v>
                </c:pt>
              </c:numCache>
            </c:numRef>
          </c:val>
          <c:smooth val="0"/>
          <c:extLst>
            <c:ext xmlns:c15="http://schemas.microsoft.com/office/drawing/2012/chart" uri="{02D57815-91ED-43cb-92C2-25804820EDAC}">
              <c15:datalabelsRange>
                <c15:f>'1. Define Process Steps'!plotrange_by_step_water_labels</c15:f>
                <c15:dlblRangeCache>
                  <c:ptCount val="7"/>
                  <c:pt idx="0">
                    <c:v>(45%)</c:v>
                  </c:pt>
                  <c:pt idx="1">
                    <c:v>(25%)</c:v>
                  </c:pt>
                  <c:pt idx="2">
                    <c:v>(14%)</c:v>
                  </c:pt>
                  <c:pt idx="3">
                    <c:v>(7%)</c:v>
                  </c:pt>
                  <c:pt idx="4">
                    <c:v>(5%)</c:v>
                  </c:pt>
                  <c:pt idx="5">
                    <c:v>(4%)</c:v>
                  </c:pt>
                  <c:pt idx="6">
                    <c:v>#N/A</c:v>
                  </c:pt>
                </c15:dlblRangeCache>
              </c15:datalabelsRange>
            </c:ext>
            <c:ext xmlns:c16="http://schemas.microsoft.com/office/drawing/2014/chart" uri="{C3380CC4-5D6E-409C-BE32-E72D297353CC}">
              <c16:uniqueId val="{0000000B-6957-4EA2-9389-51C3C46C77C3}"/>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'1. Define Process Steps'!plotrange_by_step_water_X</c:f>
              <c:strCache>
                <c:ptCount val="6"/>
                <c:pt idx="0">
                  <c:v>5) Pure Step</c:v>
                </c:pt>
                <c:pt idx="1">
                  <c:v>3) Synthesis of Intermediate (3)</c:v>
                </c:pt>
                <c:pt idx="2">
                  <c:v>4) Synthesis of Intermediate (4)</c:v>
                </c:pt>
                <c:pt idx="3">
                  <c:v>1f) Virtual solution prep for (1) and (3): 20 wt% reagent D (organic) in DMF</c:v>
                </c:pt>
                <c:pt idx="4">
                  <c:v>1) Synthesis of Intermediate (1)</c:v>
                </c:pt>
                <c:pt idx="5">
                  <c:v>2) Synthesis of Intermediate (2)</c:v>
                </c:pt>
              </c:strCache>
            </c:strRef>
          </c:cat>
          <c:val>
            <c:numRef>
              <c:f>'1. Define Process Steps'!plotrange_by_step_water_Y2</c:f>
              <c:numCache>
                <c:formatCode>General</c:formatCode>
                <c:ptCount val="7"/>
                <c:pt idx="0">
                  <c:v>404.10553286059354</c:v>
                </c:pt>
                <c:pt idx="1">
                  <c:v>626.50548101601294</c:v>
                </c:pt>
                <c:pt idx="2">
                  <c:v>753.05727743186242</c:v>
                </c:pt>
                <c:pt idx="3">
                  <c:v>818.12552325868239</c:v>
                </c:pt>
                <c:pt idx="4">
                  <c:v>859.02270315041915</c:v>
                </c:pt>
                <c:pt idx="5">
                  <c:v>890.26141237163642</c:v>
                </c:pt>
                <c:pt idx="6">
                  <c:v>#N/A</c:v>
                </c:pt>
              </c:numCache>
            </c:numRef>
          </c:val>
          <c:smooth val="0"/>
          <c:extLst>
            <c:ext xmlns:c16="http://schemas.microsoft.com/office/drawing/2014/chart" uri="{C3380CC4-5D6E-409C-BE32-E72D297353CC}">
              <c16:uniqueId val="{0000000C-6957-4EA2-9389-51C3C46C77C3}"/>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Steps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Water (kg)</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
          <c:y val="0.93477854330708665"/>
          <c:w val="1"/>
          <c:h val="5.282370953630796E-2"/>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PMI</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Dashboard'!$X$50</c:f>
              <c:strCache>
                <c:ptCount val="1"/>
                <c:pt idx="0">
                  <c:v>PMI</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B456-4FC8-A5B2-4251075548C6}"/>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B456-4FC8-A5B2-4251075548C6}"/>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B456-4FC8-A5B2-4251075548C6}"/>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B456-4FC8-A5B2-4251075548C6}"/>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B456-4FC8-A5B2-4251075548C6}"/>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B456-4FC8-A5B2-4251075548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Dashboard'!$Z$50:$AE$50</c:f>
              <c:numCache>
                <c:formatCode>0.00</c:formatCode>
                <c:ptCount val="6"/>
                <c:pt idx="0">
                  <c:v>20.243433275347634</c:v>
                </c:pt>
                <c:pt idx="1">
                  <c:v>5.1704470224113947E-3</c:v>
                </c:pt>
                <c:pt idx="2">
                  <c:v>66.43890301160053</c:v>
                </c:pt>
                <c:pt idx="3">
                  <c:v>60.886726357151019</c:v>
                </c:pt>
                <c:pt idx="4">
                  <c:v>0</c:v>
                </c:pt>
                <c:pt idx="5">
                  <c:v>0</c:v>
                </c:pt>
              </c:numCache>
            </c:numRef>
          </c:val>
          <c:extLst>
            <c:ext xmlns:c16="http://schemas.microsoft.com/office/drawing/2014/chart" uri="{C3380CC4-5D6E-409C-BE32-E72D297353CC}">
              <c16:uniqueId val="{0000000C-B456-4FC8-A5B2-4251075548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Mass Net </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Dashboard'!$X$51</c:f>
              <c:strCache>
                <c:ptCount val="1"/>
                <c:pt idx="0">
                  <c:v>Mass Net (kg)</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B456-4FC8-A5B2-4251075548C6}"/>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B456-4FC8-A5B2-4251075548C6}"/>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B456-4FC8-A5B2-4251075548C6}"/>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B456-4FC8-A5B2-4251075548C6}"/>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B456-4FC8-A5B2-4251075548C6}"/>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B456-4FC8-A5B2-4251075548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Dashboard'!$Z$51:$AE$51</c:f>
              <c:numCache>
                <c:formatCode>0.00</c:formatCode>
                <c:ptCount val="6"/>
                <c:pt idx="0">
                  <c:v>38.515501404589529</c:v>
                </c:pt>
                <c:pt idx="1">
                  <c:v>1.3212335406624615E-2</c:v>
                </c:pt>
                <c:pt idx="2">
                  <c:v>88.467105904952945</c:v>
                </c:pt>
                <c:pt idx="3">
                  <c:v>9.3172844574943597E-2</c:v>
                </c:pt>
                <c:pt idx="4">
                  <c:v>0</c:v>
                </c:pt>
                <c:pt idx="5">
                  <c:v>0</c:v>
                </c:pt>
              </c:numCache>
            </c:numRef>
          </c:val>
          <c:extLst>
            <c:ext xmlns:c16="http://schemas.microsoft.com/office/drawing/2014/chart" uri="{C3380CC4-5D6E-409C-BE32-E72D297353CC}">
              <c16:uniqueId val="{0000000C-B456-4FC8-A5B2-4251075548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Energy</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Dashboard'!$X$52</c:f>
              <c:strCache>
                <c:ptCount val="1"/>
                <c:pt idx="0">
                  <c:v>Energy (MJ)</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B456-4FC8-A5B2-4251075548C6}"/>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B456-4FC8-A5B2-4251075548C6}"/>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B456-4FC8-A5B2-4251075548C6}"/>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B456-4FC8-A5B2-4251075548C6}"/>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B456-4FC8-A5B2-4251075548C6}"/>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B456-4FC8-A5B2-4251075548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Dashboard'!$Z$52:$AE$52</c:f>
              <c:numCache>
                <c:formatCode>0.00</c:formatCode>
                <c:ptCount val="6"/>
                <c:pt idx="0">
                  <c:v>1195.7498064524116</c:v>
                </c:pt>
                <c:pt idx="1">
                  <c:v>4.8400991479566495E-2</c:v>
                </c:pt>
                <c:pt idx="2">
                  <c:v>3867.8092331257658</c:v>
                </c:pt>
                <c:pt idx="3">
                  <c:v>1.1603909211660448</c:v>
                </c:pt>
                <c:pt idx="4">
                  <c:v>0</c:v>
                </c:pt>
                <c:pt idx="5">
                  <c:v>0</c:v>
                </c:pt>
              </c:numCache>
            </c:numRef>
          </c:val>
          <c:extLst>
            <c:ext xmlns:c16="http://schemas.microsoft.com/office/drawing/2014/chart" uri="{C3380CC4-5D6E-409C-BE32-E72D297353CC}">
              <c16:uniqueId val="{0000000C-B456-4FC8-A5B2-4251075548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Dashboard'!$N$47</c:f>
          <c:strCache>
            <c:ptCount val="1"/>
            <c:pt idx="0">
              <c:v>Overall Process Metrics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0"/>
          <c:order val="0"/>
          <c:tx>
            <c:strRef>
              <c:f>'3. Process Metrics Dashboard'!$Y$49</c:f>
              <c:strCache>
                <c:ptCount val="1"/>
                <c:pt idx="0">
                  <c:v>Total</c:v>
                </c:pt>
              </c:strCache>
            </c:strRef>
          </c:tx>
          <c:spPr>
            <a:solidFill>
              <a:schemeClr val="accent1"/>
            </a:solidFill>
            <a:ln>
              <a:noFill/>
            </a:ln>
            <a:effectLst/>
          </c:spPr>
          <c:invertIfNegative val="0"/>
          <c:cat>
            <c:strRef>
              <c:f>'3. Process Metrics Dashboard'!$X$50:$X$56</c:f>
              <c:strCache>
                <c:ptCount val="7"/>
                <c:pt idx="0">
                  <c:v>PMI</c:v>
                </c:pt>
                <c:pt idx="1">
                  <c:v>Mass Net (kg)</c:v>
                </c:pt>
                <c:pt idx="2">
                  <c:v>Energy (MJ)</c:v>
                </c:pt>
                <c:pt idx="3">
                  <c:v>GWP (kg CO2 equiv.)</c:v>
                </c:pt>
                <c:pt idx="4">
                  <c:v>Acidification (kg SO2 equiv.)</c:v>
                </c:pt>
                <c:pt idx="5">
                  <c:v>Eutrophication (kg posphate equiv.)</c:v>
                </c:pt>
                <c:pt idx="6">
                  <c:v>Water (kg)</c:v>
                </c:pt>
              </c:strCache>
            </c:strRef>
          </c:cat>
          <c:val>
            <c:numRef>
              <c:f>'3. Process Metrics Dashboard'!$Y$50:$Y$56</c:f>
              <c:numCache>
                <c:formatCode>0.00</c:formatCode>
                <c:ptCount val="7"/>
                <c:pt idx="0">
                  <c:v>147.57423309112158</c:v>
                </c:pt>
                <c:pt idx="1">
                  <c:v>127.08899248952403</c:v>
                </c:pt>
                <c:pt idx="2">
                  <c:v>5064.7678314908235</c:v>
                </c:pt>
                <c:pt idx="3">
                  <c:v>156.4994909955808</c:v>
                </c:pt>
                <c:pt idx="4">
                  <c:v>0.65530288249062396</c:v>
                </c:pt>
                <c:pt idx="5">
                  <c:v>1.3757189865780779</c:v>
                </c:pt>
                <c:pt idx="6">
                  <c:v>890.26141237163642</c:v>
                </c:pt>
              </c:numCache>
            </c:numRef>
          </c:val>
          <c:extLst>
            <c:ext xmlns:c16="http://schemas.microsoft.com/office/drawing/2014/chart" uri="{C3380CC4-5D6E-409C-BE32-E72D297353CC}">
              <c16:uniqueId val="{00000000-CBF7-46EA-A1D0-D700EA29039E}"/>
            </c:ext>
          </c:extLst>
        </c:ser>
        <c:dLbls>
          <c:showLegendKey val="0"/>
          <c:showVal val="0"/>
          <c:showCatName val="0"/>
          <c:showSerName val="0"/>
          <c:showPercent val="0"/>
          <c:showBubbleSize val="0"/>
        </c:dLbls>
        <c:gapWidth val="150"/>
        <c:axId val="615442360"/>
        <c:axId val="615440064"/>
      </c:barChart>
      <c:catAx>
        <c:axId val="615442360"/>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Green Chemistry</a:t>
                </a:r>
                <a:r>
                  <a:rPr lang="en-US" sz="1200" b="1" baseline="0"/>
                  <a:t> Metric</a:t>
                </a:r>
                <a:endParaRPr lang="en-US"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5440064"/>
        <c:crossesAt val="1.0000000000000002E-2"/>
        <c:auto val="1"/>
        <c:lblAlgn val="ctr"/>
        <c:lblOffset val="100"/>
        <c:noMultiLvlLbl val="0"/>
      </c:catAx>
      <c:valAx>
        <c:axId val="615440064"/>
        <c:scaling>
          <c:logBase val="10"/>
          <c:orientation val="minMax"/>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t>Metric Value</a:t>
                </a:r>
              </a:p>
              <a:p>
                <a:pPr>
                  <a:defRPr sz="1200" b="1"/>
                </a:pPr>
                <a:endParaRPr lang="en-US" sz="1200" b="1"/>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E+0" sourceLinked="0"/>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5442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GWP</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Dashboard'!$X$53</c:f>
              <c:strCache>
                <c:ptCount val="1"/>
                <c:pt idx="0">
                  <c:v>GWP (kg CO2 equiv.)</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B456-4FC8-A5B2-4251075548C6}"/>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B456-4FC8-A5B2-4251075548C6}"/>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B456-4FC8-A5B2-4251075548C6}"/>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B456-4FC8-A5B2-4251075548C6}"/>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B456-4FC8-A5B2-4251075548C6}"/>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B456-4FC8-A5B2-4251075548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Dashboard'!$Z$53:$AE$53</c:f>
              <c:numCache>
                <c:formatCode>0.00</c:formatCode>
                <c:ptCount val="6"/>
                <c:pt idx="0">
                  <c:v>46.958254053047725</c:v>
                </c:pt>
                <c:pt idx="1">
                  <c:v>2.8110112451826814E-3</c:v>
                </c:pt>
                <c:pt idx="2">
                  <c:v>109.47658072608441</c:v>
                </c:pt>
                <c:pt idx="3">
                  <c:v>6.1845205203465287E-2</c:v>
                </c:pt>
                <c:pt idx="4">
                  <c:v>0</c:v>
                </c:pt>
                <c:pt idx="5">
                  <c:v>0</c:v>
                </c:pt>
              </c:numCache>
            </c:numRef>
          </c:val>
          <c:extLst>
            <c:ext xmlns:c16="http://schemas.microsoft.com/office/drawing/2014/chart" uri="{C3380CC4-5D6E-409C-BE32-E72D297353CC}">
              <c16:uniqueId val="{0000000C-B456-4FC8-A5B2-4251075548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Acidification</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Dashboard'!$X$54</c:f>
              <c:strCache>
                <c:ptCount val="1"/>
                <c:pt idx="0">
                  <c:v>Acidification (kg SO2 equiv.)</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DA9E-4D46-AC60-9757812279D8}"/>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DA9E-4D46-AC60-9757812279D8}"/>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DA9E-4D46-AC60-9757812279D8}"/>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DA9E-4D46-AC60-9757812279D8}"/>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DA9E-4D46-AC60-9757812279D8}"/>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DA9E-4D46-AC60-9757812279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Dashboard'!$Z$54:$AE$54</c:f>
              <c:numCache>
                <c:formatCode>0.00</c:formatCode>
                <c:ptCount val="6"/>
                <c:pt idx="0">
                  <c:v>0.2405218914241789</c:v>
                </c:pt>
                <c:pt idx="1">
                  <c:v>4.4127374004533426E-4</c:v>
                </c:pt>
                <c:pt idx="2">
                  <c:v>0.4141027805884181</c:v>
                </c:pt>
                <c:pt idx="3">
                  <c:v>2.3693673798163995E-4</c:v>
                </c:pt>
                <c:pt idx="4">
                  <c:v>0</c:v>
                </c:pt>
                <c:pt idx="5">
                  <c:v>0</c:v>
                </c:pt>
              </c:numCache>
            </c:numRef>
          </c:val>
          <c:extLst>
            <c:ext xmlns:c16="http://schemas.microsoft.com/office/drawing/2014/chart" uri="{C3380CC4-5D6E-409C-BE32-E72D297353CC}">
              <c16:uniqueId val="{0000000C-DA9E-4D46-AC60-9757812279D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Eutrophication</a:t>
            </a:r>
          </a:p>
          <a:p>
            <a:pPr algn="l">
              <a:defRPr sz="1440" b="1"/>
            </a:pPr>
            <a:r>
              <a:rPr lang="en-US"/>
              <a:t>by Class</a:t>
            </a:r>
          </a:p>
        </c:rich>
      </c:tx>
      <c:layout>
        <c:manualLayout>
          <c:xMode val="edge"/>
          <c:yMode val="edge"/>
          <c:x val="1.5736097910649307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Dashboard'!$X$55</c:f>
              <c:strCache>
                <c:ptCount val="1"/>
                <c:pt idx="0">
                  <c:v>Eutrophication (kg posphate equiv.)</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E2C3-4A72-A10C-03FEDF7A630A}"/>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E2C3-4A72-A10C-03FEDF7A630A}"/>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E2C3-4A72-A10C-03FEDF7A630A}"/>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E2C3-4A72-A10C-03FEDF7A630A}"/>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E2C3-4A72-A10C-03FEDF7A630A}"/>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E2C3-4A72-A10C-03FEDF7A63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Dashboard'!$Z$55:$AE$55</c:f>
              <c:numCache>
                <c:formatCode>0.00</c:formatCode>
                <c:ptCount val="6"/>
                <c:pt idx="0">
                  <c:v>0.14066052499811521</c:v>
                </c:pt>
                <c:pt idx="1">
                  <c:v>3.4793419346878223E-5</c:v>
                </c:pt>
                <c:pt idx="2">
                  <c:v>1.2348825224147084</c:v>
                </c:pt>
                <c:pt idx="3">
                  <c:v>1.4114574590732095E-4</c:v>
                </c:pt>
                <c:pt idx="4">
                  <c:v>0</c:v>
                </c:pt>
                <c:pt idx="5">
                  <c:v>0</c:v>
                </c:pt>
              </c:numCache>
            </c:numRef>
          </c:val>
          <c:extLst>
            <c:ext xmlns:c16="http://schemas.microsoft.com/office/drawing/2014/chart" uri="{C3380CC4-5D6E-409C-BE32-E72D297353CC}">
              <c16:uniqueId val="{0000000C-E2C3-4A72-A10C-03FEDF7A630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Water Depletion</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Dashboard'!$X$56</c:f>
              <c:strCache>
                <c:ptCount val="1"/>
                <c:pt idx="0">
                  <c:v>Water (kg)</c:v>
                </c:pt>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C179-4EBC-AB19-3E634246E2F2}"/>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C179-4EBC-AB19-3E634246E2F2}"/>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C179-4EBC-AB19-3E634246E2F2}"/>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C179-4EBC-AB19-3E634246E2F2}"/>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C179-4EBC-AB19-3E634246E2F2}"/>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C179-4EBC-AB19-3E634246E2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Dashboard'!$Z$56:$AE$56</c:f>
              <c:numCache>
                <c:formatCode>0.00</c:formatCode>
                <c:ptCount val="6"/>
                <c:pt idx="0">
                  <c:v>227.76090809407384</c:v>
                </c:pt>
                <c:pt idx="1">
                  <c:v>7.2587890236292571E-2</c:v>
                </c:pt>
                <c:pt idx="2">
                  <c:v>585.50672544207328</c:v>
                </c:pt>
                <c:pt idx="3">
                  <c:v>76.921190945253002</c:v>
                </c:pt>
                <c:pt idx="4">
                  <c:v>0</c:v>
                </c:pt>
                <c:pt idx="5">
                  <c:v>0</c:v>
                </c:pt>
              </c:numCache>
            </c:numRef>
          </c:val>
          <c:extLst>
            <c:ext xmlns:c16="http://schemas.microsoft.com/office/drawing/2014/chart" uri="{C3380CC4-5D6E-409C-BE32-E72D297353CC}">
              <c16:uniqueId val="{0000000C-C179-4EBC-AB19-3E634246E2F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Process Metrics Dashboard'!$B$6</c:f>
          <c:strCache>
            <c:ptCount val="1"/>
            <c:pt idx="0">
              <c:v>Process Network Graph for the Synthesis of Packaged Fictional API</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4555064615576E-2"/>
          <c:y val="6.8627482626055919E-2"/>
          <c:w val="0.91816598887016732"/>
          <c:h val="0.88122334633181854"/>
        </c:manualLayout>
      </c:layout>
      <c:scatterChart>
        <c:scatterStyle val="lineMarker"/>
        <c:varyColors val="0"/>
        <c:ser>
          <c:idx val="2"/>
          <c:order val="0"/>
          <c:tx>
            <c:v>Process Steps</c:v>
          </c:tx>
          <c:spPr>
            <a:ln w="25400" cap="rnd">
              <a:noFill/>
              <a:round/>
            </a:ln>
            <a:effectLst/>
          </c:spPr>
          <c:marker>
            <c:symbol val="circle"/>
            <c:size val="20"/>
            <c:spPr>
              <a:solidFill>
                <a:schemeClr val="accent1"/>
              </a:solidFill>
              <a:ln w="9525">
                <a:noFill/>
              </a:ln>
              <a:effectLst/>
            </c:spPr>
          </c:marker>
          <c:xVal>
            <c:numRef>
              <c:f>'2. Enter Step Details'!plotrange_PNG_Real_Step_X</c:f>
              <c:numCache>
                <c:formatCode>0.00</c:formatCode>
                <c:ptCount val="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12.974140333930144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0.78891624628593393</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1.9309511115841147</c:v>
                </c:pt>
                <c:pt idx="57">
                  <c:v>#N/A</c:v>
                </c:pt>
                <c:pt idx="58">
                  <c:v>#N/A</c:v>
                </c:pt>
                <c:pt idx="59">
                  <c:v>#N/A</c:v>
                </c:pt>
                <c:pt idx="60">
                  <c:v>#N/A</c:v>
                </c:pt>
                <c:pt idx="61">
                  <c:v>#N/A</c:v>
                </c:pt>
                <c:pt idx="62">
                  <c:v>#N/A</c:v>
                </c:pt>
                <c:pt idx="63">
                  <c:v>#N/A</c:v>
                </c:pt>
                <c:pt idx="64">
                  <c:v>#N/A</c:v>
                </c:pt>
                <c:pt idx="65">
                  <c:v>#N/A</c:v>
                </c:pt>
                <c:pt idx="66">
                  <c:v>#N/A</c:v>
                </c:pt>
                <c:pt idx="67">
                  <c:v>#N/A</c:v>
                </c:pt>
                <c:pt idx="68">
                  <c:v>15.707298460481789</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19.635390140975865</c:v>
                </c:pt>
                <c:pt idx="89">
                  <c:v>#N/A</c:v>
                </c:pt>
                <c:pt idx="90">
                  <c:v>#N/A</c:v>
                </c:pt>
                <c:pt idx="91">
                  <c:v>#N/A</c:v>
                </c:pt>
                <c:pt idx="92">
                  <c:v>#N/A</c:v>
                </c:pt>
                <c:pt idx="93">
                  <c:v>#N/A</c:v>
                </c:pt>
                <c:pt idx="94">
                  <c:v>#N/A</c:v>
                </c:pt>
                <c:pt idx="95">
                  <c:v>29.895118457910893</c:v>
                </c:pt>
                <c:pt idx="96">
                  <c:v>#N/A</c:v>
                </c:pt>
                <c:pt idx="97">
                  <c:v>37.477861207720551</c:v>
                </c:pt>
              </c:numCache>
            </c:numRef>
          </c:xVal>
          <c:yVal>
            <c:numRef>
              <c:f>'2. Enter Step Details'!plotrange_PNG_Real_Step_Y</c:f>
              <c:numCache>
                <c:formatCode>0.00</c:formatCode>
                <c:ptCount val="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20.368995765321468</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21.555431875630404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7.9388892826190514</c:v>
                </c:pt>
                <c:pt idx="57">
                  <c:v>#N/A</c:v>
                </c:pt>
                <c:pt idx="58">
                  <c:v>#N/A</c:v>
                </c:pt>
                <c:pt idx="59">
                  <c:v>#N/A</c:v>
                </c:pt>
                <c:pt idx="60">
                  <c:v>#N/A</c:v>
                </c:pt>
                <c:pt idx="61">
                  <c:v>#N/A</c:v>
                </c:pt>
                <c:pt idx="62">
                  <c:v>#N/A</c:v>
                </c:pt>
                <c:pt idx="63">
                  <c:v>#N/A</c:v>
                </c:pt>
                <c:pt idx="64">
                  <c:v>#N/A</c:v>
                </c:pt>
                <c:pt idx="65">
                  <c:v>#N/A</c:v>
                </c:pt>
                <c:pt idx="66">
                  <c:v>#N/A</c:v>
                </c:pt>
                <c:pt idx="67">
                  <c:v>#N/A</c:v>
                </c:pt>
                <c:pt idx="68">
                  <c:v>10.348961867752488</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-1.0304434005151315</c:v>
                </c:pt>
                <c:pt idx="89">
                  <c:v>#N/A</c:v>
                </c:pt>
                <c:pt idx="90">
                  <c:v>#N/A</c:v>
                </c:pt>
                <c:pt idx="91">
                  <c:v>#N/A</c:v>
                </c:pt>
                <c:pt idx="92">
                  <c:v>#N/A</c:v>
                </c:pt>
                <c:pt idx="93">
                  <c:v>#N/A</c:v>
                </c:pt>
                <c:pt idx="94">
                  <c:v>#N/A</c:v>
                </c:pt>
                <c:pt idx="95">
                  <c:v>4.5668200309955704</c:v>
                </c:pt>
                <c:pt idx="96">
                  <c:v>#N/A</c:v>
                </c:pt>
                <c:pt idx="97">
                  <c:v>10.531682026520127</c:v>
                </c:pt>
              </c:numCache>
            </c:numRef>
          </c:yVal>
          <c:smooth val="0"/>
          <c:extLst>
            <c:ext xmlns:c16="http://schemas.microsoft.com/office/drawing/2014/chart" uri="{C3380CC4-5D6E-409C-BE32-E72D297353CC}">
              <c16:uniqueId val="{00000001-D4C8-43AE-A6BE-51EE0A2698C0}"/>
            </c:ext>
          </c:extLst>
        </c:ser>
        <c:ser>
          <c:idx val="3"/>
          <c:order val="1"/>
          <c:tx>
            <c:v>Raw Materials</c:v>
          </c:tx>
          <c:spPr>
            <a:ln w="25400" cap="rnd">
              <a:noFill/>
              <a:round/>
            </a:ln>
            <a:effectLst/>
          </c:spPr>
          <c:marker>
            <c:symbol val="circle"/>
            <c:size val="10"/>
            <c:spPr>
              <a:solidFill>
                <a:srgbClr val="00B050"/>
              </a:solidFill>
              <a:ln w="9525">
                <a:noFill/>
              </a:ln>
              <a:effectLst/>
            </c:spPr>
          </c:marker>
          <c:xVal>
            <c:numRef>
              <c:f>'2. Enter Step Details'!plotrange_PNG_RM_X</c:f>
              <c:numCache>
                <c:formatCode>0.00</c:formatCode>
                <c:ptCount val="98"/>
                <c:pt idx="0">
                  <c:v>#N/A</c:v>
                </c:pt>
                <c:pt idx="1">
                  <c:v>#N/A</c:v>
                </c:pt>
                <c:pt idx="2">
                  <c:v>2.3275130569467728</c:v>
                </c:pt>
                <c:pt idx="3">
                  <c:v>#N/A</c:v>
                </c:pt>
                <c:pt idx="4">
                  <c:v>#N/A</c:v>
                </c:pt>
                <c:pt idx="5">
                  <c:v>-11.161305606405291</c:v>
                </c:pt>
                <c:pt idx="6">
                  <c:v>#N/A</c:v>
                </c:pt>
                <c:pt idx="7">
                  <c:v>#N/A</c:v>
                </c:pt>
                <c:pt idx="8">
                  <c:v>-5.6286105276860896</c:v>
                </c:pt>
                <c:pt idx="9">
                  <c:v>#N/A</c:v>
                </c:pt>
                <c:pt idx="10">
                  <c:v>#N/A</c:v>
                </c:pt>
                <c:pt idx="11">
                  <c:v>-8.5214632532720813</c:v>
                </c:pt>
                <c:pt idx="12">
                  <c:v>#N/A</c:v>
                </c:pt>
                <c:pt idx="13">
                  <c:v>#N/A</c:v>
                </c:pt>
                <c:pt idx="14">
                  <c:v>10.21150408293698</c:v>
                </c:pt>
                <c:pt idx="15">
                  <c:v>14.989868850382683</c:v>
                </c:pt>
                <c:pt idx="16">
                  <c:v>16.833467162144437</c:v>
                </c:pt>
                <c:pt idx="17">
                  <c:v>#N/A</c:v>
                </c:pt>
                <c:pt idx="18">
                  <c:v>-3.0565257888541169</c:v>
                </c:pt>
                <c:pt idx="19">
                  <c:v>0.52648873128632934</c:v>
                </c:pt>
                <c:pt idx="20">
                  <c:v>-1.4972270301512913</c:v>
                </c:pt>
                <c:pt idx="21">
                  <c:v>0.53132395721209646</c:v>
                </c:pt>
                <c:pt idx="22">
                  <c:v>-1.571821032446342</c:v>
                </c:pt>
                <c:pt idx="23">
                  <c:v>#N/A</c:v>
                </c:pt>
                <c:pt idx="24">
                  <c:v>#N/A</c:v>
                </c:pt>
                <c:pt idx="25">
                  <c:v>#N/A</c:v>
                </c:pt>
                <c:pt idx="26">
                  <c:v>2.3881874318286971</c:v>
                </c:pt>
                <c:pt idx="27">
                  <c:v>3.1375306171127635</c:v>
                </c:pt>
                <c:pt idx="28">
                  <c:v>#N/A</c:v>
                </c:pt>
                <c:pt idx="29">
                  <c:v>#N/A</c:v>
                </c:pt>
                <c:pt idx="30">
                  <c:v>#N/A</c:v>
                </c:pt>
                <c:pt idx="31">
                  <c:v>4.5915520595937629</c:v>
                </c:pt>
                <c:pt idx="32">
                  <c:v>3.8644183118561051</c:v>
                </c:pt>
                <c:pt idx="33">
                  <c:v>4.7092801648450253</c:v>
                </c:pt>
                <c:pt idx="34">
                  <c:v>-3.0948110474900283</c:v>
                </c:pt>
                <c:pt idx="35">
                  <c:v>#N/A</c:v>
                </c:pt>
                <c:pt idx="36">
                  <c:v>#N/A</c:v>
                </c:pt>
                <c:pt idx="37">
                  <c:v>#N/A</c:v>
                </c:pt>
                <c:pt idx="38">
                  <c:v>-8.2138992091278542</c:v>
                </c:pt>
                <c:pt idx="39">
                  <c:v>#N/A</c:v>
                </c:pt>
                <c:pt idx="40">
                  <c:v>#N/A</c:v>
                </c:pt>
                <c:pt idx="41">
                  <c:v>-3.6823126540307705</c:v>
                </c:pt>
                <c:pt idx="42">
                  <c:v>#N/A</c:v>
                </c:pt>
                <c:pt idx="43">
                  <c:v>#N/A</c:v>
                </c:pt>
                <c:pt idx="44">
                  <c:v>7.4720348390499867</c:v>
                </c:pt>
                <c:pt idx="45">
                  <c:v>#N/A</c:v>
                </c:pt>
                <c:pt idx="46">
                  <c:v>#N/A</c:v>
                </c:pt>
                <c:pt idx="47">
                  <c:v>2.5140487336853532</c:v>
                </c:pt>
                <c:pt idx="48">
                  <c:v>#N/A</c:v>
                </c:pt>
                <c:pt idx="49">
                  <c:v>4.1043248148070122</c:v>
                </c:pt>
                <c:pt idx="50">
                  <c:v>#N/A</c:v>
                </c:pt>
                <c:pt idx="51">
                  <c:v>-0.97795169655054348</c:v>
                </c:pt>
                <c:pt idx="52">
                  <c:v>5.3645226847833563</c:v>
                </c:pt>
                <c:pt idx="53">
                  <c:v>#N/A</c:v>
                </c:pt>
                <c:pt idx="54">
                  <c:v>#N/A</c:v>
                </c:pt>
                <c:pt idx="55">
                  <c:v>#N/A</c:v>
                </c:pt>
                <c:pt idx="56">
                  <c:v>#N/A</c:v>
                </c:pt>
                <c:pt idx="57">
                  <c:v>#N/A</c:v>
                </c:pt>
                <c:pt idx="58">
                  <c:v>#N/A</c:v>
                </c:pt>
                <c:pt idx="59">
                  <c:v>25.352355293624477</c:v>
                </c:pt>
                <c:pt idx="60">
                  <c:v>#N/A</c:v>
                </c:pt>
                <c:pt idx="61">
                  <c:v>#N/A</c:v>
                </c:pt>
                <c:pt idx="62">
                  <c:v>#N/A</c:v>
                </c:pt>
                <c:pt idx="63">
                  <c:v>16.597688795659906</c:v>
                </c:pt>
                <c:pt idx="64">
                  <c:v>16.515928712884108</c:v>
                </c:pt>
                <c:pt idx="65">
                  <c:v>13.203312400057756</c:v>
                </c:pt>
                <c:pt idx="66">
                  <c:v>19.289627143601709</c:v>
                </c:pt>
                <c:pt idx="67">
                  <c:v>19.033056665541746</c:v>
                </c:pt>
                <c:pt idx="68">
                  <c:v>#N/A</c:v>
                </c:pt>
                <c:pt idx="69">
                  <c:v>#N/A</c:v>
                </c:pt>
                <c:pt idx="70">
                  <c:v>#N/A</c:v>
                </c:pt>
                <c:pt idx="71">
                  <c:v>11.100317346629659</c:v>
                </c:pt>
                <c:pt idx="72">
                  <c:v>#N/A</c:v>
                </c:pt>
                <c:pt idx="73">
                  <c:v>#N/A</c:v>
                </c:pt>
                <c:pt idx="74">
                  <c:v>16.540976308170244</c:v>
                </c:pt>
                <c:pt idx="75">
                  <c:v>#N/A</c:v>
                </c:pt>
                <c:pt idx="76">
                  <c:v>#N/A</c:v>
                </c:pt>
                <c:pt idx="77">
                  <c:v>12.621624199762062</c:v>
                </c:pt>
                <c:pt idx="78">
                  <c:v>#N/A</c:v>
                </c:pt>
                <c:pt idx="79">
                  <c:v>#N/A</c:v>
                </c:pt>
                <c:pt idx="80">
                  <c:v>25.322697016273306</c:v>
                </c:pt>
                <c:pt idx="81">
                  <c:v>#N/A</c:v>
                </c:pt>
                <c:pt idx="82">
                  <c:v>#N/A</c:v>
                </c:pt>
                <c:pt idx="83">
                  <c:v>#N/A</c:v>
                </c:pt>
                <c:pt idx="84">
                  <c:v>#N/A</c:v>
                </c:pt>
                <c:pt idx="85">
                  <c:v>#N/A</c:v>
                </c:pt>
                <c:pt idx="86">
                  <c:v>19.275343482308465</c:v>
                </c:pt>
                <c:pt idx="87">
                  <c:v>23.062925324887381</c:v>
                </c:pt>
                <c:pt idx="88">
                  <c:v>#N/A</c:v>
                </c:pt>
                <c:pt idx="89">
                  <c:v>#N/A</c:v>
                </c:pt>
                <c:pt idx="90">
                  <c:v>31.665856664348247</c:v>
                </c:pt>
                <c:pt idx="91">
                  <c:v>34.161198461923846</c:v>
                </c:pt>
                <c:pt idx="92">
                  <c:v>28.583288244239917</c:v>
                </c:pt>
                <c:pt idx="93">
                  <c:v>#N/A</c:v>
                </c:pt>
                <c:pt idx="94">
                  <c:v>26.501091310278941</c:v>
                </c:pt>
                <c:pt idx="95">
                  <c:v>#N/A</c:v>
                </c:pt>
                <c:pt idx="96">
                  <c:v>#N/A</c:v>
                </c:pt>
                <c:pt idx="97">
                  <c:v>#N/A</c:v>
                </c:pt>
              </c:numCache>
            </c:numRef>
          </c:xVal>
          <c:yVal>
            <c:numRef>
              <c:f>'2. Enter Step Details'!plotrange_PNG_RM_Y</c:f>
              <c:numCache>
                <c:formatCode>0.00</c:formatCode>
                <c:ptCount val="98"/>
                <c:pt idx="0">
                  <c:v>#N/A</c:v>
                </c:pt>
                <c:pt idx="1">
                  <c:v>#N/A</c:v>
                </c:pt>
                <c:pt idx="2">
                  <c:v>33.401144815982704</c:v>
                </c:pt>
                <c:pt idx="3">
                  <c:v>#N/A</c:v>
                </c:pt>
                <c:pt idx="4">
                  <c:v>#N/A</c:v>
                </c:pt>
                <c:pt idx="5">
                  <c:v>18.923675503501165</c:v>
                </c:pt>
                <c:pt idx="6">
                  <c:v>#N/A</c:v>
                </c:pt>
                <c:pt idx="7">
                  <c:v>#N/A</c:v>
                </c:pt>
                <c:pt idx="8">
                  <c:v>12.997984013490795</c:v>
                </c:pt>
                <c:pt idx="9">
                  <c:v>#N/A</c:v>
                </c:pt>
                <c:pt idx="10">
                  <c:v>#N/A</c:v>
                </c:pt>
                <c:pt idx="11">
                  <c:v>28.553199270376069</c:v>
                </c:pt>
                <c:pt idx="12">
                  <c:v>#N/A</c:v>
                </c:pt>
                <c:pt idx="13">
                  <c:v>#N/A</c:v>
                </c:pt>
                <c:pt idx="14">
                  <c:v>29.074212703146806</c:v>
                </c:pt>
                <c:pt idx="15">
                  <c:v>23.62796102157942</c:v>
                </c:pt>
                <c:pt idx="16">
                  <c:v>21.182866096260693</c:v>
                </c:pt>
                <c:pt idx="17">
                  <c:v>#N/A</c:v>
                </c:pt>
                <c:pt idx="18">
                  <c:v>20.515367174986299</c:v>
                </c:pt>
                <c:pt idx="19">
                  <c:v>17.628095706767041</c:v>
                </c:pt>
                <c:pt idx="20">
                  <c:v>24.893184297510931</c:v>
                </c:pt>
                <c:pt idx="21">
                  <c:v>25.453402857169742</c:v>
                </c:pt>
                <c:pt idx="22">
                  <c:v>18.503500182255294</c:v>
                </c:pt>
                <c:pt idx="23">
                  <c:v>#N/A</c:v>
                </c:pt>
                <c:pt idx="24">
                  <c:v>#N/A</c:v>
                </c:pt>
                <c:pt idx="25">
                  <c:v>#N/A</c:v>
                </c:pt>
                <c:pt idx="26">
                  <c:v>17.908892311287456</c:v>
                </c:pt>
                <c:pt idx="27">
                  <c:v>24.94999038313842</c:v>
                </c:pt>
                <c:pt idx="28">
                  <c:v>#N/A</c:v>
                </c:pt>
                <c:pt idx="29">
                  <c:v>#N/A</c:v>
                </c:pt>
                <c:pt idx="30">
                  <c:v>#N/A</c:v>
                </c:pt>
                <c:pt idx="31">
                  <c:v>22.728136909564732</c:v>
                </c:pt>
                <c:pt idx="32">
                  <c:v>18.840226240506983</c:v>
                </c:pt>
                <c:pt idx="33">
                  <c:v>20.57489267147923</c:v>
                </c:pt>
                <c:pt idx="34">
                  <c:v>22.708378752413747</c:v>
                </c:pt>
                <c:pt idx="35">
                  <c:v>#N/A</c:v>
                </c:pt>
                <c:pt idx="36">
                  <c:v>#N/A</c:v>
                </c:pt>
                <c:pt idx="37">
                  <c:v>#N/A</c:v>
                </c:pt>
                <c:pt idx="38">
                  <c:v>4.4543084341448207</c:v>
                </c:pt>
                <c:pt idx="39">
                  <c:v>#N/A</c:v>
                </c:pt>
                <c:pt idx="40">
                  <c:v>#N/A</c:v>
                </c:pt>
                <c:pt idx="41">
                  <c:v>-0.26288531328701153</c:v>
                </c:pt>
                <c:pt idx="42">
                  <c:v>#N/A</c:v>
                </c:pt>
                <c:pt idx="43">
                  <c:v>#N/A</c:v>
                </c:pt>
                <c:pt idx="44">
                  <c:v>13.041884212556132</c:v>
                </c:pt>
                <c:pt idx="45">
                  <c:v>#N/A</c:v>
                </c:pt>
                <c:pt idx="46">
                  <c:v>#N/A</c:v>
                </c:pt>
                <c:pt idx="47">
                  <c:v>-1.5931382791618636</c:v>
                </c:pt>
                <c:pt idx="48">
                  <c:v>#N/A</c:v>
                </c:pt>
                <c:pt idx="49">
                  <c:v>5.1932905357454375</c:v>
                </c:pt>
                <c:pt idx="50">
                  <c:v>#N/A</c:v>
                </c:pt>
                <c:pt idx="51">
                  <c:v>9.3860076454015413</c:v>
                </c:pt>
                <c:pt idx="52">
                  <c:v>7.1674456721073909</c:v>
                </c:pt>
                <c:pt idx="53">
                  <c:v>#N/A</c:v>
                </c:pt>
                <c:pt idx="54">
                  <c:v>#N/A</c:v>
                </c:pt>
                <c:pt idx="55">
                  <c:v>#N/A</c:v>
                </c:pt>
                <c:pt idx="56">
                  <c:v>#N/A</c:v>
                </c:pt>
                <c:pt idx="57">
                  <c:v>#N/A</c:v>
                </c:pt>
                <c:pt idx="58">
                  <c:v>#N/A</c:v>
                </c:pt>
                <c:pt idx="59">
                  <c:v>16.489331629258427</c:v>
                </c:pt>
                <c:pt idx="60">
                  <c:v>#N/A</c:v>
                </c:pt>
                <c:pt idx="61">
                  <c:v>#N/A</c:v>
                </c:pt>
                <c:pt idx="62">
                  <c:v>#N/A</c:v>
                </c:pt>
                <c:pt idx="63">
                  <c:v>13.877071183519517</c:v>
                </c:pt>
                <c:pt idx="64">
                  <c:v>6.9953352782779588</c:v>
                </c:pt>
                <c:pt idx="65">
                  <c:v>8.065310331078777</c:v>
                </c:pt>
                <c:pt idx="66">
                  <c:v>8.8042496952735227</c:v>
                </c:pt>
                <c:pt idx="67">
                  <c:v>12.355561868808731</c:v>
                </c:pt>
                <c:pt idx="68">
                  <c:v>#N/A</c:v>
                </c:pt>
                <c:pt idx="69">
                  <c:v>#N/A</c:v>
                </c:pt>
                <c:pt idx="70">
                  <c:v>#N/A</c:v>
                </c:pt>
                <c:pt idx="71">
                  <c:v>-6.6784151202300235</c:v>
                </c:pt>
                <c:pt idx="72">
                  <c:v>#N/A</c:v>
                </c:pt>
                <c:pt idx="73">
                  <c:v>#N/A</c:v>
                </c:pt>
                <c:pt idx="74">
                  <c:v>-12.258696578159528</c:v>
                </c:pt>
                <c:pt idx="75">
                  <c:v>#N/A</c:v>
                </c:pt>
                <c:pt idx="76">
                  <c:v>#N/A</c:v>
                </c:pt>
                <c:pt idx="77">
                  <c:v>1.4198616275470548</c:v>
                </c:pt>
                <c:pt idx="78">
                  <c:v>#N/A</c:v>
                </c:pt>
                <c:pt idx="79">
                  <c:v>#N/A</c:v>
                </c:pt>
                <c:pt idx="80">
                  <c:v>-10.244621761858062</c:v>
                </c:pt>
                <c:pt idx="81">
                  <c:v>#N/A</c:v>
                </c:pt>
                <c:pt idx="82">
                  <c:v>#N/A</c:v>
                </c:pt>
                <c:pt idx="83">
                  <c:v>#N/A</c:v>
                </c:pt>
                <c:pt idx="84">
                  <c:v>#N/A</c:v>
                </c:pt>
                <c:pt idx="85">
                  <c:v>#N/A</c:v>
                </c:pt>
                <c:pt idx="86">
                  <c:v>-4.3446498380520522</c:v>
                </c:pt>
                <c:pt idx="87">
                  <c:v>-1.4984424713521245</c:v>
                </c:pt>
                <c:pt idx="88">
                  <c:v>#N/A</c:v>
                </c:pt>
                <c:pt idx="89">
                  <c:v>#N/A</c:v>
                </c:pt>
                <c:pt idx="90">
                  <c:v>0.21248734295897476</c:v>
                </c:pt>
                <c:pt idx="91">
                  <c:v>2.7979615120406574</c:v>
                </c:pt>
                <c:pt idx="92">
                  <c:v>0.73708046857326692</c:v>
                </c:pt>
                <c:pt idx="93">
                  <c:v>#N/A</c:v>
                </c:pt>
                <c:pt idx="94">
                  <c:v>6.5085732642133696</c:v>
                </c:pt>
                <c:pt idx="95">
                  <c:v>#N/A</c:v>
                </c:pt>
                <c:pt idx="96">
                  <c:v>#N/A</c:v>
                </c:pt>
                <c:pt idx="97">
                  <c:v>#N/A</c:v>
                </c:pt>
              </c:numCache>
            </c:numRef>
          </c:yVal>
          <c:smooth val="0"/>
          <c:extLst>
            <c:ext xmlns:c16="http://schemas.microsoft.com/office/drawing/2014/chart" uri="{C3380CC4-5D6E-409C-BE32-E72D297353CC}">
              <c16:uniqueId val="{00000002-D4C8-43AE-A6BE-51EE0A2698C0}"/>
            </c:ext>
          </c:extLst>
        </c:ser>
        <c:ser>
          <c:idx val="0"/>
          <c:order val="2"/>
          <c:tx>
            <c:v>Steps and RMs for Labeling</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4C8-43AE-A6BE-51EE0A2698C0}"/>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4C8-43AE-A6BE-51EE0A2698C0}"/>
                </c:ext>
              </c:extLst>
            </c:dLbl>
            <c:dLbl>
              <c:idx val="2"/>
              <c:tx>
                <c:rich>
                  <a:bodyPr/>
                  <a:lstStyle/>
                  <a:p>
                    <a:fld id="{F373CC66-6971-41D3-AF06-F3F345CD71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4C8-43AE-A6BE-51EE0A2698C0}"/>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4C8-43AE-A6BE-51EE0A2698C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53E0-4D0F-9700-F84D2F56A25F}"/>
                </c:ext>
              </c:extLst>
            </c:dLbl>
            <c:dLbl>
              <c:idx val="5"/>
              <c:tx>
                <c:rich>
                  <a:bodyPr/>
                  <a:lstStyle/>
                  <a:p>
                    <a:fld id="{5E66BE92-B13D-4E8F-B024-D2E8B12B48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3E0-4D0F-9700-F84D2F56A25F}"/>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4C8-43AE-A6BE-51EE0A2698C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4C8-43AE-A6BE-51EE0A2698C0}"/>
                </c:ext>
              </c:extLst>
            </c:dLbl>
            <c:dLbl>
              <c:idx val="8"/>
              <c:tx>
                <c:rich>
                  <a:bodyPr/>
                  <a:lstStyle/>
                  <a:p>
                    <a:fld id="{885F38B4-F055-40F9-9438-D5F3D6B36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3E0-4D0F-9700-F84D2F56A25F}"/>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4C8-43AE-A6BE-51EE0A2698C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4C8-43AE-A6BE-51EE0A2698C0}"/>
                </c:ext>
              </c:extLst>
            </c:dLbl>
            <c:dLbl>
              <c:idx val="11"/>
              <c:tx>
                <c:rich>
                  <a:bodyPr/>
                  <a:lstStyle/>
                  <a:p>
                    <a:fld id="{1CFACA24-61D5-4A92-BF1A-E856111D6B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E0-4D0F-9700-F84D2F56A25F}"/>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4C8-43AE-A6BE-51EE0A2698C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3E0-4D0F-9700-F84D2F56A25F}"/>
                </c:ext>
              </c:extLst>
            </c:dLbl>
            <c:dLbl>
              <c:idx val="14"/>
              <c:tx>
                <c:rich>
                  <a:bodyPr/>
                  <a:lstStyle/>
                  <a:p>
                    <a:fld id="{E5FA7964-9BB1-4534-8511-6DFE93CCE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4C8-43AE-A6BE-51EE0A2698C0}"/>
                </c:ext>
              </c:extLst>
            </c:dLbl>
            <c:dLbl>
              <c:idx val="15"/>
              <c:tx>
                <c:rich>
                  <a:bodyPr/>
                  <a:lstStyle/>
                  <a:p>
                    <a:fld id="{A58DE23B-8196-4412-A708-5F83D13B20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4C8-43AE-A6BE-51EE0A2698C0}"/>
                </c:ext>
              </c:extLst>
            </c:dLbl>
            <c:dLbl>
              <c:idx val="16"/>
              <c:tx>
                <c:rich>
                  <a:bodyPr/>
                  <a:lstStyle/>
                  <a:p>
                    <a:fld id="{F61DBC4A-66DF-4530-9F8C-E42F68FB8B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4C8-43AE-A6BE-51EE0A2698C0}"/>
                </c:ext>
              </c:extLst>
            </c:dLbl>
            <c:dLbl>
              <c:idx val="17"/>
              <c:tx>
                <c:rich>
                  <a:bodyPr/>
                  <a:lstStyle/>
                  <a:p>
                    <a:fld id="{14B41AAE-E6F1-466E-8437-9DC74A05E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E0-4D0F-9700-F84D2F56A25F}"/>
                </c:ext>
              </c:extLst>
            </c:dLbl>
            <c:dLbl>
              <c:idx val="18"/>
              <c:tx>
                <c:rich>
                  <a:bodyPr/>
                  <a:lstStyle/>
                  <a:p>
                    <a:fld id="{8ECA9E10-7149-4974-9C05-590F806784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4C8-43AE-A6BE-51EE0A2698C0}"/>
                </c:ext>
              </c:extLst>
            </c:dLbl>
            <c:dLbl>
              <c:idx val="19"/>
              <c:tx>
                <c:rich>
                  <a:bodyPr/>
                  <a:lstStyle/>
                  <a:p>
                    <a:fld id="{45FE5F56-51F2-4524-800A-ADCC6EA4A2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4C8-43AE-A6BE-51EE0A2698C0}"/>
                </c:ext>
              </c:extLst>
            </c:dLbl>
            <c:dLbl>
              <c:idx val="20"/>
              <c:tx>
                <c:rich>
                  <a:bodyPr/>
                  <a:lstStyle/>
                  <a:p>
                    <a:fld id="{C613340A-2FAE-4557-816E-3793D898FF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4C8-43AE-A6BE-51EE0A2698C0}"/>
                </c:ext>
              </c:extLst>
            </c:dLbl>
            <c:dLbl>
              <c:idx val="21"/>
              <c:tx>
                <c:rich>
                  <a:bodyPr/>
                  <a:lstStyle/>
                  <a:p>
                    <a:fld id="{9AE3F5A3-C152-4EC1-9F16-7535451FFC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E0-4D0F-9700-F84D2F56A25F}"/>
                </c:ext>
              </c:extLst>
            </c:dLbl>
            <c:dLbl>
              <c:idx val="22"/>
              <c:tx>
                <c:rich>
                  <a:bodyPr/>
                  <a:lstStyle/>
                  <a:p>
                    <a:fld id="{86D0D020-C8B4-4C7B-AE1D-5EEC66B150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15C-431D-9EB8-1692E70F38C2}"/>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3E0-4D0F-9700-F84D2F56A25F}"/>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3E0-4D0F-9700-F84D2F56A25F}"/>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3E0-4D0F-9700-F84D2F56A25F}"/>
                </c:ext>
              </c:extLst>
            </c:dLbl>
            <c:dLbl>
              <c:idx val="26"/>
              <c:tx>
                <c:rich>
                  <a:bodyPr/>
                  <a:lstStyle/>
                  <a:p>
                    <a:fld id="{AAB80BB1-105F-4AE1-83BA-EA092A93F9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E0-4D0F-9700-F84D2F56A25F}"/>
                </c:ext>
              </c:extLst>
            </c:dLbl>
            <c:dLbl>
              <c:idx val="27"/>
              <c:tx>
                <c:rich>
                  <a:bodyPr/>
                  <a:lstStyle/>
                  <a:p>
                    <a:fld id="{D5B725EF-8790-4C98-95AB-504A77101F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E0-4D0F-9700-F84D2F56A25F}"/>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3E0-4D0F-9700-F84D2F56A25F}"/>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3E0-4D0F-9700-F84D2F56A25F}"/>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3E0-4D0F-9700-F84D2F56A25F}"/>
                </c:ext>
              </c:extLst>
            </c:dLbl>
            <c:dLbl>
              <c:idx val="31"/>
              <c:tx>
                <c:rich>
                  <a:bodyPr/>
                  <a:lstStyle/>
                  <a:p>
                    <a:fld id="{DA94DEBC-BE6D-4804-B31D-A2B72A18A3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3E0-4D0F-9700-F84D2F56A25F}"/>
                </c:ext>
              </c:extLst>
            </c:dLbl>
            <c:dLbl>
              <c:idx val="32"/>
              <c:tx>
                <c:rich>
                  <a:bodyPr/>
                  <a:lstStyle/>
                  <a:p>
                    <a:fld id="{038FE90B-C695-4515-A41C-A7AE51C12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E0-4D0F-9700-F84D2F56A25F}"/>
                </c:ext>
              </c:extLst>
            </c:dLbl>
            <c:dLbl>
              <c:idx val="33"/>
              <c:tx>
                <c:rich>
                  <a:bodyPr/>
                  <a:lstStyle/>
                  <a:p>
                    <a:fld id="{0E08BE7F-F9D6-4151-AA6A-4CD58D9AD8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E0-4D0F-9700-F84D2F56A25F}"/>
                </c:ext>
              </c:extLst>
            </c:dLbl>
            <c:dLbl>
              <c:idx val="34"/>
              <c:tx>
                <c:rich>
                  <a:bodyPr/>
                  <a:lstStyle/>
                  <a:p>
                    <a:fld id="{E748A75A-9C33-478C-BE51-391511D59C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3E0-4D0F-9700-F84D2F56A25F}"/>
                </c:ext>
              </c:extLst>
            </c:dLbl>
            <c:dLbl>
              <c:idx val="35"/>
              <c:tx>
                <c:rich>
                  <a:bodyPr/>
                  <a:lstStyle/>
                  <a:p>
                    <a:fld id="{E6FDC5A3-934F-4FF7-9F33-F052E116BC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3E0-4D0F-9700-F84D2F56A25F}"/>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3E0-4D0F-9700-F84D2F56A25F}"/>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3E0-4D0F-9700-F84D2F56A25F}"/>
                </c:ext>
              </c:extLst>
            </c:dLbl>
            <c:dLbl>
              <c:idx val="38"/>
              <c:tx>
                <c:rich>
                  <a:bodyPr/>
                  <a:lstStyle/>
                  <a:p>
                    <a:fld id="{052BA8F3-3F27-4343-9F2F-CAFE72F86F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3E0-4D0F-9700-F84D2F56A25F}"/>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3E0-4D0F-9700-F84D2F56A25F}"/>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3E0-4D0F-9700-F84D2F56A25F}"/>
                </c:ext>
              </c:extLst>
            </c:dLbl>
            <c:dLbl>
              <c:idx val="41"/>
              <c:tx>
                <c:rich>
                  <a:bodyPr/>
                  <a:lstStyle/>
                  <a:p>
                    <a:fld id="{67E85532-9B93-4BD9-813B-DEF94667F5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3E0-4D0F-9700-F84D2F56A25F}"/>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3E0-4D0F-9700-F84D2F56A25F}"/>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3E0-4D0F-9700-F84D2F56A25F}"/>
                </c:ext>
              </c:extLst>
            </c:dLbl>
            <c:dLbl>
              <c:idx val="44"/>
              <c:tx>
                <c:rich>
                  <a:bodyPr/>
                  <a:lstStyle/>
                  <a:p>
                    <a:fld id="{00911FFB-5B32-4123-A8EB-A2D1E77EE2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3E0-4D0F-9700-F84D2F56A25F}"/>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3E0-4D0F-9700-F84D2F56A25F}"/>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3E0-4D0F-9700-F84D2F56A25F}"/>
                </c:ext>
              </c:extLst>
            </c:dLbl>
            <c:dLbl>
              <c:idx val="47"/>
              <c:tx>
                <c:rich>
                  <a:bodyPr/>
                  <a:lstStyle/>
                  <a:p>
                    <a:fld id="{8186F501-DA16-4CC7-A362-C5AF9C25C4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3E0-4D0F-9700-F84D2F56A25F}"/>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3E0-4D0F-9700-F84D2F56A25F}"/>
                </c:ext>
              </c:extLst>
            </c:dLbl>
            <c:dLbl>
              <c:idx val="49"/>
              <c:tx>
                <c:rich>
                  <a:bodyPr/>
                  <a:lstStyle/>
                  <a:p>
                    <a:fld id="{8D0B231A-E96C-4DDD-86EC-FEDE03311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3E0-4D0F-9700-F84D2F56A25F}"/>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3E0-4D0F-9700-F84D2F56A25F}"/>
                </c:ext>
              </c:extLst>
            </c:dLbl>
            <c:dLbl>
              <c:idx val="51"/>
              <c:tx>
                <c:rich>
                  <a:bodyPr/>
                  <a:lstStyle/>
                  <a:p>
                    <a:fld id="{41027159-F902-4054-8AA4-2700C738EA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3E0-4D0F-9700-F84D2F56A25F}"/>
                </c:ext>
              </c:extLst>
            </c:dLbl>
            <c:dLbl>
              <c:idx val="52"/>
              <c:tx>
                <c:rich>
                  <a:bodyPr/>
                  <a:lstStyle/>
                  <a:p>
                    <a:fld id="{A2A2D22A-6E48-40F2-ADFE-B320B6C57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3E0-4D0F-9700-F84D2F56A25F}"/>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3E0-4D0F-9700-F84D2F56A25F}"/>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3E0-4D0F-9700-F84D2F56A25F}"/>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3E0-4D0F-9700-F84D2F56A25F}"/>
                </c:ext>
              </c:extLst>
            </c:dLbl>
            <c:dLbl>
              <c:idx val="56"/>
              <c:tx>
                <c:rich>
                  <a:bodyPr/>
                  <a:lstStyle/>
                  <a:p>
                    <a:fld id="{FA1F5AE4-AEE2-4926-B414-D415B166EB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3E0-4D0F-9700-F84D2F56A25F}"/>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3E0-4D0F-9700-F84D2F56A25F}"/>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3E0-4D0F-9700-F84D2F56A25F}"/>
                </c:ext>
              </c:extLst>
            </c:dLbl>
            <c:dLbl>
              <c:idx val="59"/>
              <c:tx>
                <c:rich>
                  <a:bodyPr/>
                  <a:lstStyle/>
                  <a:p>
                    <a:fld id="{E457ED0D-ABE1-4A7E-8184-B5B1EC1125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3E0-4D0F-9700-F84D2F56A25F}"/>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3E0-4D0F-9700-F84D2F56A25F}"/>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3E0-4D0F-9700-F84D2F56A25F}"/>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3E0-4D0F-9700-F84D2F56A25F}"/>
                </c:ext>
              </c:extLst>
            </c:dLbl>
            <c:dLbl>
              <c:idx val="63"/>
              <c:tx>
                <c:rich>
                  <a:bodyPr/>
                  <a:lstStyle/>
                  <a:p>
                    <a:fld id="{82B9500A-7F7D-45BE-BC7C-CD0ADAA2ED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3E0-4D0F-9700-F84D2F56A25F}"/>
                </c:ext>
              </c:extLst>
            </c:dLbl>
            <c:dLbl>
              <c:idx val="64"/>
              <c:tx>
                <c:rich>
                  <a:bodyPr/>
                  <a:lstStyle/>
                  <a:p>
                    <a:fld id="{7E03B79C-8CA9-4C31-BFE3-9C466DBF00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3E0-4D0F-9700-F84D2F56A25F}"/>
                </c:ext>
              </c:extLst>
            </c:dLbl>
            <c:dLbl>
              <c:idx val="65"/>
              <c:tx>
                <c:rich>
                  <a:bodyPr/>
                  <a:lstStyle/>
                  <a:p>
                    <a:fld id="{A695A4B6-3C27-4B31-9F9D-E40ECF5DA1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3E0-4D0F-9700-F84D2F56A25F}"/>
                </c:ext>
              </c:extLst>
            </c:dLbl>
            <c:dLbl>
              <c:idx val="66"/>
              <c:tx>
                <c:rich>
                  <a:bodyPr/>
                  <a:lstStyle/>
                  <a:p>
                    <a:fld id="{A01A7D79-F4CE-481C-A9FC-1FBC29401E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3E0-4D0F-9700-F84D2F56A25F}"/>
                </c:ext>
              </c:extLst>
            </c:dLbl>
            <c:dLbl>
              <c:idx val="67"/>
              <c:tx>
                <c:rich>
                  <a:bodyPr/>
                  <a:lstStyle/>
                  <a:p>
                    <a:fld id="{4CFF8BF8-027E-4523-A824-4AA426DE10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53E0-4D0F-9700-F84D2F56A25F}"/>
                </c:ext>
              </c:extLst>
            </c:dLbl>
            <c:dLbl>
              <c:idx val="68"/>
              <c:tx>
                <c:rich>
                  <a:bodyPr/>
                  <a:lstStyle/>
                  <a:p>
                    <a:fld id="{2844B678-5696-4B0A-B91B-8E29B6B66B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53E0-4D0F-9700-F84D2F56A25F}"/>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3E0-4D0F-9700-F84D2F56A25F}"/>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3E0-4D0F-9700-F84D2F56A25F}"/>
                </c:ext>
              </c:extLst>
            </c:dLbl>
            <c:dLbl>
              <c:idx val="71"/>
              <c:tx>
                <c:rich>
                  <a:bodyPr/>
                  <a:lstStyle/>
                  <a:p>
                    <a:fld id="{4D45FDCA-CBD7-4792-9668-A5F4E71DB6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53E0-4D0F-9700-F84D2F56A25F}"/>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3E0-4D0F-9700-F84D2F56A25F}"/>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3E0-4D0F-9700-F84D2F56A25F}"/>
                </c:ext>
              </c:extLst>
            </c:dLbl>
            <c:dLbl>
              <c:idx val="74"/>
              <c:tx>
                <c:rich>
                  <a:bodyPr/>
                  <a:lstStyle/>
                  <a:p>
                    <a:fld id="{E9C14D92-18AB-4240-8152-ED887BA3C0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53E0-4D0F-9700-F84D2F56A25F}"/>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3E0-4D0F-9700-F84D2F56A25F}"/>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3E0-4D0F-9700-F84D2F56A25F}"/>
                </c:ext>
              </c:extLst>
            </c:dLbl>
            <c:dLbl>
              <c:idx val="77"/>
              <c:tx>
                <c:rich>
                  <a:bodyPr/>
                  <a:lstStyle/>
                  <a:p>
                    <a:fld id="{5114260A-4750-4DBF-A82C-00DDBFA98B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3E0-4D0F-9700-F84D2F56A25F}"/>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3E0-4D0F-9700-F84D2F56A25F}"/>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3E0-4D0F-9700-F84D2F56A25F}"/>
                </c:ext>
              </c:extLst>
            </c:dLbl>
            <c:dLbl>
              <c:idx val="80"/>
              <c:tx>
                <c:rich>
                  <a:bodyPr/>
                  <a:lstStyle/>
                  <a:p>
                    <a:fld id="{4825FF71-7010-4273-826C-DD10EB1DCC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3E0-4D0F-9700-F84D2F56A25F}"/>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53E0-4D0F-9700-F84D2F56A25F}"/>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53E0-4D0F-9700-F84D2F56A25F}"/>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53E0-4D0F-9700-F84D2F56A25F}"/>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53E0-4D0F-9700-F84D2F56A25F}"/>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53E0-4D0F-9700-F84D2F56A25F}"/>
                </c:ext>
              </c:extLst>
            </c:dLbl>
            <c:dLbl>
              <c:idx val="86"/>
              <c:tx>
                <c:rich>
                  <a:bodyPr/>
                  <a:lstStyle/>
                  <a:p>
                    <a:fld id="{F514ADBA-3FFF-48D2-B28D-43414D5FD1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3E0-4D0F-9700-F84D2F56A25F}"/>
                </c:ext>
              </c:extLst>
            </c:dLbl>
            <c:dLbl>
              <c:idx val="87"/>
              <c:tx>
                <c:rich>
                  <a:bodyPr/>
                  <a:lstStyle/>
                  <a:p>
                    <a:fld id="{C159AD02-D8DF-4A11-BDA1-AEEBFC3B45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3E0-4D0F-9700-F84D2F56A25F}"/>
                </c:ext>
              </c:extLst>
            </c:dLbl>
            <c:dLbl>
              <c:idx val="88"/>
              <c:tx>
                <c:rich>
                  <a:bodyPr/>
                  <a:lstStyle/>
                  <a:p>
                    <a:fld id="{14C2B867-CDCB-4549-A71C-C4922596E3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3E0-4D0F-9700-F84D2F56A25F}"/>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53E0-4D0F-9700-F84D2F56A25F}"/>
                </c:ext>
              </c:extLst>
            </c:dLbl>
            <c:dLbl>
              <c:idx val="90"/>
              <c:tx>
                <c:rich>
                  <a:bodyPr/>
                  <a:lstStyle/>
                  <a:p>
                    <a:fld id="{531DE62C-FBBA-4D4E-BE8A-E7A0A8DF78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3E0-4D0F-9700-F84D2F56A25F}"/>
                </c:ext>
              </c:extLst>
            </c:dLbl>
            <c:dLbl>
              <c:idx val="91"/>
              <c:tx>
                <c:rich>
                  <a:bodyPr/>
                  <a:lstStyle/>
                  <a:p>
                    <a:fld id="{6959FD17-9D25-46AA-8E75-FFB669113A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3E0-4D0F-9700-F84D2F56A25F}"/>
                </c:ext>
              </c:extLst>
            </c:dLbl>
            <c:dLbl>
              <c:idx val="92"/>
              <c:tx>
                <c:rich>
                  <a:bodyPr/>
                  <a:lstStyle/>
                  <a:p>
                    <a:fld id="{DD6E1CC0-4C61-41FB-9D45-846000EE2D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3E0-4D0F-9700-F84D2F56A25F}"/>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53E0-4D0F-9700-F84D2F56A25F}"/>
                </c:ext>
              </c:extLst>
            </c:dLbl>
            <c:dLbl>
              <c:idx val="94"/>
              <c:tx>
                <c:rich>
                  <a:bodyPr/>
                  <a:lstStyle/>
                  <a:p>
                    <a:fld id="{782ABB1A-CE91-4D35-BE4C-01444E697A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3E0-4D0F-9700-F84D2F56A25F}"/>
                </c:ext>
              </c:extLst>
            </c:dLbl>
            <c:dLbl>
              <c:idx val="95"/>
              <c:tx>
                <c:rich>
                  <a:bodyPr/>
                  <a:lstStyle/>
                  <a:p>
                    <a:fld id="{D8228088-EEA5-4882-82AC-71C15801E4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3E0-4D0F-9700-F84D2F56A25F}"/>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53E0-4D0F-9700-F84D2F56A25F}"/>
                </c:ext>
              </c:extLst>
            </c:dLbl>
            <c:dLbl>
              <c:idx val="97"/>
              <c:tx>
                <c:rich>
                  <a:bodyPr/>
                  <a:lstStyle/>
                  <a:p>
                    <a:fld id="{49C84C6D-D665-4585-8048-11858A471A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3E0-4D0F-9700-F84D2F56A25F}"/>
                </c:ext>
              </c:extLst>
            </c:dLbl>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 Enter Step Details'!plotrange_PNG_All_X</c:f>
              <c:numCache>
                <c:formatCode>0.00</c:formatCode>
                <c:ptCount val="98"/>
                <c:pt idx="0">
                  <c:v>#N/A</c:v>
                </c:pt>
                <c:pt idx="1">
                  <c:v>#N/A</c:v>
                </c:pt>
                <c:pt idx="2">
                  <c:v>2.3275130569467728</c:v>
                </c:pt>
                <c:pt idx="3">
                  <c:v>#N/A</c:v>
                </c:pt>
                <c:pt idx="4">
                  <c:v>#N/A</c:v>
                </c:pt>
                <c:pt idx="5">
                  <c:v>-11.161305606405291</c:v>
                </c:pt>
                <c:pt idx="6">
                  <c:v>#N/A</c:v>
                </c:pt>
                <c:pt idx="7">
                  <c:v>#N/A</c:v>
                </c:pt>
                <c:pt idx="8">
                  <c:v>-5.6286105276860896</c:v>
                </c:pt>
                <c:pt idx="9">
                  <c:v>#N/A</c:v>
                </c:pt>
                <c:pt idx="10">
                  <c:v>#N/A</c:v>
                </c:pt>
                <c:pt idx="11">
                  <c:v>-8.5214632532720813</c:v>
                </c:pt>
                <c:pt idx="12">
                  <c:v>#N/A</c:v>
                </c:pt>
                <c:pt idx="13">
                  <c:v>#N/A</c:v>
                </c:pt>
                <c:pt idx="14">
                  <c:v>10.21150408293698</c:v>
                </c:pt>
                <c:pt idx="15">
                  <c:v>14.989868850382683</c:v>
                </c:pt>
                <c:pt idx="16">
                  <c:v>16.833467162144437</c:v>
                </c:pt>
                <c:pt idx="17">
                  <c:v>12.974140333930144</c:v>
                </c:pt>
                <c:pt idx="18">
                  <c:v>-3.0565257888541169</c:v>
                </c:pt>
                <c:pt idx="19">
                  <c:v>0.52648873128632934</c:v>
                </c:pt>
                <c:pt idx="20">
                  <c:v>-1.4972270301512913</c:v>
                </c:pt>
                <c:pt idx="21">
                  <c:v>0.53132395721209646</c:v>
                </c:pt>
                <c:pt idx="22">
                  <c:v>-1.571821032446342</c:v>
                </c:pt>
                <c:pt idx="23">
                  <c:v>#N/A</c:v>
                </c:pt>
                <c:pt idx="24">
                  <c:v>#N/A</c:v>
                </c:pt>
                <c:pt idx="25">
                  <c:v>#N/A</c:v>
                </c:pt>
                <c:pt idx="26">
                  <c:v>2.3881874318286971</c:v>
                </c:pt>
                <c:pt idx="27">
                  <c:v>3.1375306171127635</c:v>
                </c:pt>
                <c:pt idx="28">
                  <c:v>#N/A</c:v>
                </c:pt>
                <c:pt idx="29">
                  <c:v>#N/A</c:v>
                </c:pt>
                <c:pt idx="30">
                  <c:v>#N/A</c:v>
                </c:pt>
                <c:pt idx="31">
                  <c:v>4.5915520595937629</c:v>
                </c:pt>
                <c:pt idx="32">
                  <c:v>3.8644183118561051</c:v>
                </c:pt>
                <c:pt idx="33">
                  <c:v>4.7092801648450253</c:v>
                </c:pt>
                <c:pt idx="34">
                  <c:v>-3.0948110474900283</c:v>
                </c:pt>
                <c:pt idx="35">
                  <c:v>0.78891624628593393</c:v>
                </c:pt>
                <c:pt idx="36">
                  <c:v>#N/A</c:v>
                </c:pt>
                <c:pt idx="37">
                  <c:v>#N/A</c:v>
                </c:pt>
                <c:pt idx="38">
                  <c:v>-8.2138992091278542</c:v>
                </c:pt>
                <c:pt idx="39">
                  <c:v>#N/A</c:v>
                </c:pt>
                <c:pt idx="40">
                  <c:v>#N/A</c:v>
                </c:pt>
                <c:pt idx="41">
                  <c:v>-3.6823126540307705</c:v>
                </c:pt>
                <c:pt idx="42">
                  <c:v>#N/A</c:v>
                </c:pt>
                <c:pt idx="43">
                  <c:v>#N/A</c:v>
                </c:pt>
                <c:pt idx="44">
                  <c:v>7.4720348390499867</c:v>
                </c:pt>
                <c:pt idx="45">
                  <c:v>#N/A</c:v>
                </c:pt>
                <c:pt idx="46">
                  <c:v>#N/A</c:v>
                </c:pt>
                <c:pt idx="47">
                  <c:v>2.5140487336853532</c:v>
                </c:pt>
                <c:pt idx="48">
                  <c:v>#N/A</c:v>
                </c:pt>
                <c:pt idx="49">
                  <c:v>4.1043248148070122</c:v>
                </c:pt>
                <c:pt idx="50">
                  <c:v>#N/A</c:v>
                </c:pt>
                <c:pt idx="51">
                  <c:v>-0.97795169655054348</c:v>
                </c:pt>
                <c:pt idx="52">
                  <c:v>5.3645226847833563</c:v>
                </c:pt>
                <c:pt idx="53">
                  <c:v>#N/A</c:v>
                </c:pt>
                <c:pt idx="54">
                  <c:v>#N/A</c:v>
                </c:pt>
                <c:pt idx="55">
                  <c:v>#N/A</c:v>
                </c:pt>
                <c:pt idx="56">
                  <c:v>1.9309511115841147</c:v>
                </c:pt>
                <c:pt idx="57">
                  <c:v>#N/A</c:v>
                </c:pt>
                <c:pt idx="58">
                  <c:v>#N/A</c:v>
                </c:pt>
                <c:pt idx="59">
                  <c:v>25.352355293624477</c:v>
                </c:pt>
                <c:pt idx="60">
                  <c:v>#N/A</c:v>
                </c:pt>
                <c:pt idx="61">
                  <c:v>#N/A</c:v>
                </c:pt>
                <c:pt idx="62">
                  <c:v>#N/A</c:v>
                </c:pt>
                <c:pt idx="63">
                  <c:v>16.597688795659906</c:v>
                </c:pt>
                <c:pt idx="64">
                  <c:v>16.515928712884108</c:v>
                </c:pt>
                <c:pt idx="65">
                  <c:v>13.203312400057756</c:v>
                </c:pt>
                <c:pt idx="66">
                  <c:v>19.289627143601709</c:v>
                </c:pt>
                <c:pt idx="67">
                  <c:v>19.033056665541746</c:v>
                </c:pt>
                <c:pt idx="68">
                  <c:v>15.707298460481789</c:v>
                </c:pt>
                <c:pt idx="69">
                  <c:v>#N/A</c:v>
                </c:pt>
                <c:pt idx="70">
                  <c:v>#N/A</c:v>
                </c:pt>
                <c:pt idx="71">
                  <c:v>11.100317346629659</c:v>
                </c:pt>
                <c:pt idx="72">
                  <c:v>#N/A</c:v>
                </c:pt>
                <c:pt idx="73">
                  <c:v>#N/A</c:v>
                </c:pt>
                <c:pt idx="74">
                  <c:v>16.540976308170244</c:v>
                </c:pt>
                <c:pt idx="75">
                  <c:v>#N/A</c:v>
                </c:pt>
                <c:pt idx="76">
                  <c:v>#N/A</c:v>
                </c:pt>
                <c:pt idx="77">
                  <c:v>12.621624199762062</c:v>
                </c:pt>
                <c:pt idx="78">
                  <c:v>#N/A</c:v>
                </c:pt>
                <c:pt idx="79">
                  <c:v>#N/A</c:v>
                </c:pt>
                <c:pt idx="80">
                  <c:v>25.322697016273306</c:v>
                </c:pt>
                <c:pt idx="81">
                  <c:v>#N/A</c:v>
                </c:pt>
                <c:pt idx="82">
                  <c:v>#N/A</c:v>
                </c:pt>
                <c:pt idx="83">
                  <c:v>#N/A</c:v>
                </c:pt>
                <c:pt idx="84">
                  <c:v>#N/A</c:v>
                </c:pt>
                <c:pt idx="85">
                  <c:v>#N/A</c:v>
                </c:pt>
                <c:pt idx="86">
                  <c:v>19.275343482308465</c:v>
                </c:pt>
                <c:pt idx="87">
                  <c:v>23.062925324887381</c:v>
                </c:pt>
                <c:pt idx="88">
                  <c:v>19.635390140975865</c:v>
                </c:pt>
                <c:pt idx="89">
                  <c:v>#N/A</c:v>
                </c:pt>
                <c:pt idx="90">
                  <c:v>31.665856664348247</c:v>
                </c:pt>
                <c:pt idx="91">
                  <c:v>34.161198461923846</c:v>
                </c:pt>
                <c:pt idx="92">
                  <c:v>28.583288244239917</c:v>
                </c:pt>
                <c:pt idx="93">
                  <c:v>#N/A</c:v>
                </c:pt>
                <c:pt idx="94">
                  <c:v>26.501091310278941</c:v>
                </c:pt>
                <c:pt idx="95">
                  <c:v>29.895118457910893</c:v>
                </c:pt>
                <c:pt idx="96">
                  <c:v>#N/A</c:v>
                </c:pt>
                <c:pt idx="97">
                  <c:v>37.477861207720551</c:v>
                </c:pt>
              </c:numCache>
            </c:numRef>
          </c:xVal>
          <c:yVal>
            <c:numRef>
              <c:f>'2. Enter Step Details'!plotrange_PNG_All_Y</c:f>
              <c:numCache>
                <c:formatCode>0.00</c:formatCode>
                <c:ptCount val="98"/>
                <c:pt idx="0">
                  <c:v>#N/A</c:v>
                </c:pt>
                <c:pt idx="1">
                  <c:v>#N/A</c:v>
                </c:pt>
                <c:pt idx="2">
                  <c:v>33.401144815982704</c:v>
                </c:pt>
                <c:pt idx="3">
                  <c:v>#N/A</c:v>
                </c:pt>
                <c:pt idx="4">
                  <c:v>#N/A</c:v>
                </c:pt>
                <c:pt idx="5">
                  <c:v>18.923675503501165</c:v>
                </c:pt>
                <c:pt idx="6">
                  <c:v>#N/A</c:v>
                </c:pt>
                <c:pt idx="7">
                  <c:v>#N/A</c:v>
                </c:pt>
                <c:pt idx="8">
                  <c:v>12.997984013490795</c:v>
                </c:pt>
                <c:pt idx="9">
                  <c:v>#N/A</c:v>
                </c:pt>
                <c:pt idx="10">
                  <c:v>#N/A</c:v>
                </c:pt>
                <c:pt idx="11">
                  <c:v>28.553199270376069</c:v>
                </c:pt>
                <c:pt idx="12">
                  <c:v>#N/A</c:v>
                </c:pt>
                <c:pt idx="13">
                  <c:v>#N/A</c:v>
                </c:pt>
                <c:pt idx="14">
                  <c:v>29.074212703146806</c:v>
                </c:pt>
                <c:pt idx="15">
                  <c:v>23.62796102157942</c:v>
                </c:pt>
                <c:pt idx="16">
                  <c:v>21.182866096260693</c:v>
                </c:pt>
                <c:pt idx="17">
                  <c:v>20.368995765321468</c:v>
                </c:pt>
                <c:pt idx="18">
                  <c:v>20.515367174986299</c:v>
                </c:pt>
                <c:pt idx="19">
                  <c:v>17.628095706767041</c:v>
                </c:pt>
                <c:pt idx="20">
                  <c:v>24.893184297510931</c:v>
                </c:pt>
                <c:pt idx="21">
                  <c:v>25.453402857169742</c:v>
                </c:pt>
                <c:pt idx="22">
                  <c:v>18.503500182255294</c:v>
                </c:pt>
                <c:pt idx="23">
                  <c:v>#N/A</c:v>
                </c:pt>
                <c:pt idx="24">
                  <c:v>#N/A</c:v>
                </c:pt>
                <c:pt idx="25">
                  <c:v>#N/A</c:v>
                </c:pt>
                <c:pt idx="26">
                  <c:v>17.908892311287456</c:v>
                </c:pt>
                <c:pt idx="27">
                  <c:v>24.94999038313842</c:v>
                </c:pt>
                <c:pt idx="28">
                  <c:v>#N/A</c:v>
                </c:pt>
                <c:pt idx="29">
                  <c:v>#N/A</c:v>
                </c:pt>
                <c:pt idx="30">
                  <c:v>#N/A</c:v>
                </c:pt>
                <c:pt idx="31">
                  <c:v>22.728136909564732</c:v>
                </c:pt>
                <c:pt idx="32">
                  <c:v>18.840226240506983</c:v>
                </c:pt>
                <c:pt idx="33">
                  <c:v>20.57489267147923</c:v>
                </c:pt>
                <c:pt idx="34">
                  <c:v>22.708378752413747</c:v>
                </c:pt>
                <c:pt idx="35">
                  <c:v>21.555431875630404</c:v>
                </c:pt>
                <c:pt idx="36">
                  <c:v>#N/A</c:v>
                </c:pt>
                <c:pt idx="37">
                  <c:v>#N/A</c:v>
                </c:pt>
                <c:pt idx="38">
                  <c:v>4.4543084341448207</c:v>
                </c:pt>
                <c:pt idx="39">
                  <c:v>#N/A</c:v>
                </c:pt>
                <c:pt idx="40">
                  <c:v>#N/A</c:v>
                </c:pt>
                <c:pt idx="41">
                  <c:v>-0.26288531328701153</c:v>
                </c:pt>
                <c:pt idx="42">
                  <c:v>#N/A</c:v>
                </c:pt>
                <c:pt idx="43">
                  <c:v>#N/A</c:v>
                </c:pt>
                <c:pt idx="44">
                  <c:v>13.041884212556132</c:v>
                </c:pt>
                <c:pt idx="45">
                  <c:v>#N/A</c:v>
                </c:pt>
                <c:pt idx="46">
                  <c:v>#N/A</c:v>
                </c:pt>
                <c:pt idx="47">
                  <c:v>-1.5931382791618636</c:v>
                </c:pt>
                <c:pt idx="48">
                  <c:v>#N/A</c:v>
                </c:pt>
                <c:pt idx="49">
                  <c:v>5.1932905357454375</c:v>
                </c:pt>
                <c:pt idx="50">
                  <c:v>#N/A</c:v>
                </c:pt>
                <c:pt idx="51">
                  <c:v>9.3860076454015413</c:v>
                </c:pt>
                <c:pt idx="52">
                  <c:v>7.1674456721073909</c:v>
                </c:pt>
                <c:pt idx="53">
                  <c:v>#N/A</c:v>
                </c:pt>
                <c:pt idx="54">
                  <c:v>#N/A</c:v>
                </c:pt>
                <c:pt idx="55">
                  <c:v>#N/A</c:v>
                </c:pt>
                <c:pt idx="56">
                  <c:v>7.9388892826190514</c:v>
                </c:pt>
                <c:pt idx="57">
                  <c:v>#N/A</c:v>
                </c:pt>
                <c:pt idx="58">
                  <c:v>#N/A</c:v>
                </c:pt>
                <c:pt idx="59">
                  <c:v>16.489331629258427</c:v>
                </c:pt>
                <c:pt idx="60">
                  <c:v>#N/A</c:v>
                </c:pt>
                <c:pt idx="61">
                  <c:v>#N/A</c:v>
                </c:pt>
                <c:pt idx="62">
                  <c:v>#N/A</c:v>
                </c:pt>
                <c:pt idx="63">
                  <c:v>13.877071183519517</c:v>
                </c:pt>
                <c:pt idx="64">
                  <c:v>6.9953352782779588</c:v>
                </c:pt>
                <c:pt idx="65">
                  <c:v>8.065310331078777</c:v>
                </c:pt>
                <c:pt idx="66">
                  <c:v>8.8042496952735227</c:v>
                </c:pt>
                <c:pt idx="67">
                  <c:v>12.355561868808731</c:v>
                </c:pt>
                <c:pt idx="68">
                  <c:v>10.348961867752488</c:v>
                </c:pt>
                <c:pt idx="69">
                  <c:v>#N/A</c:v>
                </c:pt>
                <c:pt idx="70">
                  <c:v>#N/A</c:v>
                </c:pt>
                <c:pt idx="71">
                  <c:v>-6.6784151202300235</c:v>
                </c:pt>
                <c:pt idx="72">
                  <c:v>#N/A</c:v>
                </c:pt>
                <c:pt idx="73">
                  <c:v>#N/A</c:v>
                </c:pt>
                <c:pt idx="74">
                  <c:v>-12.258696578159528</c:v>
                </c:pt>
                <c:pt idx="75">
                  <c:v>#N/A</c:v>
                </c:pt>
                <c:pt idx="76">
                  <c:v>#N/A</c:v>
                </c:pt>
                <c:pt idx="77">
                  <c:v>1.4198616275470548</c:v>
                </c:pt>
                <c:pt idx="78">
                  <c:v>#N/A</c:v>
                </c:pt>
                <c:pt idx="79">
                  <c:v>#N/A</c:v>
                </c:pt>
                <c:pt idx="80">
                  <c:v>-10.244621761858062</c:v>
                </c:pt>
                <c:pt idx="81">
                  <c:v>#N/A</c:v>
                </c:pt>
                <c:pt idx="82">
                  <c:v>#N/A</c:v>
                </c:pt>
                <c:pt idx="83">
                  <c:v>#N/A</c:v>
                </c:pt>
                <c:pt idx="84">
                  <c:v>#N/A</c:v>
                </c:pt>
                <c:pt idx="85">
                  <c:v>#N/A</c:v>
                </c:pt>
                <c:pt idx="86">
                  <c:v>-4.3446498380520522</c:v>
                </c:pt>
                <c:pt idx="87">
                  <c:v>-1.4984424713521245</c:v>
                </c:pt>
                <c:pt idx="88">
                  <c:v>-1.0304434005151315</c:v>
                </c:pt>
                <c:pt idx="89">
                  <c:v>#N/A</c:v>
                </c:pt>
                <c:pt idx="90">
                  <c:v>0.21248734295897476</c:v>
                </c:pt>
                <c:pt idx="91">
                  <c:v>2.7979615120406574</c:v>
                </c:pt>
                <c:pt idx="92">
                  <c:v>0.73708046857326692</c:v>
                </c:pt>
                <c:pt idx="93">
                  <c:v>#N/A</c:v>
                </c:pt>
                <c:pt idx="94">
                  <c:v>6.5085732642133696</c:v>
                </c:pt>
                <c:pt idx="95">
                  <c:v>4.5668200309955704</c:v>
                </c:pt>
                <c:pt idx="96">
                  <c:v>#N/A</c:v>
                </c:pt>
                <c:pt idx="97">
                  <c:v>10.531682026520127</c:v>
                </c:pt>
              </c:numCache>
            </c:numRef>
          </c:yVal>
          <c:smooth val="0"/>
          <c:extLst>
            <c:ext xmlns:c15="http://schemas.microsoft.com/office/drawing/2012/chart" uri="{02D57815-91ED-43cb-92C2-25804820EDAC}">
              <c15:datalabelsRange>
                <c15:f>'2. Enter Step Details'!plotrange_PNG_Display_Name_Labels</c15:f>
                <c15:dlblRangeCache>
                  <c:ptCount val="98"/>
                  <c:pt idx="0">
                    <c:v>reagent A (organic)</c:v>
                  </c:pt>
                  <c:pt idx="1">
                    <c:v>acetonitrile</c:v>
                  </c:pt>
                  <c:pt idx="2">
                    <c:v>5 wt% reagent A (organic) in acetonitrile</c:v>
                  </c:pt>
                  <c:pt idx="3">
                    <c:v>reagent B (inorganic)</c:v>
                  </c:pt>
                  <c:pt idx="4">
                    <c:v>water</c:v>
                  </c:pt>
                  <c:pt idx="5">
                    <c:v>10 wt% reagent B (inorganic) in water</c:v>
                  </c:pt>
                  <c:pt idx="6">
                    <c:v>reagent C (inorganic)</c:v>
                  </c:pt>
                  <c:pt idx="7">
                    <c:v>water</c:v>
                  </c:pt>
                  <c:pt idx="8">
                    <c:v>15 wt% reagent C (inorganic) in water</c:v>
                  </c:pt>
                  <c:pt idx="9">
                    <c:v>nickel</c:v>
                  </c:pt>
                  <c:pt idx="10">
                    <c:v>counterion for nickel salt</c:v>
                  </c:pt>
                  <c:pt idx="11">
                    <c:v>nickel salt</c:v>
                  </c:pt>
                  <c:pt idx="12">
                    <c:v>HCl</c:v>
                  </c:pt>
                  <c:pt idx="13">
                    <c:v>water</c:v>
                  </c:pt>
                  <c:pt idx="14">
                    <c:v>6 M HCl (aq)</c:v>
                  </c:pt>
                  <c:pt idx="15">
                    <c:v>reagent D (organic)</c:v>
                  </c:pt>
                  <c:pt idx="16">
                    <c:v>DMF</c:v>
                  </c:pt>
                  <c:pt idx="17">
                    <c:v>20 wt% reagent D (organic) in DMF</c:v>
                  </c:pt>
                  <c:pt idx="18">
                    <c:v>reagent N (organic)</c:v>
                  </c:pt>
                  <c:pt idx="19">
                    <c:v>reagent O (organic)</c:v>
                  </c:pt>
                  <c:pt idx="20">
                    <c:v>reagent P (organic)</c:v>
                  </c:pt>
                  <c:pt idx="21">
                    <c:v>reagent Q (organic)</c:v>
                  </c:pt>
                  <c:pt idx="22">
                    <c:v>reagent R (organic)</c:v>
                  </c:pt>
                  <c:pt idx="23">
                    <c:v>5 wt% reagent A (organic) in acetonitrile</c:v>
                  </c:pt>
                  <c:pt idx="24">
                    <c:v>10 wt% reagent B (inorganic) in water</c:v>
                  </c:pt>
                  <c:pt idx="25">
                    <c:v>15 wt% reagent C (inorganic) in water</c:v>
                  </c:pt>
                  <c:pt idx="26">
                    <c:v>acetonitrile</c:v>
                  </c:pt>
                  <c:pt idx="27">
                    <c:v>water</c:v>
                  </c:pt>
                  <c:pt idx="28">
                    <c:v>nickel salt</c:v>
                  </c:pt>
                  <c:pt idx="29">
                    <c:v>20 wt% reagent D (organic) in DMF</c:v>
                  </c:pt>
                  <c:pt idx="30">
                    <c:v>6 M HCl (aq)</c:v>
                  </c:pt>
                  <c:pt idx="31">
                    <c:v>DMF</c:v>
                  </c:pt>
                  <c:pt idx="32">
                    <c:v>toluene</c:v>
                  </c:pt>
                  <c:pt idx="33">
                    <c:v>water</c:v>
                  </c:pt>
                  <c:pt idx="34">
                    <c:v>methanol</c:v>
                  </c:pt>
                  <c:pt idx="35">
                    <c:v>Intermediate (1)</c:v>
                  </c:pt>
                  <c:pt idx="36">
                    <c:v>reagent E (inorganic)</c:v>
                  </c:pt>
                  <c:pt idx="37">
                    <c:v>water</c:v>
                  </c:pt>
                  <c:pt idx="38">
                    <c:v>25 wt% reagent E (inorganic) in water</c:v>
                  </c:pt>
                  <c:pt idx="39">
                    <c:v>reagent F (inorganic)</c:v>
                  </c:pt>
                  <c:pt idx="40">
                    <c:v>water</c:v>
                  </c:pt>
                  <c:pt idx="41">
                    <c:v>30 wt% reagent F (inorganic) in water</c:v>
                  </c:pt>
                  <c:pt idx="42">
                    <c:v>reagent G (inorganic)</c:v>
                  </c:pt>
                  <c:pt idx="43">
                    <c:v>water</c:v>
                  </c:pt>
                  <c:pt idx="44">
                    <c:v>0.1 M reagent G (inorganic) in water</c:v>
                  </c:pt>
                  <c:pt idx="45">
                    <c:v>reagent H (inorganic)</c:v>
                  </c:pt>
                  <c:pt idx="46">
                    <c:v>water</c:v>
                  </c:pt>
                  <c:pt idx="47">
                    <c:v>0.2 M reagent H (inorganic) in water</c:v>
                  </c:pt>
                  <c:pt idx="48">
                    <c:v>Intermediate (1)</c:v>
                  </c:pt>
                  <c:pt idx="49">
                    <c:v>reagent S (organic)</c:v>
                  </c:pt>
                  <c:pt idx="50">
                    <c:v>25 wt% reagent E (inorganic) in water</c:v>
                  </c:pt>
                  <c:pt idx="51">
                    <c:v>DMF</c:v>
                  </c:pt>
                  <c:pt idx="52">
                    <c:v>toluene</c:v>
                  </c:pt>
                  <c:pt idx="53">
                    <c:v>30 wt% reagent F (inorganic) in water</c:v>
                  </c:pt>
                  <c:pt idx="54">
                    <c:v>0.1 M reagent G (inorganic) in water</c:v>
                  </c:pt>
                  <c:pt idx="55">
                    <c:v>0.2 M reagent H (inorganic) in water</c:v>
                  </c:pt>
                  <c:pt idx="56">
                    <c:v>Intermediate (2)</c:v>
                  </c:pt>
                  <c:pt idx="57">
                    <c:v>reagent I (organic)</c:v>
                  </c:pt>
                  <c:pt idx="58">
                    <c:v>DMF</c:v>
                  </c:pt>
                  <c:pt idx="59">
                    <c:v>25 wt% reagent I (organic) in DMF</c:v>
                  </c:pt>
                  <c:pt idx="60">
                    <c:v>Intermediate (2)</c:v>
                  </c:pt>
                  <c:pt idx="61">
                    <c:v>25 wt% reagent I (organic) in DMF</c:v>
                  </c:pt>
                  <c:pt idx="62">
                    <c:v>20 wt% reagent D (organic) in DMF</c:v>
                  </c:pt>
                  <c:pt idx="63">
                    <c:v>reagent T (organic)</c:v>
                  </c:pt>
                  <c:pt idx="64">
                    <c:v>reagent U (organic)</c:v>
                  </c:pt>
                  <c:pt idx="65">
                    <c:v>toluene</c:v>
                  </c:pt>
                  <c:pt idx="66">
                    <c:v>DMF</c:v>
                  </c:pt>
                  <c:pt idx="67">
                    <c:v>water</c:v>
                  </c:pt>
                  <c:pt idx="68">
                    <c:v>Intermediate (3)</c:v>
                  </c:pt>
                  <c:pt idx="69">
                    <c:v>reagent J (inorganic)</c:v>
                  </c:pt>
                  <c:pt idx="70">
                    <c:v>water</c:v>
                  </c:pt>
                  <c:pt idx="71">
                    <c:v>20 wt% reagent J (inorganic) in water</c:v>
                  </c:pt>
                  <c:pt idx="72">
                    <c:v>reagent K (inorganic)</c:v>
                  </c:pt>
                  <c:pt idx="73">
                    <c:v>water</c:v>
                  </c:pt>
                  <c:pt idx="74">
                    <c:v>15 wt% reagent K (inorganic) in water</c:v>
                  </c:pt>
                  <c:pt idx="75">
                    <c:v>reagent L (organic)</c:v>
                  </c:pt>
                  <c:pt idx="76">
                    <c:v>water</c:v>
                  </c:pt>
                  <c:pt idx="77">
                    <c:v>0.3 M reagent L (organic) in water</c:v>
                  </c:pt>
                  <c:pt idx="78">
                    <c:v>reagemt M (organic)</c:v>
                  </c:pt>
                  <c:pt idx="79">
                    <c:v>water</c:v>
                  </c:pt>
                  <c:pt idx="80">
                    <c:v>95 wt% reagent M (organic)</c:v>
                  </c:pt>
                  <c:pt idx="81">
                    <c:v>Intermediate (3)</c:v>
                  </c:pt>
                  <c:pt idx="82">
                    <c:v>20 wt% reagent J (inorganic) in water</c:v>
                  </c:pt>
                  <c:pt idx="83">
                    <c:v>15 wt% reagent K (inorganic) in water</c:v>
                  </c:pt>
                  <c:pt idx="84">
                    <c:v>0.3 M reagent L (organic) in water</c:v>
                  </c:pt>
                  <c:pt idx="85">
                    <c:v>95 wt% reagent M (organic)</c:v>
                  </c:pt>
                  <c:pt idx="86">
                    <c:v>acetonitrile</c:v>
                  </c:pt>
                  <c:pt idx="87">
                    <c:v>water</c:v>
                  </c:pt>
                  <c:pt idx="88">
                    <c:v>Intermediate (4)</c:v>
                  </c:pt>
                  <c:pt idx="89">
                    <c:v>Intermediate (4)</c:v>
                  </c:pt>
                  <c:pt idx="90">
                    <c:v>reagent V (organic)</c:v>
                  </c:pt>
                  <c:pt idx="91">
                    <c:v>methanol</c:v>
                  </c:pt>
                  <c:pt idx="92">
                    <c:v>reagent M (organic)</c:v>
                  </c:pt>
                  <c:pt idx="93">
                    <c:v>Fictional API</c:v>
                  </c:pt>
                  <c:pt idx="94">
                    <c:v>IPA</c:v>
                  </c:pt>
                  <c:pt idx="95">
                    <c:v>Fictional API</c:v>
                  </c:pt>
                  <c:pt idx="96">
                    <c:v>Fictional API</c:v>
                  </c:pt>
                  <c:pt idx="97">
                    <c:v>Packaged Fictional API</c:v>
                  </c:pt>
                </c15:dlblRangeCache>
              </c15:datalabelsRange>
            </c:ext>
            <c:ext xmlns:c16="http://schemas.microsoft.com/office/drawing/2014/chart" uri="{C3380CC4-5D6E-409C-BE32-E72D297353CC}">
              <c16:uniqueId val="{00000019-D4C8-43AE-A6BE-51EE0A2698C0}"/>
            </c:ext>
          </c:extLst>
        </c:ser>
        <c:ser>
          <c:idx val="1"/>
          <c:order val="3"/>
          <c:tx>
            <c:v>Arrows</c:v>
          </c:tx>
          <c:spPr>
            <a:ln w="25400" cap="rnd">
              <a:solidFill>
                <a:schemeClr val="accent2"/>
              </a:solidFill>
              <a:round/>
              <a:headEnd w="lg" len="lg"/>
              <a:tailEnd type="triangle" w="med" len="lg"/>
            </a:ln>
            <a:effectLst/>
          </c:spPr>
          <c:marker>
            <c:symbol val="none"/>
          </c:marker>
          <c:xVal>
            <c:numRef>
              <c:f>'A. Behind-the-scenes'!plotrange_PNG_Arrow_X</c:f>
              <c:numCache>
                <c:formatCode>General</c:formatCode>
                <c:ptCount val="5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14.989868850382683</c:v>
                </c:pt>
                <c:pt idx="62">
                  <c:v>13.394963464056561</c:v>
                </c:pt>
                <c:pt idx="63">
                  <c:v>#N/A</c:v>
                </c:pt>
                <c:pt idx="64">
                  <c:v>#N/A</c:v>
                </c:pt>
                <c:pt idx="65">
                  <c:v>16.833467162144437</c:v>
                </c:pt>
                <c:pt idx="66">
                  <c:v>13.756923670421255</c:v>
                </c:pt>
                <c:pt idx="67">
                  <c:v>#N/A</c:v>
                </c:pt>
                <c:pt idx="68">
                  <c:v>#N/A</c:v>
                </c:pt>
                <c:pt idx="69">
                  <c:v>#N/A</c:v>
                </c:pt>
                <c:pt idx="70">
                  <c:v>#N/A</c:v>
                </c:pt>
                <c:pt idx="71">
                  <c:v>#N/A</c:v>
                </c:pt>
                <c:pt idx="72">
                  <c:v>#N/A</c:v>
                </c:pt>
                <c:pt idx="73">
                  <c:v>-3.0565257888541169</c:v>
                </c:pt>
                <c:pt idx="74">
                  <c:v>1.666378669940773E-2</c:v>
                </c:pt>
                <c:pt idx="75">
                  <c:v>#N/A</c:v>
                </c:pt>
                <c:pt idx="76">
                  <c:v>#N/A</c:v>
                </c:pt>
                <c:pt idx="77">
                  <c:v>0.52648873128632934</c:v>
                </c:pt>
                <c:pt idx="78">
                  <c:v>0.73557859705521045</c:v>
                </c:pt>
                <c:pt idx="79">
                  <c:v>#N/A</c:v>
                </c:pt>
                <c:pt idx="80">
                  <c:v>#N/A</c:v>
                </c:pt>
                <c:pt idx="81">
                  <c:v>-1.4972270301512913</c:v>
                </c:pt>
                <c:pt idx="82">
                  <c:v>0.33684349643523437</c:v>
                </c:pt>
                <c:pt idx="83">
                  <c:v>#N/A</c:v>
                </c:pt>
                <c:pt idx="84">
                  <c:v>#N/A</c:v>
                </c:pt>
                <c:pt idx="85">
                  <c:v>0.53132395721209646</c:v>
                </c:pt>
                <c:pt idx="86">
                  <c:v>0.73616435743385589</c:v>
                </c:pt>
                <c:pt idx="87">
                  <c:v>#N/A</c:v>
                </c:pt>
                <c:pt idx="88">
                  <c:v>#N/A</c:v>
                </c:pt>
                <c:pt idx="89">
                  <c:v>-1.571821032446342</c:v>
                </c:pt>
                <c:pt idx="90">
                  <c:v>0.29944330368484878</c:v>
                </c:pt>
                <c:pt idx="91">
                  <c:v>#N/A</c:v>
                </c:pt>
                <c:pt idx="92">
                  <c:v>2.3275130569467728</c:v>
                </c:pt>
                <c:pt idx="93">
                  <c:v>1.6276396429526658</c:v>
                </c:pt>
                <c:pt idx="94">
                  <c:v>0.88497961773521505</c:v>
                </c:pt>
                <c:pt idx="95">
                  <c:v>#N/A</c:v>
                </c:pt>
                <c:pt idx="96">
                  <c:v>-11.161305606405291</c:v>
                </c:pt>
                <c:pt idx="97">
                  <c:v>-6.1913643958266302</c:v>
                </c:pt>
                <c:pt idx="98">
                  <c:v>7.6991451370390165E-3</c:v>
                </c:pt>
                <c:pt idx="99">
                  <c:v>#N/A</c:v>
                </c:pt>
                <c:pt idx="100">
                  <c:v>-5.6286105276860896</c:v>
                </c:pt>
                <c:pt idx="101">
                  <c:v>-2.7884620254029775</c:v>
                </c:pt>
                <c:pt idx="102">
                  <c:v>0.34023315236400281</c:v>
                </c:pt>
                <c:pt idx="103">
                  <c:v>#N/A</c:v>
                </c:pt>
                <c:pt idx="104">
                  <c:v>#N/A</c:v>
                </c:pt>
                <c:pt idx="105">
                  <c:v>2.3881874318286971</c:v>
                </c:pt>
                <c:pt idx="106">
                  <c:v>1.1102305684340852</c:v>
                </c:pt>
                <c:pt idx="107">
                  <c:v>#N/A</c:v>
                </c:pt>
                <c:pt idx="108">
                  <c:v>#N/A</c:v>
                </c:pt>
                <c:pt idx="109">
                  <c:v>3.1375306171127635</c:v>
                </c:pt>
                <c:pt idx="110">
                  <c:v>1.2440923288592554</c:v>
                </c:pt>
                <c:pt idx="111">
                  <c:v>#N/A</c:v>
                </c:pt>
                <c:pt idx="112">
                  <c:v>-8.5214632532720813</c:v>
                </c:pt>
                <c:pt idx="113">
                  <c:v>-4.7197462987463323</c:v>
                </c:pt>
                <c:pt idx="114">
                  <c:v>0.14496683110908271</c:v>
                </c:pt>
                <c:pt idx="115">
                  <c:v>#N/A</c:v>
                </c:pt>
                <c:pt idx="116">
                  <c:v>12.974140333930144</c:v>
                </c:pt>
                <c:pt idx="117">
                  <c:v>7.8387282032329271</c:v>
                </c:pt>
                <c:pt idx="118">
                  <c:v>1.5857746381838522</c:v>
                </c:pt>
                <c:pt idx="119">
                  <c:v>#N/A</c:v>
                </c:pt>
                <c:pt idx="120">
                  <c:v>10.21150408293698</c:v>
                </c:pt>
                <c:pt idx="121">
                  <c:v>6.4645394019293203</c:v>
                </c:pt>
                <c:pt idx="122">
                  <c:v>1.4284614697843805</c:v>
                </c:pt>
                <c:pt idx="123">
                  <c:v>#N/A</c:v>
                </c:pt>
                <c:pt idx="124">
                  <c:v>#N/A</c:v>
                </c:pt>
                <c:pt idx="125">
                  <c:v>4.5915520595937629</c:v>
                </c:pt>
                <c:pt idx="126">
                  <c:v>1.5533888025696601</c:v>
                </c:pt>
                <c:pt idx="127">
                  <c:v>#N/A</c:v>
                </c:pt>
                <c:pt idx="128">
                  <c:v>#N/A</c:v>
                </c:pt>
                <c:pt idx="129">
                  <c:v>3.8644183118561051</c:v>
                </c:pt>
                <c:pt idx="130">
                  <c:v>1.3886387503385258</c:v>
                </c:pt>
                <c:pt idx="131">
                  <c:v>#N/A</c:v>
                </c:pt>
                <c:pt idx="132">
                  <c:v>#N/A</c:v>
                </c:pt>
                <c:pt idx="133">
                  <c:v>4.7092801648450253</c:v>
                </c:pt>
                <c:pt idx="134">
                  <c:v>1.5650093636577158</c:v>
                </c:pt>
                <c:pt idx="135">
                  <c:v>#N/A</c:v>
                </c:pt>
                <c:pt idx="136">
                  <c:v>#N/A</c:v>
                </c:pt>
                <c:pt idx="137">
                  <c:v>-3.0948110474900283</c:v>
                </c:pt>
                <c:pt idx="138">
                  <c:v>2.1996885770236809E-2</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0.78891624628593393</c:v>
                </c:pt>
                <c:pt idx="193">
                  <c:v>1.3922056955228961</c:v>
                </c:pt>
                <c:pt idx="194">
                  <c:v>1.8611536147537968</c:v>
                </c:pt>
                <c:pt idx="195">
                  <c:v>#N/A</c:v>
                </c:pt>
                <c:pt idx="196">
                  <c:v>#N/A</c:v>
                </c:pt>
                <c:pt idx="197">
                  <c:v>4.1043248148070122</c:v>
                </c:pt>
                <c:pt idx="198">
                  <c:v>2.427481824374575</c:v>
                </c:pt>
                <c:pt idx="199">
                  <c:v>#N/A</c:v>
                </c:pt>
                <c:pt idx="200">
                  <c:v>-8.2138992091278542</c:v>
                </c:pt>
                <c:pt idx="201">
                  <c:v>-3.4192439202003326</c:v>
                </c:pt>
                <c:pt idx="202">
                  <c:v>1.1694316256597679</c:v>
                </c:pt>
                <c:pt idx="203">
                  <c:v>#N/A</c:v>
                </c:pt>
                <c:pt idx="204">
                  <c:v>#N/A</c:v>
                </c:pt>
                <c:pt idx="205">
                  <c:v>-0.97795169655054348</c:v>
                </c:pt>
                <c:pt idx="206">
                  <c:v>1.2146885674889225</c:v>
                </c:pt>
                <c:pt idx="207">
                  <c:v>#N/A</c:v>
                </c:pt>
                <c:pt idx="208">
                  <c:v>#N/A</c:v>
                </c:pt>
                <c:pt idx="209">
                  <c:v>5.3645226847833563</c:v>
                </c:pt>
                <c:pt idx="210">
                  <c:v>2.7114929182562748</c:v>
                </c:pt>
                <c:pt idx="211">
                  <c:v>#N/A</c:v>
                </c:pt>
                <c:pt idx="212">
                  <c:v>-3.6823126540307705</c:v>
                </c:pt>
                <c:pt idx="213">
                  <c:v>-1.2088001923033329</c:v>
                </c:pt>
                <c:pt idx="214">
                  <c:v>1.4566302226428014</c:v>
                </c:pt>
                <c:pt idx="215">
                  <c:v>#N/A</c:v>
                </c:pt>
                <c:pt idx="216">
                  <c:v>7.4720348390499867</c:v>
                </c:pt>
                <c:pt idx="217">
                  <c:v>4.5650884323214136</c:v>
                </c:pt>
                <c:pt idx="218">
                  <c:v>2.4690952137446143</c:v>
                </c:pt>
                <c:pt idx="219">
                  <c:v>#N/A</c:v>
                </c:pt>
                <c:pt idx="220">
                  <c:v>2.5140487336853532</c:v>
                </c:pt>
                <c:pt idx="221">
                  <c:v>2.4760936112858034</c:v>
                </c:pt>
                <c:pt idx="222">
                  <c:v>2.0134784438931481</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1.9309511115841147</c:v>
                </c:pt>
                <c:pt idx="241">
                  <c:v>9.0864820078530322</c:v>
                </c:pt>
                <c:pt idx="242">
                  <c:v>14.931403149896461</c:v>
                </c:pt>
                <c:pt idx="243">
                  <c:v>#N/A</c:v>
                </c:pt>
                <c:pt idx="244">
                  <c:v>25.352355293624477</c:v>
                </c:pt>
                <c:pt idx="245">
                  <c:v>21.555049546461916</c:v>
                </c:pt>
                <c:pt idx="246">
                  <c:v>16.416746835031848</c:v>
                </c:pt>
                <c:pt idx="247">
                  <c:v>#N/A</c:v>
                </c:pt>
                <c:pt idx="248">
                  <c:v>12.974140333930144</c:v>
                </c:pt>
                <c:pt idx="249">
                  <c:v>14.503219595463817</c:v>
                </c:pt>
                <c:pt idx="250">
                  <c:v>15.538102103892001</c:v>
                </c:pt>
                <c:pt idx="251">
                  <c:v>#N/A</c:v>
                </c:pt>
                <c:pt idx="252">
                  <c:v>#N/A</c:v>
                </c:pt>
                <c:pt idx="253">
                  <c:v>16.597688795659906</c:v>
                </c:pt>
                <c:pt idx="254">
                  <c:v>15.90305698667205</c:v>
                </c:pt>
                <c:pt idx="255">
                  <c:v>#N/A</c:v>
                </c:pt>
                <c:pt idx="256">
                  <c:v>#N/A</c:v>
                </c:pt>
                <c:pt idx="257">
                  <c:v>16.515928712884108</c:v>
                </c:pt>
                <c:pt idx="258">
                  <c:v>15.894821150549751</c:v>
                </c:pt>
                <c:pt idx="259">
                  <c:v>#N/A</c:v>
                </c:pt>
                <c:pt idx="260">
                  <c:v>#N/A</c:v>
                </c:pt>
                <c:pt idx="261">
                  <c:v>13.203312400057756</c:v>
                </c:pt>
                <c:pt idx="262">
                  <c:v>15.116204945069693</c:v>
                </c:pt>
                <c:pt idx="263">
                  <c:v>#N/A</c:v>
                </c:pt>
                <c:pt idx="264">
                  <c:v>#N/A</c:v>
                </c:pt>
                <c:pt idx="265">
                  <c:v>19.289627143601709</c:v>
                </c:pt>
                <c:pt idx="266">
                  <c:v>16.441912625928872</c:v>
                </c:pt>
                <c:pt idx="267">
                  <c:v>#N/A</c:v>
                </c:pt>
                <c:pt idx="268">
                  <c:v>#N/A</c:v>
                </c:pt>
                <c:pt idx="269">
                  <c:v>19.033056665541746</c:v>
                </c:pt>
                <c:pt idx="270">
                  <c:v>16.392278020945927</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15.707298460481789</c:v>
                </c:pt>
                <c:pt idx="325">
                  <c:v>18.186176302773106</c:v>
                </c:pt>
                <c:pt idx="326">
                  <c:v>19.433337217170291</c:v>
                </c:pt>
                <c:pt idx="327">
                  <c:v>#N/A</c:v>
                </c:pt>
                <c:pt idx="328">
                  <c:v>11.100317346629659</c:v>
                </c:pt>
                <c:pt idx="329">
                  <c:v>14.913090122881616</c:v>
                </c:pt>
                <c:pt idx="330">
                  <c:v>18.954499019263949</c:v>
                </c:pt>
                <c:pt idx="331">
                  <c:v>#N/A</c:v>
                </c:pt>
                <c:pt idx="332">
                  <c:v>16.540976308170244</c:v>
                </c:pt>
                <c:pt idx="333">
                  <c:v>17.712891685064264</c:v>
                </c:pt>
                <c:pt idx="334">
                  <c:v>19.400773205087685</c:v>
                </c:pt>
                <c:pt idx="335">
                  <c:v>#N/A</c:v>
                </c:pt>
                <c:pt idx="336">
                  <c:v>12.621624199762062</c:v>
                </c:pt>
                <c:pt idx="337">
                  <c:v>16.165899236862185</c:v>
                </c:pt>
                <c:pt idx="338">
                  <c:v>18.914480084705016</c:v>
                </c:pt>
                <c:pt idx="339">
                  <c:v>#N/A</c:v>
                </c:pt>
                <c:pt idx="340">
                  <c:v>25.322697016273306</c:v>
                </c:pt>
                <c:pt idx="341">
                  <c:v>23.062528024329136</c:v>
                </c:pt>
                <c:pt idx="342">
                  <c:v>20.092808427448343</c:v>
                </c:pt>
                <c:pt idx="343">
                  <c:v>#N/A</c:v>
                </c:pt>
                <c:pt idx="344">
                  <c:v>#N/A</c:v>
                </c:pt>
                <c:pt idx="345">
                  <c:v>19.275343482308465</c:v>
                </c:pt>
                <c:pt idx="346">
                  <c:v>19.548988611188474</c:v>
                </c:pt>
                <c:pt idx="347">
                  <c:v>#N/A</c:v>
                </c:pt>
                <c:pt idx="348">
                  <c:v>#N/A</c:v>
                </c:pt>
                <c:pt idx="349">
                  <c:v>23.062925324887381</c:v>
                </c:pt>
                <c:pt idx="350">
                  <c:v>20.428035442822686</c:v>
                </c:pt>
                <c:pt idx="351">
                  <c:v>#N/A</c:v>
                </c:pt>
                <c:pt idx="352">
                  <c:v>#N/A</c:v>
                </c:pt>
                <c:pt idx="353">
                  <c:v>#N/A</c:v>
                </c:pt>
                <c:pt idx="354">
                  <c:v>#N/A</c:v>
                </c:pt>
                <c:pt idx="355">
                  <c:v>#N/A</c:v>
                </c:pt>
                <c:pt idx="356">
                  <c:v>19.635390140975865</c:v>
                </c:pt>
                <c:pt idx="357">
                  <c:v>24.339733153236988</c:v>
                </c:pt>
                <c:pt idx="358">
                  <c:v>29.158894591603719</c:v>
                </c:pt>
                <c:pt idx="359">
                  <c:v>#N/A</c:v>
                </c:pt>
                <c:pt idx="360">
                  <c:v>#N/A</c:v>
                </c:pt>
                <c:pt idx="361">
                  <c:v>31.665856664348247</c:v>
                </c:pt>
                <c:pt idx="362">
                  <c:v>30.196481643316151</c:v>
                </c:pt>
                <c:pt idx="363">
                  <c:v>#N/A</c:v>
                </c:pt>
                <c:pt idx="364">
                  <c:v>#N/A</c:v>
                </c:pt>
                <c:pt idx="365">
                  <c:v>34.161198461923846</c:v>
                </c:pt>
                <c:pt idx="366">
                  <c:v>30.634112389124816</c:v>
                </c:pt>
                <c:pt idx="367">
                  <c:v>#N/A</c:v>
                </c:pt>
                <c:pt idx="368">
                  <c:v>#N/A</c:v>
                </c:pt>
                <c:pt idx="369">
                  <c:v>28.583288244239917</c:v>
                </c:pt>
                <c:pt idx="370">
                  <c:v>29.635875337277696</c:v>
                </c:pt>
                <c:pt idx="371">
                  <c:v>#N/A</c:v>
                </c:pt>
                <c:pt idx="372">
                  <c:v>29.895118457910893</c:v>
                </c:pt>
                <c:pt idx="373">
                  <c:v>28.851410138015801</c:v>
                </c:pt>
                <c:pt idx="374">
                  <c:v>29.683037020388905</c:v>
                </c:pt>
                <c:pt idx="375">
                  <c:v>#N/A</c:v>
                </c:pt>
                <c:pt idx="376">
                  <c:v>#N/A</c:v>
                </c:pt>
                <c:pt idx="377">
                  <c:v>26.501091310278941</c:v>
                </c:pt>
                <c:pt idx="378">
                  <c:v>29.200727545311704</c:v>
                </c:pt>
                <c:pt idx="379">
                  <c:v>#N/A</c:v>
                </c:pt>
                <c:pt idx="380">
                  <c:v>#N/A</c:v>
                </c:pt>
                <c:pt idx="381">
                  <c:v>#N/A</c:v>
                </c:pt>
                <c:pt idx="382">
                  <c:v>#N/A</c:v>
                </c:pt>
                <c:pt idx="383">
                  <c:v>#N/A</c:v>
                </c:pt>
                <c:pt idx="384">
                  <c:v>29.895118457910893</c:v>
                </c:pt>
                <c:pt idx="385">
                  <c:v>34.095068972658638</c:v>
                </c:pt>
                <c:pt idx="386">
                  <c:v>36.820439040220258</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numCache>
            </c:numRef>
          </c:xVal>
          <c:yVal>
            <c:numRef>
              <c:f>'A. Behind-the-scenes'!plotrange_PNG_Arrow_Y</c:f>
              <c:numCache>
                <c:formatCode>General</c:formatCode>
                <c:ptCount val="5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23.62796102157942</c:v>
                </c:pt>
                <c:pt idx="62">
                  <c:v>21.049369113675596</c:v>
                </c:pt>
                <c:pt idx="63">
                  <c:v>#N/A</c:v>
                </c:pt>
                <c:pt idx="64">
                  <c:v>#N/A</c:v>
                </c:pt>
                <c:pt idx="65">
                  <c:v>21.182866096260693</c:v>
                </c:pt>
                <c:pt idx="66">
                  <c:v>20.534072257021059</c:v>
                </c:pt>
                <c:pt idx="67">
                  <c:v>#N/A</c:v>
                </c:pt>
                <c:pt idx="68">
                  <c:v>#N/A</c:v>
                </c:pt>
                <c:pt idx="69">
                  <c:v>#N/A</c:v>
                </c:pt>
                <c:pt idx="70">
                  <c:v>#N/A</c:v>
                </c:pt>
                <c:pt idx="71">
                  <c:v>#N/A</c:v>
                </c:pt>
                <c:pt idx="72">
                  <c:v>#N/A</c:v>
                </c:pt>
                <c:pt idx="73">
                  <c:v>20.515367174986299</c:v>
                </c:pt>
                <c:pt idx="74">
                  <c:v>21.346563164085183</c:v>
                </c:pt>
                <c:pt idx="75">
                  <c:v>#N/A</c:v>
                </c:pt>
                <c:pt idx="76">
                  <c:v>#N/A</c:v>
                </c:pt>
                <c:pt idx="77">
                  <c:v>17.628095706767041</c:v>
                </c:pt>
                <c:pt idx="78">
                  <c:v>20.757211921498374</c:v>
                </c:pt>
                <c:pt idx="79">
                  <c:v>#N/A</c:v>
                </c:pt>
                <c:pt idx="80">
                  <c:v>#N/A</c:v>
                </c:pt>
                <c:pt idx="81">
                  <c:v>24.893184297510931</c:v>
                </c:pt>
                <c:pt idx="82">
                  <c:v>22.215454775871319</c:v>
                </c:pt>
                <c:pt idx="83">
                  <c:v>#N/A</c:v>
                </c:pt>
                <c:pt idx="84">
                  <c:v>#N/A</c:v>
                </c:pt>
                <c:pt idx="85">
                  <c:v>25.453402857169742</c:v>
                </c:pt>
                <c:pt idx="86">
                  <c:v>22.353690754830971</c:v>
                </c:pt>
                <c:pt idx="87">
                  <c:v>#N/A</c:v>
                </c:pt>
                <c:pt idx="88">
                  <c:v>#N/A</c:v>
                </c:pt>
                <c:pt idx="89">
                  <c:v>18.503500182255294</c:v>
                </c:pt>
                <c:pt idx="90">
                  <c:v>20.922647363761289</c:v>
                </c:pt>
                <c:pt idx="91">
                  <c:v>#N/A</c:v>
                </c:pt>
                <c:pt idx="92">
                  <c:v>33.401144815982704</c:v>
                </c:pt>
                <c:pt idx="93">
                  <c:v>28.489643278804142</c:v>
                </c:pt>
                <c:pt idx="94">
                  <c:v>22.349643326483257</c:v>
                </c:pt>
                <c:pt idx="95">
                  <c:v>#N/A</c:v>
                </c:pt>
                <c:pt idx="96">
                  <c:v>18.923675503501165</c:v>
                </c:pt>
                <c:pt idx="97">
                  <c:v>20.015582634271116</c:v>
                </c:pt>
                <c:pt idx="98">
                  <c:v>21.383095457910532</c:v>
                </c:pt>
                <c:pt idx="99">
                  <c:v>#N/A</c:v>
                </c:pt>
                <c:pt idx="100">
                  <c:v>12.997984013490795</c:v>
                </c:pt>
                <c:pt idx="101">
                  <c:v>16.274618745969242</c:v>
                </c:pt>
                <c:pt idx="102">
                  <c:v>20.893100024343873</c:v>
                </c:pt>
                <c:pt idx="103">
                  <c:v>#N/A</c:v>
                </c:pt>
                <c:pt idx="104">
                  <c:v>#N/A</c:v>
                </c:pt>
                <c:pt idx="105">
                  <c:v>17.908892311287456</c:v>
                </c:pt>
                <c:pt idx="106">
                  <c:v>20.822794785126195</c:v>
                </c:pt>
                <c:pt idx="107">
                  <c:v>#N/A</c:v>
                </c:pt>
                <c:pt idx="108">
                  <c:v>#N/A</c:v>
                </c:pt>
                <c:pt idx="109">
                  <c:v>24.94999038313842</c:v>
                </c:pt>
                <c:pt idx="110">
                  <c:v>22.213318441729157</c:v>
                </c:pt>
                <c:pt idx="111">
                  <c:v>#N/A</c:v>
                </c:pt>
                <c:pt idx="112">
                  <c:v>28.553199270376069</c:v>
                </c:pt>
                <c:pt idx="113">
                  <c:v>25.616152446318189</c:v>
                </c:pt>
                <c:pt idx="114">
                  <c:v>22.030120353153709</c:v>
                </c:pt>
                <c:pt idx="115">
                  <c:v>#N/A</c:v>
                </c:pt>
                <c:pt idx="116">
                  <c:v>20.368995765321468</c:v>
                </c:pt>
                <c:pt idx="117">
                  <c:v>20.928809946958452</c:v>
                </c:pt>
                <c:pt idx="118">
                  <c:v>21.484603186091039</c:v>
                </c:pt>
                <c:pt idx="119">
                  <c:v>#N/A</c:v>
                </c:pt>
                <c:pt idx="120">
                  <c:v>29.074212703146806</c:v>
                </c:pt>
                <c:pt idx="121">
                  <c:v>25.820552061494336</c:v>
                </c:pt>
                <c:pt idx="122">
                  <c:v>22.03603764661149</c:v>
                </c:pt>
                <c:pt idx="123">
                  <c:v>#N/A</c:v>
                </c:pt>
                <c:pt idx="124">
                  <c:v>#N/A</c:v>
                </c:pt>
                <c:pt idx="125">
                  <c:v>22.728136909564732</c:v>
                </c:pt>
                <c:pt idx="126">
                  <c:v>21.791189612913882</c:v>
                </c:pt>
                <c:pt idx="127">
                  <c:v>#N/A</c:v>
                </c:pt>
                <c:pt idx="128">
                  <c:v>#N/A</c:v>
                </c:pt>
                <c:pt idx="129">
                  <c:v>18.840226240506983</c:v>
                </c:pt>
                <c:pt idx="130">
                  <c:v>21.02596712880311</c:v>
                </c:pt>
                <c:pt idx="131">
                  <c:v>#N/A</c:v>
                </c:pt>
                <c:pt idx="132">
                  <c:v>#N/A</c:v>
                </c:pt>
                <c:pt idx="133">
                  <c:v>20.57489267147923</c:v>
                </c:pt>
                <c:pt idx="134">
                  <c:v>21.36131986371937</c:v>
                </c:pt>
                <c:pt idx="135">
                  <c:v>#N/A</c:v>
                </c:pt>
                <c:pt idx="136">
                  <c:v>#N/A</c:v>
                </c:pt>
                <c:pt idx="137">
                  <c:v>22.708378752413747</c:v>
                </c:pt>
                <c:pt idx="138">
                  <c:v>21.783104215773413</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21.555431875630404</c:v>
                </c:pt>
                <c:pt idx="193">
                  <c:v>14.090296470094351</c:v>
                </c:pt>
                <c:pt idx="194">
                  <c:v>8.7358386595786062</c:v>
                </c:pt>
                <c:pt idx="195">
                  <c:v>#N/A</c:v>
                </c:pt>
                <c:pt idx="196">
                  <c:v>#N/A</c:v>
                </c:pt>
                <c:pt idx="197">
                  <c:v>5.1932905357454375</c:v>
                </c:pt>
                <c:pt idx="198">
                  <c:v>7.3116275738755663</c:v>
                </c:pt>
                <c:pt idx="199">
                  <c:v>#N/A</c:v>
                </c:pt>
                <c:pt idx="200">
                  <c:v>4.4543084341448207</c:v>
                </c:pt>
                <c:pt idx="201">
                  <c:v>6.2166926735102397</c:v>
                </c:pt>
                <c:pt idx="202">
                  <c:v>7.693760596909855</c:v>
                </c:pt>
                <c:pt idx="203">
                  <c:v>#N/A</c:v>
                </c:pt>
                <c:pt idx="204">
                  <c:v>#N/A</c:v>
                </c:pt>
                <c:pt idx="205">
                  <c:v>9.3860076454015413</c:v>
                </c:pt>
                <c:pt idx="206">
                  <c:v>8.2952149313257966</c:v>
                </c:pt>
                <c:pt idx="207">
                  <c:v>#N/A</c:v>
                </c:pt>
                <c:pt idx="208">
                  <c:v>#N/A</c:v>
                </c:pt>
                <c:pt idx="209">
                  <c:v>7.1674456721073909</c:v>
                </c:pt>
                <c:pt idx="210">
                  <c:v>7.7635197070451785</c:v>
                </c:pt>
                <c:pt idx="211">
                  <c:v>#N/A</c:v>
                </c:pt>
                <c:pt idx="212">
                  <c:v>-0.26288531328701153</c:v>
                </c:pt>
                <c:pt idx="213">
                  <c:v>3.6744950109734074</c:v>
                </c:pt>
                <c:pt idx="214">
                  <c:v>7.2946690607120379</c:v>
                </c:pt>
                <c:pt idx="215">
                  <c:v>#N/A</c:v>
                </c:pt>
                <c:pt idx="216">
                  <c:v>13.041884212556132</c:v>
                </c:pt>
                <c:pt idx="217">
                  <c:v>10.836382638227876</c:v>
                </c:pt>
                <c:pt idx="218">
                  <c:v>8.5308360076795662</c:v>
                </c:pt>
                <c:pt idx="219">
                  <c:v>#N/A</c:v>
                </c:pt>
                <c:pt idx="220">
                  <c:v>-1.5931382791618636</c:v>
                </c:pt>
                <c:pt idx="221">
                  <c:v>2.682603164909243</c:v>
                </c:pt>
                <c:pt idx="222">
                  <c:v>7.1431573934616832</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7.9388892826190514</c:v>
                </c:pt>
                <c:pt idx="241">
                  <c:v>8.685844599987826</c:v>
                </c:pt>
                <c:pt idx="242">
                  <c:v>10.154060695329903</c:v>
                </c:pt>
                <c:pt idx="243">
                  <c:v>#N/A</c:v>
                </c:pt>
                <c:pt idx="244">
                  <c:v>16.489331629258427</c:v>
                </c:pt>
                <c:pt idx="245">
                  <c:v>13.396332918603195</c:v>
                </c:pt>
                <c:pt idx="246">
                  <c:v>10.718668513416695</c:v>
                </c:pt>
                <c:pt idx="247">
                  <c:v>#N/A</c:v>
                </c:pt>
                <c:pt idx="248">
                  <c:v>20.368995765321468</c:v>
                </c:pt>
                <c:pt idx="249">
                  <c:v>15.913343514149426</c:v>
                </c:pt>
                <c:pt idx="250">
                  <c:v>11.130865054161612</c:v>
                </c:pt>
                <c:pt idx="251">
                  <c:v>#N/A</c:v>
                </c:pt>
                <c:pt idx="252">
                  <c:v>#N/A</c:v>
                </c:pt>
                <c:pt idx="253">
                  <c:v>13.877071183519517</c:v>
                </c:pt>
                <c:pt idx="254">
                  <c:v>11.124641311481541</c:v>
                </c:pt>
                <c:pt idx="255">
                  <c:v>#N/A</c:v>
                </c:pt>
                <c:pt idx="256">
                  <c:v>#N/A</c:v>
                </c:pt>
                <c:pt idx="257">
                  <c:v>6.9953352782779588</c:v>
                </c:pt>
                <c:pt idx="258">
                  <c:v>9.5712503269420939</c:v>
                </c:pt>
                <c:pt idx="259">
                  <c:v>#N/A</c:v>
                </c:pt>
                <c:pt idx="260">
                  <c:v>#N/A</c:v>
                </c:pt>
                <c:pt idx="261">
                  <c:v>8.065310331078777</c:v>
                </c:pt>
                <c:pt idx="262">
                  <c:v>9.8098807458072184</c:v>
                </c:pt>
                <c:pt idx="263">
                  <c:v>#N/A</c:v>
                </c:pt>
                <c:pt idx="264">
                  <c:v>#N/A</c:v>
                </c:pt>
                <c:pt idx="265">
                  <c:v>8.8042496952735227</c:v>
                </c:pt>
                <c:pt idx="266">
                  <c:v>10.03219376973048</c:v>
                </c:pt>
                <c:pt idx="267">
                  <c:v>#N/A</c:v>
                </c:pt>
                <c:pt idx="268">
                  <c:v>#N/A</c:v>
                </c:pt>
                <c:pt idx="269">
                  <c:v>12.355561868808731</c:v>
                </c:pt>
                <c:pt idx="270">
                  <c:v>10.762245065749159</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10.348961867752488</c:v>
                </c:pt>
                <c:pt idx="325">
                  <c:v>4.521487294719587</c:v>
                </c:pt>
                <c:pt idx="326">
                  <c:v>-0.2563796977221256</c:v>
                </c:pt>
                <c:pt idx="327">
                  <c:v>#N/A</c:v>
                </c:pt>
                <c:pt idx="328">
                  <c:v>-6.6784151202300235</c:v>
                </c:pt>
                <c:pt idx="329">
                  <c:v>-3.9432358221748629</c:v>
                </c:pt>
                <c:pt idx="330">
                  <c:v>-1.4504282578301164</c:v>
                </c:pt>
                <c:pt idx="331">
                  <c:v>#N/A</c:v>
                </c:pt>
                <c:pt idx="332">
                  <c:v>-12.258696578159528</c:v>
                </c:pt>
                <c:pt idx="333">
                  <c:v>-7.2975608004088315</c:v>
                </c:pt>
                <c:pt idx="334">
                  <c:v>-1.7952668398751188</c:v>
                </c:pt>
                <c:pt idx="335">
                  <c:v>#N/A</c:v>
                </c:pt>
                <c:pt idx="336">
                  <c:v>1.4198616275470548</c:v>
                </c:pt>
                <c:pt idx="337">
                  <c:v>0.63871313994113799</c:v>
                </c:pt>
                <c:pt idx="338">
                  <c:v>-0.68361680008264269</c:v>
                </c:pt>
                <c:pt idx="339">
                  <c:v>#N/A</c:v>
                </c:pt>
                <c:pt idx="340">
                  <c:v>-10.244621761858062</c:v>
                </c:pt>
                <c:pt idx="341">
                  <c:v>-5.9478942708473443</c:v>
                </c:pt>
                <c:pt idx="342">
                  <c:v>-1.6867729756529444</c:v>
                </c:pt>
                <c:pt idx="343">
                  <c:v>#N/A</c:v>
                </c:pt>
                <c:pt idx="344">
                  <c:v>#N/A</c:v>
                </c:pt>
                <c:pt idx="345">
                  <c:v>-4.3446498380520522</c:v>
                </c:pt>
                <c:pt idx="346">
                  <c:v>-1.8257639495080504</c:v>
                </c:pt>
                <c:pt idx="347">
                  <c:v>#N/A</c:v>
                </c:pt>
                <c:pt idx="348">
                  <c:v>#N/A</c:v>
                </c:pt>
                <c:pt idx="349">
                  <c:v>-1.4984424713521245</c:v>
                </c:pt>
                <c:pt idx="350">
                  <c:v>-1.138671980197947</c:v>
                </c:pt>
                <c:pt idx="351">
                  <c:v>#N/A</c:v>
                </c:pt>
                <c:pt idx="352">
                  <c:v>#N/A</c:v>
                </c:pt>
                <c:pt idx="353">
                  <c:v>#N/A</c:v>
                </c:pt>
                <c:pt idx="354">
                  <c:v>#N/A</c:v>
                </c:pt>
                <c:pt idx="355">
                  <c:v>#N/A</c:v>
                </c:pt>
                <c:pt idx="356">
                  <c:v>-1.0304434005151315</c:v>
                </c:pt>
                <c:pt idx="357">
                  <c:v>2.2049247340586113</c:v>
                </c:pt>
                <c:pt idx="358">
                  <c:v>4.2538113750773769</c:v>
                </c:pt>
                <c:pt idx="359">
                  <c:v>#N/A</c:v>
                </c:pt>
                <c:pt idx="360">
                  <c:v>#N/A</c:v>
                </c:pt>
                <c:pt idx="361">
                  <c:v>0.21248734295897476</c:v>
                </c:pt>
                <c:pt idx="362">
                  <c:v>3.8257530768798174</c:v>
                </c:pt>
                <c:pt idx="363">
                  <c:v>#N/A</c:v>
                </c:pt>
                <c:pt idx="364">
                  <c:v>#N/A</c:v>
                </c:pt>
                <c:pt idx="365">
                  <c:v>2.7979615120406574</c:v>
                </c:pt>
                <c:pt idx="366">
                  <c:v>4.2604085925194717</c:v>
                </c:pt>
                <c:pt idx="367">
                  <c:v>#N/A</c:v>
                </c:pt>
                <c:pt idx="368">
                  <c:v>#N/A</c:v>
                </c:pt>
                <c:pt idx="369">
                  <c:v>0.73708046857326692</c:v>
                </c:pt>
                <c:pt idx="370">
                  <c:v>3.8099891354816782</c:v>
                </c:pt>
                <c:pt idx="371">
                  <c:v>#N/A</c:v>
                </c:pt>
                <c:pt idx="372">
                  <c:v>4.5668200309955704</c:v>
                </c:pt>
                <c:pt idx="373">
                  <c:v>8.3629651215714489</c:v>
                </c:pt>
                <c:pt idx="374">
                  <c:v>5.338196374850245</c:v>
                </c:pt>
                <c:pt idx="375">
                  <c:v>#N/A</c:v>
                </c:pt>
                <c:pt idx="376">
                  <c:v>#N/A</c:v>
                </c:pt>
                <c:pt idx="377">
                  <c:v>6.5085732642133696</c:v>
                </c:pt>
                <c:pt idx="378">
                  <c:v>4.9640872716531153</c:v>
                </c:pt>
                <c:pt idx="379">
                  <c:v>#N/A</c:v>
                </c:pt>
                <c:pt idx="380">
                  <c:v>#N/A</c:v>
                </c:pt>
                <c:pt idx="381">
                  <c:v>#N/A</c:v>
                </c:pt>
                <c:pt idx="382">
                  <c:v>#N/A</c:v>
                </c:pt>
                <c:pt idx="383">
                  <c:v>#N/A</c:v>
                </c:pt>
                <c:pt idx="384">
                  <c:v>4.5668200309955704</c:v>
                </c:pt>
                <c:pt idx="385">
                  <c:v>8.1861051547737027</c:v>
                </c:pt>
                <c:pt idx="386">
                  <c:v>10.075835458386489</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numCache>
            </c:numRef>
          </c:yVal>
          <c:smooth val="1"/>
          <c:extLst>
            <c:ext xmlns:c16="http://schemas.microsoft.com/office/drawing/2014/chart" uri="{C3380CC4-5D6E-409C-BE32-E72D297353CC}">
              <c16:uniqueId val="{00000000-D4C8-43AE-A6BE-51EE0A2698C0}"/>
            </c:ext>
          </c:extLst>
        </c:ser>
        <c:dLbls>
          <c:showLegendKey val="0"/>
          <c:showVal val="0"/>
          <c:showCatName val="0"/>
          <c:showSerName val="0"/>
          <c:showPercent val="0"/>
          <c:showBubbleSize val="0"/>
        </c:dLbls>
        <c:axId val="1529101672"/>
        <c:axId val="1529100032"/>
      </c:scatterChart>
      <c:valAx>
        <c:axId val="1529101672"/>
        <c:scaling>
          <c:orientation val="minMax"/>
        </c:scaling>
        <c:delete val="1"/>
        <c:axPos val="b"/>
        <c:numFmt formatCode="0.00" sourceLinked="1"/>
        <c:majorTickMark val="out"/>
        <c:minorTickMark val="none"/>
        <c:tickLblPos val="low"/>
        <c:crossAx val="1529100032"/>
        <c:crosses val="autoZero"/>
        <c:crossBetween val="midCat"/>
      </c:valAx>
      <c:valAx>
        <c:axId val="1529100032"/>
        <c:scaling>
          <c:orientation val="minMax"/>
        </c:scaling>
        <c:delete val="1"/>
        <c:axPos val="l"/>
        <c:numFmt formatCode="0.00" sourceLinked="1"/>
        <c:majorTickMark val="out"/>
        <c:minorTickMark val="none"/>
        <c:tickLblPos val="low"/>
        <c:crossAx val="15291016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r>
              <a:rPr lang="en-US"/>
              <a:t>Breakdown of </a:t>
            </a:r>
          </a:p>
          <a:p>
            <a:pPr algn="l">
              <a:defRPr sz="1440" b="1"/>
            </a:pPr>
            <a:r>
              <a:rPr lang="en-US"/>
              <a:t>COG</a:t>
            </a:r>
          </a:p>
          <a:p>
            <a:pPr algn="l">
              <a:defRPr sz="1440" b="1"/>
            </a:pPr>
            <a:r>
              <a:rPr lang="en-US"/>
              <a:t>by Class</a:t>
            </a:r>
          </a:p>
        </c:rich>
      </c:tx>
      <c:layout>
        <c:manualLayout>
          <c:xMode val="edge"/>
          <c:yMode val="edge"/>
          <c:x val="1.5736862175048669E-3"/>
          <c:y val="0"/>
        </c:manualLayout>
      </c:layout>
      <c:overlay val="0"/>
      <c:spPr>
        <a:noFill/>
        <a:ln>
          <a:noFill/>
        </a:ln>
        <a:effectLst/>
      </c:spPr>
      <c:txPr>
        <a:bodyPr rot="0" spcFirstLastPara="1" vertOverflow="ellipsis" vert="horz" wrap="square" anchor="ctr" anchorCtr="1"/>
        <a:lstStyle/>
        <a:p>
          <a:pPr algn="l">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5150064653380467"/>
          <c:y val="0.11756977092318523"/>
          <c:w val="0.54463735331137131"/>
          <c:h val="0.76855332044051361"/>
        </c:manualLayout>
      </c:layout>
      <c:pieChart>
        <c:varyColors val="1"/>
        <c:ser>
          <c:idx val="0"/>
          <c:order val="0"/>
          <c:tx>
            <c:strRef>
              <c:f>'3. Process Metrics Dashboard'!$X$57</c:f>
              <c:strCache>
                <c:ptCount val="1"/>
              </c:strCache>
            </c:strRef>
          </c:tx>
          <c:spPr>
            <a:ln>
              <a:solidFill>
                <a:sysClr val="windowText" lastClr="000000"/>
              </a:solidFill>
            </a:ln>
          </c:spPr>
          <c:dPt>
            <c:idx val="0"/>
            <c:bubble3D val="0"/>
            <c:spPr>
              <a:solidFill>
                <a:srgbClr val="FF0000"/>
              </a:solidFill>
              <a:ln>
                <a:solidFill>
                  <a:sysClr val="windowText" lastClr="000000"/>
                </a:solidFill>
              </a:ln>
              <a:effectLst/>
            </c:spPr>
            <c:extLst>
              <c:ext xmlns:c16="http://schemas.microsoft.com/office/drawing/2014/chart" uri="{C3380CC4-5D6E-409C-BE32-E72D297353CC}">
                <c16:uniqueId val="{00000001-C179-4EBC-AB19-3E634246E2F2}"/>
              </c:ext>
            </c:extLst>
          </c:dPt>
          <c:dPt>
            <c:idx val="1"/>
            <c:bubble3D val="0"/>
            <c:spPr>
              <a:solidFill>
                <a:srgbClr val="A5A5A5"/>
              </a:solidFill>
              <a:ln>
                <a:solidFill>
                  <a:sysClr val="windowText" lastClr="000000"/>
                </a:solidFill>
              </a:ln>
              <a:effectLst/>
            </c:spPr>
            <c:extLst>
              <c:ext xmlns:c16="http://schemas.microsoft.com/office/drawing/2014/chart" uri="{C3380CC4-5D6E-409C-BE32-E72D297353CC}">
                <c16:uniqueId val="{00000003-C179-4EBC-AB19-3E634246E2F2}"/>
              </c:ext>
            </c:extLst>
          </c:dPt>
          <c:dPt>
            <c:idx val="2"/>
            <c:bubble3D val="0"/>
            <c:spPr>
              <a:solidFill>
                <a:srgbClr val="FFC000"/>
              </a:solidFill>
              <a:ln>
                <a:solidFill>
                  <a:sysClr val="windowText" lastClr="000000"/>
                </a:solidFill>
              </a:ln>
              <a:effectLst/>
            </c:spPr>
            <c:extLst>
              <c:ext xmlns:c16="http://schemas.microsoft.com/office/drawing/2014/chart" uri="{C3380CC4-5D6E-409C-BE32-E72D297353CC}">
                <c16:uniqueId val="{00000005-C179-4EBC-AB19-3E634246E2F2}"/>
              </c:ext>
            </c:extLst>
          </c:dPt>
          <c:dPt>
            <c:idx val="3"/>
            <c:bubble3D val="0"/>
            <c:spPr>
              <a:solidFill>
                <a:srgbClr val="4472C4"/>
              </a:solidFill>
              <a:ln>
                <a:solidFill>
                  <a:sysClr val="windowText" lastClr="000000"/>
                </a:solidFill>
              </a:ln>
              <a:effectLst/>
            </c:spPr>
            <c:extLst>
              <c:ext xmlns:c16="http://schemas.microsoft.com/office/drawing/2014/chart" uri="{C3380CC4-5D6E-409C-BE32-E72D297353CC}">
                <c16:uniqueId val="{00000007-C179-4EBC-AB19-3E634246E2F2}"/>
              </c:ext>
            </c:extLst>
          </c:dPt>
          <c:dPt>
            <c:idx val="4"/>
            <c:bubble3D val="0"/>
            <c:spPr>
              <a:solidFill>
                <a:srgbClr val="92D050"/>
              </a:solidFill>
              <a:ln>
                <a:solidFill>
                  <a:sysClr val="windowText" lastClr="000000"/>
                </a:solidFill>
              </a:ln>
              <a:effectLst/>
            </c:spPr>
            <c:extLst>
              <c:ext xmlns:c16="http://schemas.microsoft.com/office/drawing/2014/chart" uri="{C3380CC4-5D6E-409C-BE32-E72D297353CC}">
                <c16:uniqueId val="{00000009-C179-4EBC-AB19-3E634246E2F2}"/>
              </c:ext>
            </c:extLst>
          </c:dPt>
          <c:dPt>
            <c:idx val="5"/>
            <c:bubble3D val="0"/>
            <c:spPr>
              <a:solidFill>
                <a:sysClr val="window" lastClr="FFFFFF"/>
              </a:solidFill>
              <a:ln>
                <a:solidFill>
                  <a:sysClr val="windowText" lastClr="000000"/>
                </a:solidFill>
              </a:ln>
              <a:effectLst/>
            </c:spPr>
            <c:extLst>
              <c:ext xmlns:c16="http://schemas.microsoft.com/office/drawing/2014/chart" uri="{C3380CC4-5D6E-409C-BE32-E72D297353CC}">
                <c16:uniqueId val="{0000000B-C179-4EBC-AB19-3E634246E2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Process Metrics Dashboard'!$Z$49:$AE$49</c:f>
              <c:strCache>
                <c:ptCount val="6"/>
                <c:pt idx="0">
                  <c:v>Reagent</c:v>
                </c:pt>
                <c:pt idx="1">
                  <c:v>Metal</c:v>
                </c:pt>
                <c:pt idx="2">
                  <c:v>Solvent</c:v>
                </c:pt>
                <c:pt idx="3">
                  <c:v>Water</c:v>
                </c:pt>
                <c:pt idx="4">
                  <c:v>Enzymes &amp; Plant Extracts</c:v>
                </c:pt>
                <c:pt idx="5">
                  <c:v>Other</c:v>
                </c:pt>
              </c:strCache>
            </c:strRef>
          </c:cat>
          <c:val>
            <c:numRef>
              <c:f>'3. Process Metrics Dashboard'!$Z$57:$AE$57</c:f>
              <c:numCache>
                <c:formatCode>General</c:formatCode>
                <c:ptCount val="6"/>
              </c:numCache>
            </c:numRef>
          </c:val>
          <c:extLst>
            <c:ext xmlns:c16="http://schemas.microsoft.com/office/drawing/2014/chart" uri="{C3380CC4-5D6E-409C-BE32-E72D297353CC}">
              <c16:uniqueId val="{0000000C-C179-4EBC-AB19-3E634246E2F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43584928752336488"/>
          <c:w val="0.5642222384691914"/>
          <c:h val="0.559592541045289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13220174723254E-2"/>
          <c:y val="8.2799528398114094E-2"/>
          <c:w val="0.83898642891754749"/>
          <c:h val="0.8477557058486288"/>
        </c:manualLayout>
      </c:layout>
      <c:scatterChart>
        <c:scatterStyle val="lineMarker"/>
        <c:varyColors val="0"/>
        <c:ser>
          <c:idx val="2"/>
          <c:order val="0"/>
          <c:tx>
            <c:v>Process Steps</c:v>
          </c:tx>
          <c:spPr>
            <a:ln w="25400" cap="rnd">
              <a:noFill/>
              <a:round/>
            </a:ln>
            <a:effectLst/>
          </c:spPr>
          <c:marker>
            <c:symbol val="circle"/>
            <c:size val="15"/>
            <c:spPr>
              <a:solidFill>
                <a:schemeClr val="accent1"/>
              </a:solidFill>
              <a:ln w="9525">
                <a:noFill/>
              </a:ln>
              <a:effectLst/>
            </c:spPr>
          </c:marker>
          <c:xVal>
            <c:numRef>
              <c:f>'2. Enter Step Details'!plotrange_PNG_Real_Step_X</c:f>
              <c:numCache>
                <c:formatCode>0.00</c:formatCode>
                <c:ptCount val="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12.974140333930144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0.78891624628593393</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1.9309511115841147</c:v>
                </c:pt>
                <c:pt idx="57">
                  <c:v>#N/A</c:v>
                </c:pt>
                <c:pt idx="58">
                  <c:v>#N/A</c:v>
                </c:pt>
                <c:pt idx="59">
                  <c:v>#N/A</c:v>
                </c:pt>
                <c:pt idx="60">
                  <c:v>#N/A</c:v>
                </c:pt>
                <c:pt idx="61">
                  <c:v>#N/A</c:v>
                </c:pt>
                <c:pt idx="62">
                  <c:v>#N/A</c:v>
                </c:pt>
                <c:pt idx="63">
                  <c:v>#N/A</c:v>
                </c:pt>
                <c:pt idx="64">
                  <c:v>#N/A</c:v>
                </c:pt>
                <c:pt idx="65">
                  <c:v>#N/A</c:v>
                </c:pt>
                <c:pt idx="66">
                  <c:v>#N/A</c:v>
                </c:pt>
                <c:pt idx="67">
                  <c:v>#N/A</c:v>
                </c:pt>
                <c:pt idx="68">
                  <c:v>15.707298460481789</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19.635390140975865</c:v>
                </c:pt>
                <c:pt idx="89">
                  <c:v>#N/A</c:v>
                </c:pt>
                <c:pt idx="90">
                  <c:v>#N/A</c:v>
                </c:pt>
                <c:pt idx="91">
                  <c:v>#N/A</c:v>
                </c:pt>
                <c:pt idx="92">
                  <c:v>#N/A</c:v>
                </c:pt>
                <c:pt idx="93">
                  <c:v>#N/A</c:v>
                </c:pt>
                <c:pt idx="94">
                  <c:v>#N/A</c:v>
                </c:pt>
                <c:pt idx="95">
                  <c:v>29.895118457910893</c:v>
                </c:pt>
                <c:pt idx="96">
                  <c:v>#N/A</c:v>
                </c:pt>
                <c:pt idx="97">
                  <c:v>37.477861207720551</c:v>
                </c:pt>
              </c:numCache>
            </c:numRef>
          </c:xVal>
          <c:yVal>
            <c:numRef>
              <c:f>'2. Enter Step Details'!plotrange_PNG_Real_Step_Y</c:f>
              <c:numCache>
                <c:formatCode>0.00</c:formatCode>
                <c:ptCount val="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20.368995765321468</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21.555431875630404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7.9388892826190514</c:v>
                </c:pt>
                <c:pt idx="57">
                  <c:v>#N/A</c:v>
                </c:pt>
                <c:pt idx="58">
                  <c:v>#N/A</c:v>
                </c:pt>
                <c:pt idx="59">
                  <c:v>#N/A</c:v>
                </c:pt>
                <c:pt idx="60">
                  <c:v>#N/A</c:v>
                </c:pt>
                <c:pt idx="61">
                  <c:v>#N/A</c:v>
                </c:pt>
                <c:pt idx="62">
                  <c:v>#N/A</c:v>
                </c:pt>
                <c:pt idx="63">
                  <c:v>#N/A</c:v>
                </c:pt>
                <c:pt idx="64">
                  <c:v>#N/A</c:v>
                </c:pt>
                <c:pt idx="65">
                  <c:v>#N/A</c:v>
                </c:pt>
                <c:pt idx="66">
                  <c:v>#N/A</c:v>
                </c:pt>
                <c:pt idx="67">
                  <c:v>#N/A</c:v>
                </c:pt>
                <c:pt idx="68">
                  <c:v>10.348961867752488</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-1.0304434005151315</c:v>
                </c:pt>
                <c:pt idx="89">
                  <c:v>#N/A</c:v>
                </c:pt>
                <c:pt idx="90">
                  <c:v>#N/A</c:v>
                </c:pt>
                <c:pt idx="91">
                  <c:v>#N/A</c:v>
                </c:pt>
                <c:pt idx="92">
                  <c:v>#N/A</c:v>
                </c:pt>
                <c:pt idx="93">
                  <c:v>#N/A</c:v>
                </c:pt>
                <c:pt idx="94">
                  <c:v>#N/A</c:v>
                </c:pt>
                <c:pt idx="95">
                  <c:v>4.5668200309955704</c:v>
                </c:pt>
                <c:pt idx="96">
                  <c:v>#N/A</c:v>
                </c:pt>
                <c:pt idx="97">
                  <c:v>10.531682026520127</c:v>
                </c:pt>
              </c:numCache>
            </c:numRef>
          </c:yVal>
          <c:smooth val="0"/>
          <c:extLst>
            <c:ext xmlns:c16="http://schemas.microsoft.com/office/drawing/2014/chart" uri="{C3380CC4-5D6E-409C-BE32-E72D297353CC}">
              <c16:uniqueId val="{00000001-D4C8-43AE-A6BE-51EE0A2698C0}"/>
            </c:ext>
          </c:extLst>
        </c:ser>
        <c:ser>
          <c:idx val="3"/>
          <c:order val="1"/>
          <c:tx>
            <c:v>Raw Materials</c:v>
          </c:tx>
          <c:spPr>
            <a:ln w="25400" cap="rnd">
              <a:noFill/>
              <a:round/>
            </a:ln>
            <a:effectLst/>
          </c:spPr>
          <c:marker>
            <c:symbol val="circle"/>
            <c:size val="7"/>
            <c:spPr>
              <a:solidFill>
                <a:srgbClr val="00B050"/>
              </a:solidFill>
              <a:ln w="9525">
                <a:noFill/>
              </a:ln>
              <a:effectLst/>
            </c:spPr>
          </c:marker>
          <c:xVal>
            <c:numRef>
              <c:f>'2. Enter Step Details'!plotrange_PNG_RM_X</c:f>
              <c:numCache>
                <c:formatCode>0.00</c:formatCode>
                <c:ptCount val="98"/>
                <c:pt idx="0">
                  <c:v>#N/A</c:v>
                </c:pt>
                <c:pt idx="1">
                  <c:v>#N/A</c:v>
                </c:pt>
                <c:pt idx="2">
                  <c:v>2.3275130569467728</c:v>
                </c:pt>
                <c:pt idx="3">
                  <c:v>#N/A</c:v>
                </c:pt>
                <c:pt idx="4">
                  <c:v>#N/A</c:v>
                </c:pt>
                <c:pt idx="5">
                  <c:v>-11.161305606405291</c:v>
                </c:pt>
                <c:pt idx="6">
                  <c:v>#N/A</c:v>
                </c:pt>
                <c:pt idx="7">
                  <c:v>#N/A</c:v>
                </c:pt>
                <c:pt idx="8">
                  <c:v>-5.6286105276860896</c:v>
                </c:pt>
                <c:pt idx="9">
                  <c:v>#N/A</c:v>
                </c:pt>
                <c:pt idx="10">
                  <c:v>#N/A</c:v>
                </c:pt>
                <c:pt idx="11">
                  <c:v>-8.5214632532720813</c:v>
                </c:pt>
                <c:pt idx="12">
                  <c:v>#N/A</c:v>
                </c:pt>
                <c:pt idx="13">
                  <c:v>#N/A</c:v>
                </c:pt>
                <c:pt idx="14">
                  <c:v>10.21150408293698</c:v>
                </c:pt>
                <c:pt idx="15">
                  <c:v>14.989868850382683</c:v>
                </c:pt>
                <c:pt idx="16">
                  <c:v>16.833467162144437</c:v>
                </c:pt>
                <c:pt idx="17">
                  <c:v>#N/A</c:v>
                </c:pt>
                <c:pt idx="18">
                  <c:v>-3.0565257888541169</c:v>
                </c:pt>
                <c:pt idx="19">
                  <c:v>0.52648873128632934</c:v>
                </c:pt>
                <c:pt idx="20">
                  <c:v>-1.4972270301512913</c:v>
                </c:pt>
                <c:pt idx="21">
                  <c:v>0.53132395721209646</c:v>
                </c:pt>
                <c:pt idx="22">
                  <c:v>-1.571821032446342</c:v>
                </c:pt>
                <c:pt idx="23">
                  <c:v>#N/A</c:v>
                </c:pt>
                <c:pt idx="24">
                  <c:v>#N/A</c:v>
                </c:pt>
                <c:pt idx="25">
                  <c:v>#N/A</c:v>
                </c:pt>
                <c:pt idx="26">
                  <c:v>2.3881874318286971</c:v>
                </c:pt>
                <c:pt idx="27">
                  <c:v>3.1375306171127635</c:v>
                </c:pt>
                <c:pt idx="28">
                  <c:v>#N/A</c:v>
                </c:pt>
                <c:pt idx="29">
                  <c:v>#N/A</c:v>
                </c:pt>
                <c:pt idx="30">
                  <c:v>#N/A</c:v>
                </c:pt>
                <c:pt idx="31">
                  <c:v>4.5915520595937629</c:v>
                </c:pt>
                <c:pt idx="32">
                  <c:v>3.8644183118561051</c:v>
                </c:pt>
                <c:pt idx="33">
                  <c:v>4.7092801648450253</c:v>
                </c:pt>
                <c:pt idx="34">
                  <c:v>-3.0948110474900283</c:v>
                </c:pt>
                <c:pt idx="35">
                  <c:v>#N/A</c:v>
                </c:pt>
                <c:pt idx="36">
                  <c:v>#N/A</c:v>
                </c:pt>
                <c:pt idx="37">
                  <c:v>#N/A</c:v>
                </c:pt>
                <c:pt idx="38">
                  <c:v>-8.2138992091278542</c:v>
                </c:pt>
                <c:pt idx="39">
                  <c:v>#N/A</c:v>
                </c:pt>
                <c:pt idx="40">
                  <c:v>#N/A</c:v>
                </c:pt>
                <c:pt idx="41">
                  <c:v>-3.6823126540307705</c:v>
                </c:pt>
                <c:pt idx="42">
                  <c:v>#N/A</c:v>
                </c:pt>
                <c:pt idx="43">
                  <c:v>#N/A</c:v>
                </c:pt>
                <c:pt idx="44">
                  <c:v>7.4720348390499867</c:v>
                </c:pt>
                <c:pt idx="45">
                  <c:v>#N/A</c:v>
                </c:pt>
                <c:pt idx="46">
                  <c:v>#N/A</c:v>
                </c:pt>
                <c:pt idx="47">
                  <c:v>2.5140487336853532</c:v>
                </c:pt>
                <c:pt idx="48">
                  <c:v>#N/A</c:v>
                </c:pt>
                <c:pt idx="49">
                  <c:v>4.1043248148070122</c:v>
                </c:pt>
                <c:pt idx="50">
                  <c:v>#N/A</c:v>
                </c:pt>
                <c:pt idx="51">
                  <c:v>-0.97795169655054348</c:v>
                </c:pt>
                <c:pt idx="52">
                  <c:v>5.3645226847833563</c:v>
                </c:pt>
                <c:pt idx="53">
                  <c:v>#N/A</c:v>
                </c:pt>
                <c:pt idx="54">
                  <c:v>#N/A</c:v>
                </c:pt>
                <c:pt idx="55">
                  <c:v>#N/A</c:v>
                </c:pt>
                <c:pt idx="56">
                  <c:v>#N/A</c:v>
                </c:pt>
                <c:pt idx="57">
                  <c:v>#N/A</c:v>
                </c:pt>
                <c:pt idx="58">
                  <c:v>#N/A</c:v>
                </c:pt>
                <c:pt idx="59">
                  <c:v>25.352355293624477</c:v>
                </c:pt>
                <c:pt idx="60">
                  <c:v>#N/A</c:v>
                </c:pt>
                <c:pt idx="61">
                  <c:v>#N/A</c:v>
                </c:pt>
                <c:pt idx="62">
                  <c:v>#N/A</c:v>
                </c:pt>
                <c:pt idx="63">
                  <c:v>16.597688795659906</c:v>
                </c:pt>
                <c:pt idx="64">
                  <c:v>16.515928712884108</c:v>
                </c:pt>
                <c:pt idx="65">
                  <c:v>13.203312400057756</c:v>
                </c:pt>
                <c:pt idx="66">
                  <c:v>19.289627143601709</c:v>
                </c:pt>
                <c:pt idx="67">
                  <c:v>19.033056665541746</c:v>
                </c:pt>
                <c:pt idx="68">
                  <c:v>#N/A</c:v>
                </c:pt>
                <c:pt idx="69">
                  <c:v>#N/A</c:v>
                </c:pt>
                <c:pt idx="70">
                  <c:v>#N/A</c:v>
                </c:pt>
                <c:pt idx="71">
                  <c:v>11.100317346629659</c:v>
                </c:pt>
                <c:pt idx="72">
                  <c:v>#N/A</c:v>
                </c:pt>
                <c:pt idx="73">
                  <c:v>#N/A</c:v>
                </c:pt>
                <c:pt idx="74">
                  <c:v>16.540976308170244</c:v>
                </c:pt>
                <c:pt idx="75">
                  <c:v>#N/A</c:v>
                </c:pt>
                <c:pt idx="76">
                  <c:v>#N/A</c:v>
                </c:pt>
                <c:pt idx="77">
                  <c:v>12.621624199762062</c:v>
                </c:pt>
                <c:pt idx="78">
                  <c:v>#N/A</c:v>
                </c:pt>
                <c:pt idx="79">
                  <c:v>#N/A</c:v>
                </c:pt>
                <c:pt idx="80">
                  <c:v>25.322697016273306</c:v>
                </c:pt>
                <c:pt idx="81">
                  <c:v>#N/A</c:v>
                </c:pt>
                <c:pt idx="82">
                  <c:v>#N/A</c:v>
                </c:pt>
                <c:pt idx="83">
                  <c:v>#N/A</c:v>
                </c:pt>
                <c:pt idx="84">
                  <c:v>#N/A</c:v>
                </c:pt>
                <c:pt idx="85">
                  <c:v>#N/A</c:v>
                </c:pt>
                <c:pt idx="86">
                  <c:v>19.275343482308465</c:v>
                </c:pt>
                <c:pt idx="87">
                  <c:v>23.062925324887381</c:v>
                </c:pt>
                <c:pt idx="88">
                  <c:v>#N/A</c:v>
                </c:pt>
                <c:pt idx="89">
                  <c:v>#N/A</c:v>
                </c:pt>
                <c:pt idx="90">
                  <c:v>31.665856664348247</c:v>
                </c:pt>
                <c:pt idx="91">
                  <c:v>34.161198461923846</c:v>
                </c:pt>
                <c:pt idx="92">
                  <c:v>28.583288244239917</c:v>
                </c:pt>
                <c:pt idx="93">
                  <c:v>#N/A</c:v>
                </c:pt>
                <c:pt idx="94">
                  <c:v>26.501091310278941</c:v>
                </c:pt>
                <c:pt idx="95">
                  <c:v>#N/A</c:v>
                </c:pt>
                <c:pt idx="96">
                  <c:v>#N/A</c:v>
                </c:pt>
                <c:pt idx="97">
                  <c:v>#N/A</c:v>
                </c:pt>
              </c:numCache>
            </c:numRef>
          </c:xVal>
          <c:yVal>
            <c:numRef>
              <c:f>'2. Enter Step Details'!plotrange_PNG_RM_Y</c:f>
              <c:numCache>
                <c:formatCode>0.00</c:formatCode>
                <c:ptCount val="98"/>
                <c:pt idx="0">
                  <c:v>#N/A</c:v>
                </c:pt>
                <c:pt idx="1">
                  <c:v>#N/A</c:v>
                </c:pt>
                <c:pt idx="2">
                  <c:v>33.401144815982704</c:v>
                </c:pt>
                <c:pt idx="3">
                  <c:v>#N/A</c:v>
                </c:pt>
                <c:pt idx="4">
                  <c:v>#N/A</c:v>
                </c:pt>
                <c:pt idx="5">
                  <c:v>18.923675503501165</c:v>
                </c:pt>
                <c:pt idx="6">
                  <c:v>#N/A</c:v>
                </c:pt>
                <c:pt idx="7">
                  <c:v>#N/A</c:v>
                </c:pt>
                <c:pt idx="8">
                  <c:v>12.997984013490795</c:v>
                </c:pt>
                <c:pt idx="9">
                  <c:v>#N/A</c:v>
                </c:pt>
                <c:pt idx="10">
                  <c:v>#N/A</c:v>
                </c:pt>
                <c:pt idx="11">
                  <c:v>28.553199270376069</c:v>
                </c:pt>
                <c:pt idx="12">
                  <c:v>#N/A</c:v>
                </c:pt>
                <c:pt idx="13">
                  <c:v>#N/A</c:v>
                </c:pt>
                <c:pt idx="14">
                  <c:v>29.074212703146806</c:v>
                </c:pt>
                <c:pt idx="15">
                  <c:v>23.62796102157942</c:v>
                </c:pt>
                <c:pt idx="16">
                  <c:v>21.182866096260693</c:v>
                </c:pt>
                <c:pt idx="17">
                  <c:v>#N/A</c:v>
                </c:pt>
                <c:pt idx="18">
                  <c:v>20.515367174986299</c:v>
                </c:pt>
                <c:pt idx="19">
                  <c:v>17.628095706767041</c:v>
                </c:pt>
                <c:pt idx="20">
                  <c:v>24.893184297510931</c:v>
                </c:pt>
                <c:pt idx="21">
                  <c:v>25.453402857169742</c:v>
                </c:pt>
                <c:pt idx="22">
                  <c:v>18.503500182255294</c:v>
                </c:pt>
                <c:pt idx="23">
                  <c:v>#N/A</c:v>
                </c:pt>
                <c:pt idx="24">
                  <c:v>#N/A</c:v>
                </c:pt>
                <c:pt idx="25">
                  <c:v>#N/A</c:v>
                </c:pt>
                <c:pt idx="26">
                  <c:v>17.908892311287456</c:v>
                </c:pt>
                <c:pt idx="27">
                  <c:v>24.94999038313842</c:v>
                </c:pt>
                <c:pt idx="28">
                  <c:v>#N/A</c:v>
                </c:pt>
                <c:pt idx="29">
                  <c:v>#N/A</c:v>
                </c:pt>
                <c:pt idx="30">
                  <c:v>#N/A</c:v>
                </c:pt>
                <c:pt idx="31">
                  <c:v>22.728136909564732</c:v>
                </c:pt>
                <c:pt idx="32">
                  <c:v>18.840226240506983</c:v>
                </c:pt>
                <c:pt idx="33">
                  <c:v>20.57489267147923</c:v>
                </c:pt>
                <c:pt idx="34">
                  <c:v>22.708378752413747</c:v>
                </c:pt>
                <c:pt idx="35">
                  <c:v>#N/A</c:v>
                </c:pt>
                <c:pt idx="36">
                  <c:v>#N/A</c:v>
                </c:pt>
                <c:pt idx="37">
                  <c:v>#N/A</c:v>
                </c:pt>
                <c:pt idx="38">
                  <c:v>4.4543084341448207</c:v>
                </c:pt>
                <c:pt idx="39">
                  <c:v>#N/A</c:v>
                </c:pt>
                <c:pt idx="40">
                  <c:v>#N/A</c:v>
                </c:pt>
                <c:pt idx="41">
                  <c:v>-0.26288531328701153</c:v>
                </c:pt>
                <c:pt idx="42">
                  <c:v>#N/A</c:v>
                </c:pt>
                <c:pt idx="43">
                  <c:v>#N/A</c:v>
                </c:pt>
                <c:pt idx="44">
                  <c:v>13.041884212556132</c:v>
                </c:pt>
                <c:pt idx="45">
                  <c:v>#N/A</c:v>
                </c:pt>
                <c:pt idx="46">
                  <c:v>#N/A</c:v>
                </c:pt>
                <c:pt idx="47">
                  <c:v>-1.5931382791618636</c:v>
                </c:pt>
                <c:pt idx="48">
                  <c:v>#N/A</c:v>
                </c:pt>
                <c:pt idx="49">
                  <c:v>5.1932905357454375</c:v>
                </c:pt>
                <c:pt idx="50">
                  <c:v>#N/A</c:v>
                </c:pt>
                <c:pt idx="51">
                  <c:v>9.3860076454015413</c:v>
                </c:pt>
                <c:pt idx="52">
                  <c:v>7.1674456721073909</c:v>
                </c:pt>
                <c:pt idx="53">
                  <c:v>#N/A</c:v>
                </c:pt>
                <c:pt idx="54">
                  <c:v>#N/A</c:v>
                </c:pt>
                <c:pt idx="55">
                  <c:v>#N/A</c:v>
                </c:pt>
                <c:pt idx="56">
                  <c:v>#N/A</c:v>
                </c:pt>
                <c:pt idx="57">
                  <c:v>#N/A</c:v>
                </c:pt>
                <c:pt idx="58">
                  <c:v>#N/A</c:v>
                </c:pt>
                <c:pt idx="59">
                  <c:v>16.489331629258427</c:v>
                </c:pt>
                <c:pt idx="60">
                  <c:v>#N/A</c:v>
                </c:pt>
                <c:pt idx="61">
                  <c:v>#N/A</c:v>
                </c:pt>
                <c:pt idx="62">
                  <c:v>#N/A</c:v>
                </c:pt>
                <c:pt idx="63">
                  <c:v>13.877071183519517</c:v>
                </c:pt>
                <c:pt idx="64">
                  <c:v>6.9953352782779588</c:v>
                </c:pt>
                <c:pt idx="65">
                  <c:v>8.065310331078777</c:v>
                </c:pt>
                <c:pt idx="66">
                  <c:v>8.8042496952735227</c:v>
                </c:pt>
                <c:pt idx="67">
                  <c:v>12.355561868808731</c:v>
                </c:pt>
                <c:pt idx="68">
                  <c:v>#N/A</c:v>
                </c:pt>
                <c:pt idx="69">
                  <c:v>#N/A</c:v>
                </c:pt>
                <c:pt idx="70">
                  <c:v>#N/A</c:v>
                </c:pt>
                <c:pt idx="71">
                  <c:v>-6.6784151202300235</c:v>
                </c:pt>
                <c:pt idx="72">
                  <c:v>#N/A</c:v>
                </c:pt>
                <c:pt idx="73">
                  <c:v>#N/A</c:v>
                </c:pt>
                <c:pt idx="74">
                  <c:v>-12.258696578159528</c:v>
                </c:pt>
                <c:pt idx="75">
                  <c:v>#N/A</c:v>
                </c:pt>
                <c:pt idx="76">
                  <c:v>#N/A</c:v>
                </c:pt>
                <c:pt idx="77">
                  <c:v>1.4198616275470548</c:v>
                </c:pt>
                <c:pt idx="78">
                  <c:v>#N/A</c:v>
                </c:pt>
                <c:pt idx="79">
                  <c:v>#N/A</c:v>
                </c:pt>
                <c:pt idx="80">
                  <c:v>-10.244621761858062</c:v>
                </c:pt>
                <c:pt idx="81">
                  <c:v>#N/A</c:v>
                </c:pt>
                <c:pt idx="82">
                  <c:v>#N/A</c:v>
                </c:pt>
                <c:pt idx="83">
                  <c:v>#N/A</c:v>
                </c:pt>
                <c:pt idx="84">
                  <c:v>#N/A</c:v>
                </c:pt>
                <c:pt idx="85">
                  <c:v>#N/A</c:v>
                </c:pt>
                <c:pt idx="86">
                  <c:v>-4.3446498380520522</c:v>
                </c:pt>
                <c:pt idx="87">
                  <c:v>-1.4984424713521245</c:v>
                </c:pt>
                <c:pt idx="88">
                  <c:v>#N/A</c:v>
                </c:pt>
                <c:pt idx="89">
                  <c:v>#N/A</c:v>
                </c:pt>
                <c:pt idx="90">
                  <c:v>0.21248734295897476</c:v>
                </c:pt>
                <c:pt idx="91">
                  <c:v>2.7979615120406574</c:v>
                </c:pt>
                <c:pt idx="92">
                  <c:v>0.73708046857326692</c:v>
                </c:pt>
                <c:pt idx="93">
                  <c:v>#N/A</c:v>
                </c:pt>
                <c:pt idx="94">
                  <c:v>6.5085732642133696</c:v>
                </c:pt>
                <c:pt idx="95">
                  <c:v>#N/A</c:v>
                </c:pt>
                <c:pt idx="96">
                  <c:v>#N/A</c:v>
                </c:pt>
                <c:pt idx="97">
                  <c:v>#N/A</c:v>
                </c:pt>
              </c:numCache>
            </c:numRef>
          </c:yVal>
          <c:smooth val="0"/>
          <c:extLst>
            <c:ext xmlns:c16="http://schemas.microsoft.com/office/drawing/2014/chart" uri="{C3380CC4-5D6E-409C-BE32-E72D297353CC}">
              <c16:uniqueId val="{00000002-D4C8-43AE-A6BE-51EE0A2698C0}"/>
            </c:ext>
          </c:extLst>
        </c:ser>
        <c:ser>
          <c:idx val="0"/>
          <c:order val="2"/>
          <c:tx>
            <c:v>Steps and RMs for Labeling</c:v>
          </c:tx>
          <c:spPr>
            <a:ln w="19050" cap="rnd">
              <a:noFill/>
              <a:round/>
            </a:ln>
            <a:effectLst/>
          </c:spPr>
          <c:marker>
            <c:symbol val="none"/>
          </c:marker>
          <c:xVal>
            <c:numRef>
              <c:f>'2. Enter Step Details'!plotrange_PNG_All_X</c:f>
              <c:numCache>
                <c:formatCode>0.00</c:formatCode>
                <c:ptCount val="98"/>
                <c:pt idx="0">
                  <c:v>#N/A</c:v>
                </c:pt>
                <c:pt idx="1">
                  <c:v>#N/A</c:v>
                </c:pt>
                <c:pt idx="2">
                  <c:v>2.3275130569467728</c:v>
                </c:pt>
                <c:pt idx="3">
                  <c:v>#N/A</c:v>
                </c:pt>
                <c:pt idx="4">
                  <c:v>#N/A</c:v>
                </c:pt>
                <c:pt idx="5">
                  <c:v>-11.161305606405291</c:v>
                </c:pt>
                <c:pt idx="6">
                  <c:v>#N/A</c:v>
                </c:pt>
                <c:pt idx="7">
                  <c:v>#N/A</c:v>
                </c:pt>
                <c:pt idx="8">
                  <c:v>-5.6286105276860896</c:v>
                </c:pt>
                <c:pt idx="9">
                  <c:v>#N/A</c:v>
                </c:pt>
                <c:pt idx="10">
                  <c:v>#N/A</c:v>
                </c:pt>
                <c:pt idx="11">
                  <c:v>-8.5214632532720813</c:v>
                </c:pt>
                <c:pt idx="12">
                  <c:v>#N/A</c:v>
                </c:pt>
                <c:pt idx="13">
                  <c:v>#N/A</c:v>
                </c:pt>
                <c:pt idx="14">
                  <c:v>10.21150408293698</c:v>
                </c:pt>
                <c:pt idx="15">
                  <c:v>14.989868850382683</c:v>
                </c:pt>
                <c:pt idx="16">
                  <c:v>16.833467162144437</c:v>
                </c:pt>
                <c:pt idx="17">
                  <c:v>12.974140333930144</c:v>
                </c:pt>
                <c:pt idx="18">
                  <c:v>-3.0565257888541169</c:v>
                </c:pt>
                <c:pt idx="19">
                  <c:v>0.52648873128632934</c:v>
                </c:pt>
                <c:pt idx="20">
                  <c:v>-1.4972270301512913</c:v>
                </c:pt>
                <c:pt idx="21">
                  <c:v>0.53132395721209646</c:v>
                </c:pt>
                <c:pt idx="22">
                  <c:v>-1.571821032446342</c:v>
                </c:pt>
                <c:pt idx="23">
                  <c:v>#N/A</c:v>
                </c:pt>
                <c:pt idx="24">
                  <c:v>#N/A</c:v>
                </c:pt>
                <c:pt idx="25">
                  <c:v>#N/A</c:v>
                </c:pt>
                <c:pt idx="26">
                  <c:v>2.3881874318286971</c:v>
                </c:pt>
                <c:pt idx="27">
                  <c:v>3.1375306171127635</c:v>
                </c:pt>
                <c:pt idx="28">
                  <c:v>#N/A</c:v>
                </c:pt>
                <c:pt idx="29">
                  <c:v>#N/A</c:v>
                </c:pt>
                <c:pt idx="30">
                  <c:v>#N/A</c:v>
                </c:pt>
                <c:pt idx="31">
                  <c:v>4.5915520595937629</c:v>
                </c:pt>
                <c:pt idx="32">
                  <c:v>3.8644183118561051</c:v>
                </c:pt>
                <c:pt idx="33">
                  <c:v>4.7092801648450253</c:v>
                </c:pt>
                <c:pt idx="34">
                  <c:v>-3.0948110474900283</c:v>
                </c:pt>
                <c:pt idx="35">
                  <c:v>0.78891624628593393</c:v>
                </c:pt>
                <c:pt idx="36">
                  <c:v>#N/A</c:v>
                </c:pt>
                <c:pt idx="37">
                  <c:v>#N/A</c:v>
                </c:pt>
                <c:pt idx="38">
                  <c:v>-8.2138992091278542</c:v>
                </c:pt>
                <c:pt idx="39">
                  <c:v>#N/A</c:v>
                </c:pt>
                <c:pt idx="40">
                  <c:v>#N/A</c:v>
                </c:pt>
                <c:pt idx="41">
                  <c:v>-3.6823126540307705</c:v>
                </c:pt>
                <c:pt idx="42">
                  <c:v>#N/A</c:v>
                </c:pt>
                <c:pt idx="43">
                  <c:v>#N/A</c:v>
                </c:pt>
                <c:pt idx="44">
                  <c:v>7.4720348390499867</c:v>
                </c:pt>
                <c:pt idx="45">
                  <c:v>#N/A</c:v>
                </c:pt>
                <c:pt idx="46">
                  <c:v>#N/A</c:v>
                </c:pt>
                <c:pt idx="47">
                  <c:v>2.5140487336853532</c:v>
                </c:pt>
                <c:pt idx="48">
                  <c:v>#N/A</c:v>
                </c:pt>
                <c:pt idx="49">
                  <c:v>4.1043248148070122</c:v>
                </c:pt>
                <c:pt idx="50">
                  <c:v>#N/A</c:v>
                </c:pt>
                <c:pt idx="51">
                  <c:v>-0.97795169655054348</c:v>
                </c:pt>
                <c:pt idx="52">
                  <c:v>5.3645226847833563</c:v>
                </c:pt>
                <c:pt idx="53">
                  <c:v>#N/A</c:v>
                </c:pt>
                <c:pt idx="54">
                  <c:v>#N/A</c:v>
                </c:pt>
                <c:pt idx="55">
                  <c:v>#N/A</c:v>
                </c:pt>
                <c:pt idx="56">
                  <c:v>1.9309511115841147</c:v>
                </c:pt>
                <c:pt idx="57">
                  <c:v>#N/A</c:v>
                </c:pt>
                <c:pt idx="58">
                  <c:v>#N/A</c:v>
                </c:pt>
                <c:pt idx="59">
                  <c:v>25.352355293624477</c:v>
                </c:pt>
                <c:pt idx="60">
                  <c:v>#N/A</c:v>
                </c:pt>
                <c:pt idx="61">
                  <c:v>#N/A</c:v>
                </c:pt>
                <c:pt idx="62">
                  <c:v>#N/A</c:v>
                </c:pt>
                <c:pt idx="63">
                  <c:v>16.597688795659906</c:v>
                </c:pt>
                <c:pt idx="64">
                  <c:v>16.515928712884108</c:v>
                </c:pt>
                <c:pt idx="65">
                  <c:v>13.203312400057756</c:v>
                </c:pt>
                <c:pt idx="66">
                  <c:v>19.289627143601709</c:v>
                </c:pt>
                <c:pt idx="67">
                  <c:v>19.033056665541746</c:v>
                </c:pt>
                <c:pt idx="68">
                  <c:v>15.707298460481789</c:v>
                </c:pt>
                <c:pt idx="69">
                  <c:v>#N/A</c:v>
                </c:pt>
                <c:pt idx="70">
                  <c:v>#N/A</c:v>
                </c:pt>
                <c:pt idx="71">
                  <c:v>11.100317346629659</c:v>
                </c:pt>
                <c:pt idx="72">
                  <c:v>#N/A</c:v>
                </c:pt>
                <c:pt idx="73">
                  <c:v>#N/A</c:v>
                </c:pt>
                <c:pt idx="74">
                  <c:v>16.540976308170244</c:v>
                </c:pt>
                <c:pt idx="75">
                  <c:v>#N/A</c:v>
                </c:pt>
                <c:pt idx="76">
                  <c:v>#N/A</c:v>
                </c:pt>
                <c:pt idx="77">
                  <c:v>12.621624199762062</c:v>
                </c:pt>
                <c:pt idx="78">
                  <c:v>#N/A</c:v>
                </c:pt>
                <c:pt idx="79">
                  <c:v>#N/A</c:v>
                </c:pt>
                <c:pt idx="80">
                  <c:v>25.322697016273306</c:v>
                </c:pt>
                <c:pt idx="81">
                  <c:v>#N/A</c:v>
                </c:pt>
                <c:pt idx="82">
                  <c:v>#N/A</c:v>
                </c:pt>
                <c:pt idx="83">
                  <c:v>#N/A</c:v>
                </c:pt>
                <c:pt idx="84">
                  <c:v>#N/A</c:v>
                </c:pt>
                <c:pt idx="85">
                  <c:v>#N/A</c:v>
                </c:pt>
                <c:pt idx="86">
                  <c:v>19.275343482308465</c:v>
                </c:pt>
                <c:pt idx="87">
                  <c:v>23.062925324887381</c:v>
                </c:pt>
                <c:pt idx="88">
                  <c:v>19.635390140975865</c:v>
                </c:pt>
                <c:pt idx="89">
                  <c:v>#N/A</c:v>
                </c:pt>
                <c:pt idx="90">
                  <c:v>31.665856664348247</c:v>
                </c:pt>
                <c:pt idx="91">
                  <c:v>34.161198461923846</c:v>
                </c:pt>
                <c:pt idx="92">
                  <c:v>28.583288244239917</c:v>
                </c:pt>
                <c:pt idx="93">
                  <c:v>#N/A</c:v>
                </c:pt>
                <c:pt idx="94">
                  <c:v>26.501091310278941</c:v>
                </c:pt>
                <c:pt idx="95">
                  <c:v>29.895118457910893</c:v>
                </c:pt>
                <c:pt idx="96">
                  <c:v>#N/A</c:v>
                </c:pt>
                <c:pt idx="97">
                  <c:v>37.477861207720551</c:v>
                </c:pt>
              </c:numCache>
            </c:numRef>
          </c:xVal>
          <c:yVal>
            <c:numRef>
              <c:f>'2. Enter Step Details'!plotrange_PNG_All_Y</c:f>
              <c:numCache>
                <c:formatCode>0.00</c:formatCode>
                <c:ptCount val="98"/>
                <c:pt idx="0">
                  <c:v>#N/A</c:v>
                </c:pt>
                <c:pt idx="1">
                  <c:v>#N/A</c:v>
                </c:pt>
                <c:pt idx="2">
                  <c:v>33.401144815982704</c:v>
                </c:pt>
                <c:pt idx="3">
                  <c:v>#N/A</c:v>
                </c:pt>
                <c:pt idx="4">
                  <c:v>#N/A</c:v>
                </c:pt>
                <c:pt idx="5">
                  <c:v>18.923675503501165</c:v>
                </c:pt>
                <c:pt idx="6">
                  <c:v>#N/A</c:v>
                </c:pt>
                <c:pt idx="7">
                  <c:v>#N/A</c:v>
                </c:pt>
                <c:pt idx="8">
                  <c:v>12.997984013490795</c:v>
                </c:pt>
                <c:pt idx="9">
                  <c:v>#N/A</c:v>
                </c:pt>
                <c:pt idx="10">
                  <c:v>#N/A</c:v>
                </c:pt>
                <c:pt idx="11">
                  <c:v>28.553199270376069</c:v>
                </c:pt>
                <c:pt idx="12">
                  <c:v>#N/A</c:v>
                </c:pt>
                <c:pt idx="13">
                  <c:v>#N/A</c:v>
                </c:pt>
                <c:pt idx="14">
                  <c:v>29.074212703146806</c:v>
                </c:pt>
                <c:pt idx="15">
                  <c:v>23.62796102157942</c:v>
                </c:pt>
                <c:pt idx="16">
                  <c:v>21.182866096260693</c:v>
                </c:pt>
                <c:pt idx="17">
                  <c:v>20.368995765321468</c:v>
                </c:pt>
                <c:pt idx="18">
                  <c:v>20.515367174986299</c:v>
                </c:pt>
                <c:pt idx="19">
                  <c:v>17.628095706767041</c:v>
                </c:pt>
                <c:pt idx="20">
                  <c:v>24.893184297510931</c:v>
                </c:pt>
                <c:pt idx="21">
                  <c:v>25.453402857169742</c:v>
                </c:pt>
                <c:pt idx="22">
                  <c:v>18.503500182255294</c:v>
                </c:pt>
                <c:pt idx="23">
                  <c:v>#N/A</c:v>
                </c:pt>
                <c:pt idx="24">
                  <c:v>#N/A</c:v>
                </c:pt>
                <c:pt idx="25">
                  <c:v>#N/A</c:v>
                </c:pt>
                <c:pt idx="26">
                  <c:v>17.908892311287456</c:v>
                </c:pt>
                <c:pt idx="27">
                  <c:v>24.94999038313842</c:v>
                </c:pt>
                <c:pt idx="28">
                  <c:v>#N/A</c:v>
                </c:pt>
                <c:pt idx="29">
                  <c:v>#N/A</c:v>
                </c:pt>
                <c:pt idx="30">
                  <c:v>#N/A</c:v>
                </c:pt>
                <c:pt idx="31">
                  <c:v>22.728136909564732</c:v>
                </c:pt>
                <c:pt idx="32">
                  <c:v>18.840226240506983</c:v>
                </c:pt>
                <c:pt idx="33">
                  <c:v>20.57489267147923</c:v>
                </c:pt>
                <c:pt idx="34">
                  <c:v>22.708378752413747</c:v>
                </c:pt>
                <c:pt idx="35">
                  <c:v>21.555431875630404</c:v>
                </c:pt>
                <c:pt idx="36">
                  <c:v>#N/A</c:v>
                </c:pt>
                <c:pt idx="37">
                  <c:v>#N/A</c:v>
                </c:pt>
                <c:pt idx="38">
                  <c:v>4.4543084341448207</c:v>
                </c:pt>
                <c:pt idx="39">
                  <c:v>#N/A</c:v>
                </c:pt>
                <c:pt idx="40">
                  <c:v>#N/A</c:v>
                </c:pt>
                <c:pt idx="41">
                  <c:v>-0.26288531328701153</c:v>
                </c:pt>
                <c:pt idx="42">
                  <c:v>#N/A</c:v>
                </c:pt>
                <c:pt idx="43">
                  <c:v>#N/A</c:v>
                </c:pt>
                <c:pt idx="44">
                  <c:v>13.041884212556132</c:v>
                </c:pt>
                <c:pt idx="45">
                  <c:v>#N/A</c:v>
                </c:pt>
                <c:pt idx="46">
                  <c:v>#N/A</c:v>
                </c:pt>
                <c:pt idx="47">
                  <c:v>-1.5931382791618636</c:v>
                </c:pt>
                <c:pt idx="48">
                  <c:v>#N/A</c:v>
                </c:pt>
                <c:pt idx="49">
                  <c:v>5.1932905357454375</c:v>
                </c:pt>
                <c:pt idx="50">
                  <c:v>#N/A</c:v>
                </c:pt>
                <c:pt idx="51">
                  <c:v>9.3860076454015413</c:v>
                </c:pt>
                <c:pt idx="52">
                  <c:v>7.1674456721073909</c:v>
                </c:pt>
                <c:pt idx="53">
                  <c:v>#N/A</c:v>
                </c:pt>
                <c:pt idx="54">
                  <c:v>#N/A</c:v>
                </c:pt>
                <c:pt idx="55">
                  <c:v>#N/A</c:v>
                </c:pt>
                <c:pt idx="56">
                  <c:v>7.9388892826190514</c:v>
                </c:pt>
                <c:pt idx="57">
                  <c:v>#N/A</c:v>
                </c:pt>
                <c:pt idx="58">
                  <c:v>#N/A</c:v>
                </c:pt>
                <c:pt idx="59">
                  <c:v>16.489331629258427</c:v>
                </c:pt>
                <c:pt idx="60">
                  <c:v>#N/A</c:v>
                </c:pt>
                <c:pt idx="61">
                  <c:v>#N/A</c:v>
                </c:pt>
                <c:pt idx="62">
                  <c:v>#N/A</c:v>
                </c:pt>
                <c:pt idx="63">
                  <c:v>13.877071183519517</c:v>
                </c:pt>
                <c:pt idx="64">
                  <c:v>6.9953352782779588</c:v>
                </c:pt>
                <c:pt idx="65">
                  <c:v>8.065310331078777</c:v>
                </c:pt>
                <c:pt idx="66">
                  <c:v>8.8042496952735227</c:v>
                </c:pt>
                <c:pt idx="67">
                  <c:v>12.355561868808731</c:v>
                </c:pt>
                <c:pt idx="68">
                  <c:v>10.348961867752488</c:v>
                </c:pt>
                <c:pt idx="69">
                  <c:v>#N/A</c:v>
                </c:pt>
                <c:pt idx="70">
                  <c:v>#N/A</c:v>
                </c:pt>
                <c:pt idx="71">
                  <c:v>-6.6784151202300235</c:v>
                </c:pt>
                <c:pt idx="72">
                  <c:v>#N/A</c:v>
                </c:pt>
                <c:pt idx="73">
                  <c:v>#N/A</c:v>
                </c:pt>
                <c:pt idx="74">
                  <c:v>-12.258696578159528</c:v>
                </c:pt>
                <c:pt idx="75">
                  <c:v>#N/A</c:v>
                </c:pt>
                <c:pt idx="76">
                  <c:v>#N/A</c:v>
                </c:pt>
                <c:pt idx="77">
                  <c:v>1.4198616275470548</c:v>
                </c:pt>
                <c:pt idx="78">
                  <c:v>#N/A</c:v>
                </c:pt>
                <c:pt idx="79">
                  <c:v>#N/A</c:v>
                </c:pt>
                <c:pt idx="80">
                  <c:v>-10.244621761858062</c:v>
                </c:pt>
                <c:pt idx="81">
                  <c:v>#N/A</c:v>
                </c:pt>
                <c:pt idx="82">
                  <c:v>#N/A</c:v>
                </c:pt>
                <c:pt idx="83">
                  <c:v>#N/A</c:v>
                </c:pt>
                <c:pt idx="84">
                  <c:v>#N/A</c:v>
                </c:pt>
                <c:pt idx="85">
                  <c:v>#N/A</c:v>
                </c:pt>
                <c:pt idx="86">
                  <c:v>-4.3446498380520522</c:v>
                </c:pt>
                <c:pt idx="87">
                  <c:v>-1.4984424713521245</c:v>
                </c:pt>
                <c:pt idx="88">
                  <c:v>-1.0304434005151315</c:v>
                </c:pt>
                <c:pt idx="89">
                  <c:v>#N/A</c:v>
                </c:pt>
                <c:pt idx="90">
                  <c:v>0.21248734295897476</c:v>
                </c:pt>
                <c:pt idx="91">
                  <c:v>2.7979615120406574</c:v>
                </c:pt>
                <c:pt idx="92">
                  <c:v>0.73708046857326692</c:v>
                </c:pt>
                <c:pt idx="93">
                  <c:v>#N/A</c:v>
                </c:pt>
                <c:pt idx="94">
                  <c:v>6.5085732642133696</c:v>
                </c:pt>
                <c:pt idx="95">
                  <c:v>4.5668200309955704</c:v>
                </c:pt>
                <c:pt idx="96">
                  <c:v>#N/A</c:v>
                </c:pt>
                <c:pt idx="97">
                  <c:v>10.531682026520127</c:v>
                </c:pt>
              </c:numCache>
            </c:numRef>
          </c:yVal>
          <c:smooth val="0"/>
          <c:extLst>
            <c:ext xmlns:c16="http://schemas.microsoft.com/office/drawing/2014/chart" uri="{C3380CC4-5D6E-409C-BE32-E72D297353CC}">
              <c16:uniqueId val="{00000019-D4C8-43AE-A6BE-51EE0A2698C0}"/>
            </c:ext>
          </c:extLst>
        </c:ser>
        <c:ser>
          <c:idx val="1"/>
          <c:order val="3"/>
          <c:tx>
            <c:v>Arrows</c:v>
          </c:tx>
          <c:spPr>
            <a:ln w="25400" cap="rnd">
              <a:solidFill>
                <a:schemeClr val="accent2"/>
              </a:solidFill>
              <a:round/>
              <a:headEnd w="lg" len="lg"/>
              <a:tailEnd type="triangle" w="med" len="lg"/>
            </a:ln>
            <a:effectLst/>
          </c:spPr>
          <c:marker>
            <c:symbol val="none"/>
          </c:marker>
          <c:dPt>
            <c:idx val="117"/>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3-3374-44E5-ACB0-8A3A1205DEAD}"/>
              </c:ext>
            </c:extLst>
          </c:dPt>
          <c:dPt>
            <c:idx val="118"/>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2-3374-44E5-ACB0-8A3A1205DEAD}"/>
              </c:ext>
            </c:extLst>
          </c:dPt>
          <c:dPt>
            <c:idx val="193"/>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6-3374-44E5-ACB0-8A3A1205DEAD}"/>
              </c:ext>
            </c:extLst>
          </c:dPt>
          <c:dPt>
            <c:idx val="194"/>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7-3374-44E5-ACB0-8A3A1205DEAD}"/>
              </c:ext>
            </c:extLst>
          </c:dPt>
          <c:dPt>
            <c:idx val="241"/>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8-3374-44E5-ACB0-8A3A1205DEAD}"/>
              </c:ext>
            </c:extLst>
          </c:dPt>
          <c:dPt>
            <c:idx val="242"/>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9-3374-44E5-ACB0-8A3A1205DEAD}"/>
              </c:ext>
            </c:extLst>
          </c:dPt>
          <c:dPt>
            <c:idx val="249"/>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4-3374-44E5-ACB0-8A3A1205DEAD}"/>
              </c:ext>
            </c:extLst>
          </c:dPt>
          <c:dPt>
            <c:idx val="250"/>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5-3374-44E5-ACB0-8A3A1205DEAD}"/>
              </c:ext>
            </c:extLst>
          </c:dPt>
          <c:dPt>
            <c:idx val="325"/>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A-3374-44E5-ACB0-8A3A1205DEAD}"/>
              </c:ext>
            </c:extLst>
          </c:dPt>
          <c:dPt>
            <c:idx val="326"/>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B-3374-44E5-ACB0-8A3A1205DEAD}"/>
              </c:ext>
            </c:extLst>
          </c:dPt>
          <c:dPt>
            <c:idx val="357"/>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C-3374-44E5-ACB0-8A3A1205DEAD}"/>
              </c:ext>
            </c:extLst>
          </c:dPt>
          <c:dPt>
            <c:idx val="358"/>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D-3374-44E5-ACB0-8A3A1205DEAD}"/>
              </c:ext>
            </c:extLst>
          </c:dPt>
          <c:dPt>
            <c:idx val="385"/>
            <c:marker>
              <c:symbol val="none"/>
            </c:marker>
            <c:bubble3D val="0"/>
            <c:spPr>
              <a:ln w="38100" cap="rnd">
                <a:solidFill>
                  <a:schemeClr val="tx1"/>
                </a:solidFill>
                <a:round/>
                <a:headEnd w="lg" len="lg"/>
                <a:tailEnd type="none" w="med" len="lg"/>
              </a:ln>
              <a:effectLst/>
            </c:spPr>
            <c:extLst>
              <c:ext xmlns:c16="http://schemas.microsoft.com/office/drawing/2014/chart" uri="{C3380CC4-5D6E-409C-BE32-E72D297353CC}">
                <c16:uniqueId val="{0000000E-3374-44E5-ACB0-8A3A1205DEAD}"/>
              </c:ext>
            </c:extLst>
          </c:dPt>
          <c:dPt>
            <c:idx val="386"/>
            <c:marker>
              <c:symbol val="none"/>
            </c:marker>
            <c:bubble3D val="0"/>
            <c:spPr>
              <a:ln w="38100" cap="rnd">
                <a:solidFill>
                  <a:schemeClr val="tx1"/>
                </a:solidFill>
                <a:round/>
                <a:headEnd w="lg" len="lg"/>
                <a:tailEnd type="triangle" w="lg" len="lg"/>
              </a:ln>
              <a:effectLst/>
            </c:spPr>
            <c:extLst>
              <c:ext xmlns:c16="http://schemas.microsoft.com/office/drawing/2014/chart" uri="{C3380CC4-5D6E-409C-BE32-E72D297353CC}">
                <c16:uniqueId val="{0000000F-3374-44E5-ACB0-8A3A1205DEAD}"/>
              </c:ext>
            </c:extLst>
          </c:dPt>
          <c:xVal>
            <c:numRef>
              <c:f>'A. Behind-the-scenes'!plotrange_PNG_Arrow_X</c:f>
              <c:numCache>
                <c:formatCode>General</c:formatCode>
                <c:ptCount val="5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14.989868850382683</c:v>
                </c:pt>
                <c:pt idx="62">
                  <c:v>13.394963464056561</c:v>
                </c:pt>
                <c:pt idx="63">
                  <c:v>#N/A</c:v>
                </c:pt>
                <c:pt idx="64">
                  <c:v>#N/A</c:v>
                </c:pt>
                <c:pt idx="65">
                  <c:v>16.833467162144437</c:v>
                </c:pt>
                <c:pt idx="66">
                  <c:v>13.756923670421255</c:v>
                </c:pt>
                <c:pt idx="67">
                  <c:v>#N/A</c:v>
                </c:pt>
                <c:pt idx="68">
                  <c:v>#N/A</c:v>
                </c:pt>
                <c:pt idx="69">
                  <c:v>#N/A</c:v>
                </c:pt>
                <c:pt idx="70">
                  <c:v>#N/A</c:v>
                </c:pt>
                <c:pt idx="71">
                  <c:v>#N/A</c:v>
                </c:pt>
                <c:pt idx="72">
                  <c:v>#N/A</c:v>
                </c:pt>
                <c:pt idx="73">
                  <c:v>-3.0565257888541169</c:v>
                </c:pt>
                <c:pt idx="74">
                  <c:v>1.666378669940773E-2</c:v>
                </c:pt>
                <c:pt idx="75">
                  <c:v>#N/A</c:v>
                </c:pt>
                <c:pt idx="76">
                  <c:v>#N/A</c:v>
                </c:pt>
                <c:pt idx="77">
                  <c:v>0.52648873128632934</c:v>
                </c:pt>
                <c:pt idx="78">
                  <c:v>0.73557859705521045</c:v>
                </c:pt>
                <c:pt idx="79">
                  <c:v>#N/A</c:v>
                </c:pt>
                <c:pt idx="80">
                  <c:v>#N/A</c:v>
                </c:pt>
                <c:pt idx="81">
                  <c:v>-1.4972270301512913</c:v>
                </c:pt>
                <c:pt idx="82">
                  <c:v>0.33684349643523437</c:v>
                </c:pt>
                <c:pt idx="83">
                  <c:v>#N/A</c:v>
                </c:pt>
                <c:pt idx="84">
                  <c:v>#N/A</c:v>
                </c:pt>
                <c:pt idx="85">
                  <c:v>0.53132395721209646</c:v>
                </c:pt>
                <c:pt idx="86">
                  <c:v>0.73616435743385589</c:v>
                </c:pt>
                <c:pt idx="87">
                  <c:v>#N/A</c:v>
                </c:pt>
                <c:pt idx="88">
                  <c:v>#N/A</c:v>
                </c:pt>
                <c:pt idx="89">
                  <c:v>-1.571821032446342</c:v>
                </c:pt>
                <c:pt idx="90">
                  <c:v>0.29944330368484878</c:v>
                </c:pt>
                <c:pt idx="91">
                  <c:v>#N/A</c:v>
                </c:pt>
                <c:pt idx="92">
                  <c:v>2.3275130569467728</c:v>
                </c:pt>
                <c:pt idx="93">
                  <c:v>1.6276396429526658</c:v>
                </c:pt>
                <c:pt idx="94">
                  <c:v>0.88497961773521505</c:v>
                </c:pt>
                <c:pt idx="95">
                  <c:v>#N/A</c:v>
                </c:pt>
                <c:pt idx="96">
                  <c:v>-11.161305606405291</c:v>
                </c:pt>
                <c:pt idx="97">
                  <c:v>-6.1913643958266302</c:v>
                </c:pt>
                <c:pt idx="98">
                  <c:v>7.6991451370390165E-3</c:v>
                </c:pt>
                <c:pt idx="99">
                  <c:v>#N/A</c:v>
                </c:pt>
                <c:pt idx="100">
                  <c:v>-5.6286105276860896</c:v>
                </c:pt>
                <c:pt idx="101">
                  <c:v>-2.7884620254029775</c:v>
                </c:pt>
                <c:pt idx="102">
                  <c:v>0.34023315236400281</c:v>
                </c:pt>
                <c:pt idx="103">
                  <c:v>#N/A</c:v>
                </c:pt>
                <c:pt idx="104">
                  <c:v>#N/A</c:v>
                </c:pt>
                <c:pt idx="105">
                  <c:v>2.3881874318286971</c:v>
                </c:pt>
                <c:pt idx="106">
                  <c:v>1.1102305684340852</c:v>
                </c:pt>
                <c:pt idx="107">
                  <c:v>#N/A</c:v>
                </c:pt>
                <c:pt idx="108">
                  <c:v>#N/A</c:v>
                </c:pt>
                <c:pt idx="109">
                  <c:v>3.1375306171127635</c:v>
                </c:pt>
                <c:pt idx="110">
                  <c:v>1.2440923288592554</c:v>
                </c:pt>
                <c:pt idx="111">
                  <c:v>#N/A</c:v>
                </c:pt>
                <c:pt idx="112">
                  <c:v>-8.5214632532720813</c:v>
                </c:pt>
                <c:pt idx="113">
                  <c:v>-4.7197462987463323</c:v>
                </c:pt>
                <c:pt idx="114">
                  <c:v>0.14496683110908271</c:v>
                </c:pt>
                <c:pt idx="115">
                  <c:v>#N/A</c:v>
                </c:pt>
                <c:pt idx="116">
                  <c:v>12.974140333930144</c:v>
                </c:pt>
                <c:pt idx="117">
                  <c:v>7.8387282032329271</c:v>
                </c:pt>
                <c:pt idx="118">
                  <c:v>1.5857746381838522</c:v>
                </c:pt>
                <c:pt idx="119">
                  <c:v>#N/A</c:v>
                </c:pt>
                <c:pt idx="120">
                  <c:v>10.21150408293698</c:v>
                </c:pt>
                <c:pt idx="121">
                  <c:v>6.4645394019293203</c:v>
                </c:pt>
                <c:pt idx="122">
                  <c:v>1.4284614697843805</c:v>
                </c:pt>
                <c:pt idx="123">
                  <c:v>#N/A</c:v>
                </c:pt>
                <c:pt idx="124">
                  <c:v>#N/A</c:v>
                </c:pt>
                <c:pt idx="125">
                  <c:v>4.5915520595937629</c:v>
                </c:pt>
                <c:pt idx="126">
                  <c:v>1.5533888025696601</c:v>
                </c:pt>
                <c:pt idx="127">
                  <c:v>#N/A</c:v>
                </c:pt>
                <c:pt idx="128">
                  <c:v>#N/A</c:v>
                </c:pt>
                <c:pt idx="129">
                  <c:v>3.8644183118561051</c:v>
                </c:pt>
                <c:pt idx="130">
                  <c:v>1.3886387503385258</c:v>
                </c:pt>
                <c:pt idx="131">
                  <c:v>#N/A</c:v>
                </c:pt>
                <c:pt idx="132">
                  <c:v>#N/A</c:v>
                </c:pt>
                <c:pt idx="133">
                  <c:v>4.7092801648450253</c:v>
                </c:pt>
                <c:pt idx="134">
                  <c:v>1.5650093636577158</c:v>
                </c:pt>
                <c:pt idx="135">
                  <c:v>#N/A</c:v>
                </c:pt>
                <c:pt idx="136">
                  <c:v>#N/A</c:v>
                </c:pt>
                <c:pt idx="137">
                  <c:v>-3.0948110474900283</c:v>
                </c:pt>
                <c:pt idx="138">
                  <c:v>2.1996885770236809E-2</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0.78891624628593393</c:v>
                </c:pt>
                <c:pt idx="193">
                  <c:v>1.3922056955228961</c:v>
                </c:pt>
                <c:pt idx="194">
                  <c:v>1.8611536147537968</c:v>
                </c:pt>
                <c:pt idx="195">
                  <c:v>#N/A</c:v>
                </c:pt>
                <c:pt idx="196">
                  <c:v>#N/A</c:v>
                </c:pt>
                <c:pt idx="197">
                  <c:v>4.1043248148070122</c:v>
                </c:pt>
                <c:pt idx="198">
                  <c:v>2.427481824374575</c:v>
                </c:pt>
                <c:pt idx="199">
                  <c:v>#N/A</c:v>
                </c:pt>
                <c:pt idx="200">
                  <c:v>-8.2138992091278542</c:v>
                </c:pt>
                <c:pt idx="201">
                  <c:v>-3.4192439202003326</c:v>
                </c:pt>
                <c:pt idx="202">
                  <c:v>1.1694316256597679</c:v>
                </c:pt>
                <c:pt idx="203">
                  <c:v>#N/A</c:v>
                </c:pt>
                <c:pt idx="204">
                  <c:v>#N/A</c:v>
                </c:pt>
                <c:pt idx="205">
                  <c:v>-0.97795169655054348</c:v>
                </c:pt>
                <c:pt idx="206">
                  <c:v>1.2146885674889225</c:v>
                </c:pt>
                <c:pt idx="207">
                  <c:v>#N/A</c:v>
                </c:pt>
                <c:pt idx="208">
                  <c:v>#N/A</c:v>
                </c:pt>
                <c:pt idx="209">
                  <c:v>5.3645226847833563</c:v>
                </c:pt>
                <c:pt idx="210">
                  <c:v>2.7114929182562748</c:v>
                </c:pt>
                <c:pt idx="211">
                  <c:v>#N/A</c:v>
                </c:pt>
                <c:pt idx="212">
                  <c:v>-3.6823126540307705</c:v>
                </c:pt>
                <c:pt idx="213">
                  <c:v>-1.2088001923033329</c:v>
                </c:pt>
                <c:pt idx="214">
                  <c:v>1.4566302226428014</c:v>
                </c:pt>
                <c:pt idx="215">
                  <c:v>#N/A</c:v>
                </c:pt>
                <c:pt idx="216">
                  <c:v>7.4720348390499867</c:v>
                </c:pt>
                <c:pt idx="217">
                  <c:v>4.5650884323214136</c:v>
                </c:pt>
                <c:pt idx="218">
                  <c:v>2.4690952137446143</c:v>
                </c:pt>
                <c:pt idx="219">
                  <c:v>#N/A</c:v>
                </c:pt>
                <c:pt idx="220">
                  <c:v>2.5140487336853532</c:v>
                </c:pt>
                <c:pt idx="221">
                  <c:v>2.4760936112858034</c:v>
                </c:pt>
                <c:pt idx="222">
                  <c:v>2.0134784438931481</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1.9309511115841147</c:v>
                </c:pt>
                <c:pt idx="241">
                  <c:v>9.0864820078530322</c:v>
                </c:pt>
                <c:pt idx="242">
                  <c:v>14.931403149896461</c:v>
                </c:pt>
                <c:pt idx="243">
                  <c:v>#N/A</c:v>
                </c:pt>
                <c:pt idx="244">
                  <c:v>25.352355293624477</c:v>
                </c:pt>
                <c:pt idx="245">
                  <c:v>21.555049546461916</c:v>
                </c:pt>
                <c:pt idx="246">
                  <c:v>16.416746835031848</c:v>
                </c:pt>
                <c:pt idx="247">
                  <c:v>#N/A</c:v>
                </c:pt>
                <c:pt idx="248">
                  <c:v>12.974140333930144</c:v>
                </c:pt>
                <c:pt idx="249">
                  <c:v>14.503219595463817</c:v>
                </c:pt>
                <c:pt idx="250">
                  <c:v>15.538102103892001</c:v>
                </c:pt>
                <c:pt idx="251">
                  <c:v>#N/A</c:v>
                </c:pt>
                <c:pt idx="252">
                  <c:v>#N/A</c:v>
                </c:pt>
                <c:pt idx="253">
                  <c:v>16.597688795659906</c:v>
                </c:pt>
                <c:pt idx="254">
                  <c:v>15.90305698667205</c:v>
                </c:pt>
                <c:pt idx="255">
                  <c:v>#N/A</c:v>
                </c:pt>
                <c:pt idx="256">
                  <c:v>#N/A</c:v>
                </c:pt>
                <c:pt idx="257">
                  <c:v>16.515928712884108</c:v>
                </c:pt>
                <c:pt idx="258">
                  <c:v>15.894821150549751</c:v>
                </c:pt>
                <c:pt idx="259">
                  <c:v>#N/A</c:v>
                </c:pt>
                <c:pt idx="260">
                  <c:v>#N/A</c:v>
                </c:pt>
                <c:pt idx="261">
                  <c:v>13.203312400057756</c:v>
                </c:pt>
                <c:pt idx="262">
                  <c:v>15.116204945069693</c:v>
                </c:pt>
                <c:pt idx="263">
                  <c:v>#N/A</c:v>
                </c:pt>
                <c:pt idx="264">
                  <c:v>#N/A</c:v>
                </c:pt>
                <c:pt idx="265">
                  <c:v>19.289627143601709</c:v>
                </c:pt>
                <c:pt idx="266">
                  <c:v>16.441912625928872</c:v>
                </c:pt>
                <c:pt idx="267">
                  <c:v>#N/A</c:v>
                </c:pt>
                <c:pt idx="268">
                  <c:v>#N/A</c:v>
                </c:pt>
                <c:pt idx="269">
                  <c:v>19.033056665541746</c:v>
                </c:pt>
                <c:pt idx="270">
                  <c:v>16.392278020945927</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15.707298460481789</c:v>
                </c:pt>
                <c:pt idx="325">
                  <c:v>18.186176302773106</c:v>
                </c:pt>
                <c:pt idx="326">
                  <c:v>19.433337217170291</c:v>
                </c:pt>
                <c:pt idx="327">
                  <c:v>#N/A</c:v>
                </c:pt>
                <c:pt idx="328">
                  <c:v>11.100317346629659</c:v>
                </c:pt>
                <c:pt idx="329">
                  <c:v>14.913090122881616</c:v>
                </c:pt>
                <c:pt idx="330">
                  <c:v>18.954499019263949</c:v>
                </c:pt>
                <c:pt idx="331">
                  <c:v>#N/A</c:v>
                </c:pt>
                <c:pt idx="332">
                  <c:v>16.540976308170244</c:v>
                </c:pt>
                <c:pt idx="333">
                  <c:v>17.712891685064264</c:v>
                </c:pt>
                <c:pt idx="334">
                  <c:v>19.400773205087685</c:v>
                </c:pt>
                <c:pt idx="335">
                  <c:v>#N/A</c:v>
                </c:pt>
                <c:pt idx="336">
                  <c:v>12.621624199762062</c:v>
                </c:pt>
                <c:pt idx="337">
                  <c:v>16.165899236862185</c:v>
                </c:pt>
                <c:pt idx="338">
                  <c:v>18.914480084705016</c:v>
                </c:pt>
                <c:pt idx="339">
                  <c:v>#N/A</c:v>
                </c:pt>
                <c:pt idx="340">
                  <c:v>25.322697016273306</c:v>
                </c:pt>
                <c:pt idx="341">
                  <c:v>23.062528024329136</c:v>
                </c:pt>
                <c:pt idx="342">
                  <c:v>20.092808427448343</c:v>
                </c:pt>
                <c:pt idx="343">
                  <c:v>#N/A</c:v>
                </c:pt>
                <c:pt idx="344">
                  <c:v>#N/A</c:v>
                </c:pt>
                <c:pt idx="345">
                  <c:v>19.275343482308465</c:v>
                </c:pt>
                <c:pt idx="346">
                  <c:v>19.548988611188474</c:v>
                </c:pt>
                <c:pt idx="347">
                  <c:v>#N/A</c:v>
                </c:pt>
                <c:pt idx="348">
                  <c:v>#N/A</c:v>
                </c:pt>
                <c:pt idx="349">
                  <c:v>23.062925324887381</c:v>
                </c:pt>
                <c:pt idx="350">
                  <c:v>20.428035442822686</c:v>
                </c:pt>
                <c:pt idx="351">
                  <c:v>#N/A</c:v>
                </c:pt>
                <c:pt idx="352">
                  <c:v>#N/A</c:v>
                </c:pt>
                <c:pt idx="353">
                  <c:v>#N/A</c:v>
                </c:pt>
                <c:pt idx="354">
                  <c:v>#N/A</c:v>
                </c:pt>
                <c:pt idx="355">
                  <c:v>#N/A</c:v>
                </c:pt>
                <c:pt idx="356">
                  <c:v>19.635390140975865</c:v>
                </c:pt>
                <c:pt idx="357">
                  <c:v>24.339733153236988</c:v>
                </c:pt>
                <c:pt idx="358">
                  <c:v>29.158894591603719</c:v>
                </c:pt>
                <c:pt idx="359">
                  <c:v>#N/A</c:v>
                </c:pt>
                <c:pt idx="360">
                  <c:v>#N/A</c:v>
                </c:pt>
                <c:pt idx="361">
                  <c:v>31.665856664348247</c:v>
                </c:pt>
                <c:pt idx="362">
                  <c:v>30.196481643316151</c:v>
                </c:pt>
                <c:pt idx="363">
                  <c:v>#N/A</c:v>
                </c:pt>
                <c:pt idx="364">
                  <c:v>#N/A</c:v>
                </c:pt>
                <c:pt idx="365">
                  <c:v>34.161198461923846</c:v>
                </c:pt>
                <c:pt idx="366">
                  <c:v>30.634112389124816</c:v>
                </c:pt>
                <c:pt idx="367">
                  <c:v>#N/A</c:v>
                </c:pt>
                <c:pt idx="368">
                  <c:v>#N/A</c:v>
                </c:pt>
                <c:pt idx="369">
                  <c:v>28.583288244239917</c:v>
                </c:pt>
                <c:pt idx="370">
                  <c:v>29.635875337277696</c:v>
                </c:pt>
                <c:pt idx="371">
                  <c:v>#N/A</c:v>
                </c:pt>
                <c:pt idx="372">
                  <c:v>29.895118457910893</c:v>
                </c:pt>
                <c:pt idx="373">
                  <c:v>28.851410138015801</c:v>
                </c:pt>
                <c:pt idx="374">
                  <c:v>29.683037020388905</c:v>
                </c:pt>
                <c:pt idx="375">
                  <c:v>#N/A</c:v>
                </c:pt>
                <c:pt idx="376">
                  <c:v>#N/A</c:v>
                </c:pt>
                <c:pt idx="377">
                  <c:v>26.501091310278941</c:v>
                </c:pt>
                <c:pt idx="378">
                  <c:v>29.200727545311704</c:v>
                </c:pt>
                <c:pt idx="379">
                  <c:v>#N/A</c:v>
                </c:pt>
                <c:pt idx="380">
                  <c:v>#N/A</c:v>
                </c:pt>
                <c:pt idx="381">
                  <c:v>#N/A</c:v>
                </c:pt>
                <c:pt idx="382">
                  <c:v>#N/A</c:v>
                </c:pt>
                <c:pt idx="383">
                  <c:v>#N/A</c:v>
                </c:pt>
                <c:pt idx="384">
                  <c:v>29.895118457910893</c:v>
                </c:pt>
                <c:pt idx="385">
                  <c:v>34.095068972658638</c:v>
                </c:pt>
                <c:pt idx="386">
                  <c:v>36.820439040220258</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numCache>
            </c:numRef>
          </c:xVal>
          <c:yVal>
            <c:numRef>
              <c:f>'A. Behind-the-scenes'!plotrange_PNG_Arrow_Y</c:f>
              <c:numCache>
                <c:formatCode>General</c:formatCode>
                <c:ptCount val="5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23.62796102157942</c:v>
                </c:pt>
                <c:pt idx="62">
                  <c:v>21.049369113675596</c:v>
                </c:pt>
                <c:pt idx="63">
                  <c:v>#N/A</c:v>
                </c:pt>
                <c:pt idx="64">
                  <c:v>#N/A</c:v>
                </c:pt>
                <c:pt idx="65">
                  <c:v>21.182866096260693</c:v>
                </c:pt>
                <c:pt idx="66">
                  <c:v>20.534072257021059</c:v>
                </c:pt>
                <c:pt idx="67">
                  <c:v>#N/A</c:v>
                </c:pt>
                <c:pt idx="68">
                  <c:v>#N/A</c:v>
                </c:pt>
                <c:pt idx="69">
                  <c:v>#N/A</c:v>
                </c:pt>
                <c:pt idx="70">
                  <c:v>#N/A</c:v>
                </c:pt>
                <c:pt idx="71">
                  <c:v>#N/A</c:v>
                </c:pt>
                <c:pt idx="72">
                  <c:v>#N/A</c:v>
                </c:pt>
                <c:pt idx="73">
                  <c:v>20.515367174986299</c:v>
                </c:pt>
                <c:pt idx="74">
                  <c:v>21.346563164085183</c:v>
                </c:pt>
                <c:pt idx="75">
                  <c:v>#N/A</c:v>
                </c:pt>
                <c:pt idx="76">
                  <c:v>#N/A</c:v>
                </c:pt>
                <c:pt idx="77">
                  <c:v>17.628095706767041</c:v>
                </c:pt>
                <c:pt idx="78">
                  <c:v>20.757211921498374</c:v>
                </c:pt>
                <c:pt idx="79">
                  <c:v>#N/A</c:v>
                </c:pt>
                <c:pt idx="80">
                  <c:v>#N/A</c:v>
                </c:pt>
                <c:pt idx="81">
                  <c:v>24.893184297510931</c:v>
                </c:pt>
                <c:pt idx="82">
                  <c:v>22.215454775871319</c:v>
                </c:pt>
                <c:pt idx="83">
                  <c:v>#N/A</c:v>
                </c:pt>
                <c:pt idx="84">
                  <c:v>#N/A</c:v>
                </c:pt>
                <c:pt idx="85">
                  <c:v>25.453402857169742</c:v>
                </c:pt>
                <c:pt idx="86">
                  <c:v>22.353690754830971</c:v>
                </c:pt>
                <c:pt idx="87">
                  <c:v>#N/A</c:v>
                </c:pt>
                <c:pt idx="88">
                  <c:v>#N/A</c:v>
                </c:pt>
                <c:pt idx="89">
                  <c:v>18.503500182255294</c:v>
                </c:pt>
                <c:pt idx="90">
                  <c:v>20.922647363761289</c:v>
                </c:pt>
                <c:pt idx="91">
                  <c:v>#N/A</c:v>
                </c:pt>
                <c:pt idx="92">
                  <c:v>33.401144815982704</c:v>
                </c:pt>
                <c:pt idx="93">
                  <c:v>28.489643278804142</c:v>
                </c:pt>
                <c:pt idx="94">
                  <c:v>22.349643326483257</c:v>
                </c:pt>
                <c:pt idx="95">
                  <c:v>#N/A</c:v>
                </c:pt>
                <c:pt idx="96">
                  <c:v>18.923675503501165</c:v>
                </c:pt>
                <c:pt idx="97">
                  <c:v>20.015582634271116</c:v>
                </c:pt>
                <c:pt idx="98">
                  <c:v>21.383095457910532</c:v>
                </c:pt>
                <c:pt idx="99">
                  <c:v>#N/A</c:v>
                </c:pt>
                <c:pt idx="100">
                  <c:v>12.997984013490795</c:v>
                </c:pt>
                <c:pt idx="101">
                  <c:v>16.274618745969242</c:v>
                </c:pt>
                <c:pt idx="102">
                  <c:v>20.893100024343873</c:v>
                </c:pt>
                <c:pt idx="103">
                  <c:v>#N/A</c:v>
                </c:pt>
                <c:pt idx="104">
                  <c:v>#N/A</c:v>
                </c:pt>
                <c:pt idx="105">
                  <c:v>17.908892311287456</c:v>
                </c:pt>
                <c:pt idx="106">
                  <c:v>20.822794785126195</c:v>
                </c:pt>
                <c:pt idx="107">
                  <c:v>#N/A</c:v>
                </c:pt>
                <c:pt idx="108">
                  <c:v>#N/A</c:v>
                </c:pt>
                <c:pt idx="109">
                  <c:v>24.94999038313842</c:v>
                </c:pt>
                <c:pt idx="110">
                  <c:v>22.213318441729157</c:v>
                </c:pt>
                <c:pt idx="111">
                  <c:v>#N/A</c:v>
                </c:pt>
                <c:pt idx="112">
                  <c:v>28.553199270376069</c:v>
                </c:pt>
                <c:pt idx="113">
                  <c:v>25.616152446318189</c:v>
                </c:pt>
                <c:pt idx="114">
                  <c:v>22.030120353153709</c:v>
                </c:pt>
                <c:pt idx="115">
                  <c:v>#N/A</c:v>
                </c:pt>
                <c:pt idx="116">
                  <c:v>20.368995765321468</c:v>
                </c:pt>
                <c:pt idx="117">
                  <c:v>20.928809946958452</c:v>
                </c:pt>
                <c:pt idx="118">
                  <c:v>21.484603186091039</c:v>
                </c:pt>
                <c:pt idx="119">
                  <c:v>#N/A</c:v>
                </c:pt>
                <c:pt idx="120">
                  <c:v>29.074212703146806</c:v>
                </c:pt>
                <c:pt idx="121">
                  <c:v>25.820552061494336</c:v>
                </c:pt>
                <c:pt idx="122">
                  <c:v>22.03603764661149</c:v>
                </c:pt>
                <c:pt idx="123">
                  <c:v>#N/A</c:v>
                </c:pt>
                <c:pt idx="124">
                  <c:v>#N/A</c:v>
                </c:pt>
                <c:pt idx="125">
                  <c:v>22.728136909564732</c:v>
                </c:pt>
                <c:pt idx="126">
                  <c:v>21.791189612913882</c:v>
                </c:pt>
                <c:pt idx="127">
                  <c:v>#N/A</c:v>
                </c:pt>
                <c:pt idx="128">
                  <c:v>#N/A</c:v>
                </c:pt>
                <c:pt idx="129">
                  <c:v>18.840226240506983</c:v>
                </c:pt>
                <c:pt idx="130">
                  <c:v>21.02596712880311</c:v>
                </c:pt>
                <c:pt idx="131">
                  <c:v>#N/A</c:v>
                </c:pt>
                <c:pt idx="132">
                  <c:v>#N/A</c:v>
                </c:pt>
                <c:pt idx="133">
                  <c:v>20.57489267147923</c:v>
                </c:pt>
                <c:pt idx="134">
                  <c:v>21.36131986371937</c:v>
                </c:pt>
                <c:pt idx="135">
                  <c:v>#N/A</c:v>
                </c:pt>
                <c:pt idx="136">
                  <c:v>#N/A</c:v>
                </c:pt>
                <c:pt idx="137">
                  <c:v>22.708378752413747</c:v>
                </c:pt>
                <c:pt idx="138">
                  <c:v>21.783104215773413</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21.555431875630404</c:v>
                </c:pt>
                <c:pt idx="193">
                  <c:v>14.090296470094351</c:v>
                </c:pt>
                <c:pt idx="194">
                  <c:v>8.7358386595786062</c:v>
                </c:pt>
                <c:pt idx="195">
                  <c:v>#N/A</c:v>
                </c:pt>
                <c:pt idx="196">
                  <c:v>#N/A</c:v>
                </c:pt>
                <c:pt idx="197">
                  <c:v>5.1932905357454375</c:v>
                </c:pt>
                <c:pt idx="198">
                  <c:v>7.3116275738755663</c:v>
                </c:pt>
                <c:pt idx="199">
                  <c:v>#N/A</c:v>
                </c:pt>
                <c:pt idx="200">
                  <c:v>4.4543084341448207</c:v>
                </c:pt>
                <c:pt idx="201">
                  <c:v>6.2166926735102397</c:v>
                </c:pt>
                <c:pt idx="202">
                  <c:v>7.693760596909855</c:v>
                </c:pt>
                <c:pt idx="203">
                  <c:v>#N/A</c:v>
                </c:pt>
                <c:pt idx="204">
                  <c:v>#N/A</c:v>
                </c:pt>
                <c:pt idx="205">
                  <c:v>9.3860076454015413</c:v>
                </c:pt>
                <c:pt idx="206">
                  <c:v>8.2952149313257966</c:v>
                </c:pt>
                <c:pt idx="207">
                  <c:v>#N/A</c:v>
                </c:pt>
                <c:pt idx="208">
                  <c:v>#N/A</c:v>
                </c:pt>
                <c:pt idx="209">
                  <c:v>7.1674456721073909</c:v>
                </c:pt>
                <c:pt idx="210">
                  <c:v>7.7635197070451785</c:v>
                </c:pt>
                <c:pt idx="211">
                  <c:v>#N/A</c:v>
                </c:pt>
                <c:pt idx="212">
                  <c:v>-0.26288531328701153</c:v>
                </c:pt>
                <c:pt idx="213">
                  <c:v>3.6744950109734074</c:v>
                </c:pt>
                <c:pt idx="214">
                  <c:v>7.2946690607120379</c:v>
                </c:pt>
                <c:pt idx="215">
                  <c:v>#N/A</c:v>
                </c:pt>
                <c:pt idx="216">
                  <c:v>13.041884212556132</c:v>
                </c:pt>
                <c:pt idx="217">
                  <c:v>10.836382638227876</c:v>
                </c:pt>
                <c:pt idx="218">
                  <c:v>8.5308360076795662</c:v>
                </c:pt>
                <c:pt idx="219">
                  <c:v>#N/A</c:v>
                </c:pt>
                <c:pt idx="220">
                  <c:v>-1.5931382791618636</c:v>
                </c:pt>
                <c:pt idx="221">
                  <c:v>2.682603164909243</c:v>
                </c:pt>
                <c:pt idx="222">
                  <c:v>7.1431573934616832</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7.9388892826190514</c:v>
                </c:pt>
                <c:pt idx="241">
                  <c:v>8.685844599987826</c:v>
                </c:pt>
                <c:pt idx="242">
                  <c:v>10.154060695329903</c:v>
                </c:pt>
                <c:pt idx="243">
                  <c:v>#N/A</c:v>
                </c:pt>
                <c:pt idx="244">
                  <c:v>16.489331629258427</c:v>
                </c:pt>
                <c:pt idx="245">
                  <c:v>13.396332918603195</c:v>
                </c:pt>
                <c:pt idx="246">
                  <c:v>10.718668513416695</c:v>
                </c:pt>
                <c:pt idx="247">
                  <c:v>#N/A</c:v>
                </c:pt>
                <c:pt idx="248">
                  <c:v>20.368995765321468</c:v>
                </c:pt>
                <c:pt idx="249">
                  <c:v>15.913343514149426</c:v>
                </c:pt>
                <c:pt idx="250">
                  <c:v>11.130865054161612</c:v>
                </c:pt>
                <c:pt idx="251">
                  <c:v>#N/A</c:v>
                </c:pt>
                <c:pt idx="252">
                  <c:v>#N/A</c:v>
                </c:pt>
                <c:pt idx="253">
                  <c:v>13.877071183519517</c:v>
                </c:pt>
                <c:pt idx="254">
                  <c:v>11.124641311481541</c:v>
                </c:pt>
                <c:pt idx="255">
                  <c:v>#N/A</c:v>
                </c:pt>
                <c:pt idx="256">
                  <c:v>#N/A</c:v>
                </c:pt>
                <c:pt idx="257">
                  <c:v>6.9953352782779588</c:v>
                </c:pt>
                <c:pt idx="258">
                  <c:v>9.5712503269420939</c:v>
                </c:pt>
                <c:pt idx="259">
                  <c:v>#N/A</c:v>
                </c:pt>
                <c:pt idx="260">
                  <c:v>#N/A</c:v>
                </c:pt>
                <c:pt idx="261">
                  <c:v>8.065310331078777</c:v>
                </c:pt>
                <c:pt idx="262">
                  <c:v>9.8098807458072184</c:v>
                </c:pt>
                <c:pt idx="263">
                  <c:v>#N/A</c:v>
                </c:pt>
                <c:pt idx="264">
                  <c:v>#N/A</c:v>
                </c:pt>
                <c:pt idx="265">
                  <c:v>8.8042496952735227</c:v>
                </c:pt>
                <c:pt idx="266">
                  <c:v>10.03219376973048</c:v>
                </c:pt>
                <c:pt idx="267">
                  <c:v>#N/A</c:v>
                </c:pt>
                <c:pt idx="268">
                  <c:v>#N/A</c:v>
                </c:pt>
                <c:pt idx="269">
                  <c:v>12.355561868808731</c:v>
                </c:pt>
                <c:pt idx="270">
                  <c:v>10.762245065749159</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10.348961867752488</c:v>
                </c:pt>
                <c:pt idx="325">
                  <c:v>4.521487294719587</c:v>
                </c:pt>
                <c:pt idx="326">
                  <c:v>-0.2563796977221256</c:v>
                </c:pt>
                <c:pt idx="327">
                  <c:v>#N/A</c:v>
                </c:pt>
                <c:pt idx="328">
                  <c:v>-6.6784151202300235</c:v>
                </c:pt>
                <c:pt idx="329">
                  <c:v>-3.9432358221748629</c:v>
                </c:pt>
                <c:pt idx="330">
                  <c:v>-1.4504282578301164</c:v>
                </c:pt>
                <c:pt idx="331">
                  <c:v>#N/A</c:v>
                </c:pt>
                <c:pt idx="332">
                  <c:v>-12.258696578159528</c:v>
                </c:pt>
                <c:pt idx="333">
                  <c:v>-7.2975608004088315</c:v>
                </c:pt>
                <c:pt idx="334">
                  <c:v>-1.7952668398751188</c:v>
                </c:pt>
                <c:pt idx="335">
                  <c:v>#N/A</c:v>
                </c:pt>
                <c:pt idx="336">
                  <c:v>1.4198616275470548</c:v>
                </c:pt>
                <c:pt idx="337">
                  <c:v>0.63871313994113799</c:v>
                </c:pt>
                <c:pt idx="338">
                  <c:v>-0.68361680008264269</c:v>
                </c:pt>
                <c:pt idx="339">
                  <c:v>#N/A</c:v>
                </c:pt>
                <c:pt idx="340">
                  <c:v>-10.244621761858062</c:v>
                </c:pt>
                <c:pt idx="341">
                  <c:v>-5.9478942708473443</c:v>
                </c:pt>
                <c:pt idx="342">
                  <c:v>-1.6867729756529444</c:v>
                </c:pt>
                <c:pt idx="343">
                  <c:v>#N/A</c:v>
                </c:pt>
                <c:pt idx="344">
                  <c:v>#N/A</c:v>
                </c:pt>
                <c:pt idx="345">
                  <c:v>-4.3446498380520522</c:v>
                </c:pt>
                <c:pt idx="346">
                  <c:v>-1.8257639495080504</c:v>
                </c:pt>
                <c:pt idx="347">
                  <c:v>#N/A</c:v>
                </c:pt>
                <c:pt idx="348">
                  <c:v>#N/A</c:v>
                </c:pt>
                <c:pt idx="349">
                  <c:v>-1.4984424713521245</c:v>
                </c:pt>
                <c:pt idx="350">
                  <c:v>-1.138671980197947</c:v>
                </c:pt>
                <c:pt idx="351">
                  <c:v>#N/A</c:v>
                </c:pt>
                <c:pt idx="352">
                  <c:v>#N/A</c:v>
                </c:pt>
                <c:pt idx="353">
                  <c:v>#N/A</c:v>
                </c:pt>
                <c:pt idx="354">
                  <c:v>#N/A</c:v>
                </c:pt>
                <c:pt idx="355">
                  <c:v>#N/A</c:v>
                </c:pt>
                <c:pt idx="356">
                  <c:v>-1.0304434005151315</c:v>
                </c:pt>
                <c:pt idx="357">
                  <c:v>2.2049247340586113</c:v>
                </c:pt>
                <c:pt idx="358">
                  <c:v>4.2538113750773769</c:v>
                </c:pt>
                <c:pt idx="359">
                  <c:v>#N/A</c:v>
                </c:pt>
                <c:pt idx="360">
                  <c:v>#N/A</c:v>
                </c:pt>
                <c:pt idx="361">
                  <c:v>0.21248734295897476</c:v>
                </c:pt>
                <c:pt idx="362">
                  <c:v>3.8257530768798174</c:v>
                </c:pt>
                <c:pt idx="363">
                  <c:v>#N/A</c:v>
                </c:pt>
                <c:pt idx="364">
                  <c:v>#N/A</c:v>
                </c:pt>
                <c:pt idx="365">
                  <c:v>2.7979615120406574</c:v>
                </c:pt>
                <c:pt idx="366">
                  <c:v>4.2604085925194717</c:v>
                </c:pt>
                <c:pt idx="367">
                  <c:v>#N/A</c:v>
                </c:pt>
                <c:pt idx="368">
                  <c:v>#N/A</c:v>
                </c:pt>
                <c:pt idx="369">
                  <c:v>0.73708046857326692</c:v>
                </c:pt>
                <c:pt idx="370">
                  <c:v>3.8099891354816782</c:v>
                </c:pt>
                <c:pt idx="371">
                  <c:v>#N/A</c:v>
                </c:pt>
                <c:pt idx="372">
                  <c:v>4.5668200309955704</c:v>
                </c:pt>
                <c:pt idx="373">
                  <c:v>8.3629651215714489</c:v>
                </c:pt>
                <c:pt idx="374">
                  <c:v>5.338196374850245</c:v>
                </c:pt>
                <c:pt idx="375">
                  <c:v>#N/A</c:v>
                </c:pt>
                <c:pt idx="376">
                  <c:v>#N/A</c:v>
                </c:pt>
                <c:pt idx="377">
                  <c:v>6.5085732642133696</c:v>
                </c:pt>
                <c:pt idx="378">
                  <c:v>4.9640872716531153</c:v>
                </c:pt>
                <c:pt idx="379">
                  <c:v>#N/A</c:v>
                </c:pt>
                <c:pt idx="380">
                  <c:v>#N/A</c:v>
                </c:pt>
                <c:pt idx="381">
                  <c:v>#N/A</c:v>
                </c:pt>
                <c:pt idx="382">
                  <c:v>#N/A</c:v>
                </c:pt>
                <c:pt idx="383">
                  <c:v>#N/A</c:v>
                </c:pt>
                <c:pt idx="384">
                  <c:v>4.5668200309955704</c:v>
                </c:pt>
                <c:pt idx="385">
                  <c:v>8.1861051547737027</c:v>
                </c:pt>
                <c:pt idx="386">
                  <c:v>10.075835458386489</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numCache>
            </c:numRef>
          </c:yVal>
          <c:smooth val="1"/>
          <c:extLst>
            <c:ext xmlns:c16="http://schemas.microsoft.com/office/drawing/2014/chart" uri="{C3380CC4-5D6E-409C-BE32-E72D297353CC}">
              <c16:uniqueId val="{00000000-D4C8-43AE-A6BE-51EE0A2698C0}"/>
            </c:ext>
          </c:extLst>
        </c:ser>
        <c:dLbls>
          <c:showLegendKey val="0"/>
          <c:showVal val="0"/>
          <c:showCatName val="0"/>
          <c:showSerName val="0"/>
          <c:showPercent val="0"/>
          <c:showBubbleSize val="0"/>
        </c:dLbls>
        <c:axId val="1529101672"/>
        <c:axId val="1529100032"/>
      </c:scatterChart>
      <c:valAx>
        <c:axId val="1529101672"/>
        <c:scaling>
          <c:orientation val="minMax"/>
        </c:scaling>
        <c:delete val="1"/>
        <c:axPos val="b"/>
        <c:numFmt formatCode="0.00" sourceLinked="1"/>
        <c:majorTickMark val="out"/>
        <c:minorTickMark val="none"/>
        <c:tickLblPos val="low"/>
        <c:crossAx val="1529100032"/>
        <c:crosses val="autoZero"/>
        <c:crossBetween val="midCat"/>
      </c:valAx>
      <c:valAx>
        <c:axId val="1529100032"/>
        <c:scaling>
          <c:orientation val="minMax"/>
        </c:scaling>
        <c:delete val="1"/>
        <c:axPos val="l"/>
        <c:numFmt formatCode="0.00" sourceLinked="1"/>
        <c:majorTickMark val="out"/>
        <c:minorTickMark val="none"/>
        <c:tickLblPos val="low"/>
        <c:crossAx val="1529101672"/>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70000"/>
      </a:schemeClr>
    </a:solidFill>
    <a:ln w="9525" cap="flat" cmpd="sng" algn="ctr">
      <a:solidFill>
        <a:schemeClr val="tx1"/>
      </a:solidFill>
      <a:round/>
    </a:ln>
    <a:effectLst/>
  </c:spPr>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Process Metrics Dashboard'!$D$98</c:f>
          <c:strCache>
            <c:ptCount val="1"/>
            <c:pt idx="0">
              <c:v>Physical Mass (kg)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7C37-42DD-AAAA-C52C5EF82262}"/>
            </c:ext>
          </c:extLst>
        </c:ser>
        <c:ser>
          <c:idx val="6"/>
          <c:order val="1"/>
          <c:tx>
            <c:v>Enzymes &amp; Plant Extracts</c:v>
          </c:tx>
          <c:spPr>
            <a:solidFill>
              <a:srgbClr val="92D050"/>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7C37-42DD-AAAA-C52C5EF82262}"/>
            </c:ext>
          </c:extLst>
        </c:ser>
        <c:ser>
          <c:idx val="5"/>
          <c:order val="2"/>
          <c:tx>
            <c:v>Metal</c:v>
          </c:tx>
          <c:spPr>
            <a:solidFill>
              <a:schemeClr val="accent3"/>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5.1704470224113947E-3</c:v>
                </c:pt>
                <c:pt idx="29">
                  <c:v>0</c:v>
                </c:pt>
                <c:pt idx="30">
                  <c:v>0</c:v>
                </c:pt>
              </c:numCache>
            </c:numRef>
          </c:val>
          <c:extLst>
            <c:ext xmlns:c16="http://schemas.microsoft.com/office/drawing/2014/chart" uri="{C3380CC4-5D6E-409C-BE32-E72D297353CC}">
              <c16:uniqueId val="{00000001-7C37-42DD-AAAA-C52C5EF82262}"/>
            </c:ext>
          </c:extLst>
        </c:ser>
        <c:ser>
          <c:idx val="0"/>
          <c:order val="3"/>
          <c:tx>
            <c:v>Reagent</c:v>
          </c:tx>
          <c:spPr>
            <a:solidFill>
              <a:srgbClr val="FF0000"/>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Details'!plotrange_by_material_physmass_Y1_REAGENT</c:f>
              <c:numCache>
                <c:formatCode>General</c:formatCode>
                <c:ptCount val="31"/>
                <c:pt idx="0">
                  <c:v>0</c:v>
                </c:pt>
                <c:pt idx="1">
                  <c:v>0</c:v>
                </c:pt>
                <c:pt idx="2">
                  <c:v>0</c:v>
                </c:pt>
                <c:pt idx="3">
                  <c:v>0</c:v>
                </c:pt>
                <c:pt idx="4">
                  <c:v>0</c:v>
                </c:pt>
                <c:pt idx="5">
                  <c:v>0</c:v>
                </c:pt>
                <c:pt idx="6">
                  <c:v>5.5055973573133095</c:v>
                </c:pt>
                <c:pt idx="7">
                  <c:v>0.82583960359699093</c:v>
                </c:pt>
                <c:pt idx="8">
                  <c:v>4.4044778858506479</c:v>
                </c:pt>
                <c:pt idx="9">
                  <c:v>0.9574951925762214</c:v>
                </c:pt>
                <c:pt idx="10">
                  <c:v>1.8867616615357928E-2</c:v>
                </c:pt>
                <c:pt idx="11">
                  <c:v>1.1011194714626547</c:v>
                </c:pt>
                <c:pt idx="12">
                  <c:v>0.56901521401064736</c:v>
                </c:pt>
                <c:pt idx="13">
                  <c:v>0.55055973573133099</c:v>
                </c:pt>
                <c:pt idx="14">
                  <c:v>2.092126995779044</c:v>
                </c:pt>
                <c:pt idx="15">
                  <c:v>1.2198798873354835</c:v>
                </c:pt>
                <c:pt idx="16">
                  <c:v>1.1200000000000001</c:v>
                </c:pt>
                <c:pt idx="17">
                  <c:v>0.16776246133647252</c:v>
                </c:pt>
                <c:pt idx="18">
                  <c:v>0.11184164089098167</c:v>
                </c:pt>
                <c:pt idx="19">
                  <c:v>0.8</c:v>
                </c:pt>
                <c:pt idx="20">
                  <c:v>0.19063916060952052</c:v>
                </c:pt>
                <c:pt idx="21">
                  <c:v>0.19063916060952052</c:v>
                </c:pt>
                <c:pt idx="22">
                  <c:v>0.20970307667059063</c:v>
                </c:pt>
                <c:pt idx="23">
                  <c:v>0.13980205111372709</c:v>
                </c:pt>
                <c:pt idx="24">
                  <c:v>0.13980205111364838</c:v>
                </c:pt>
                <c:pt idx="25">
                  <c:v>0.13980205111364838</c:v>
                </c:pt>
                <c:pt idx="26">
                  <c:v>6.9901025556863547E-2</c:v>
                </c:pt>
                <c:pt idx="27">
                  <c:v>2.796041022274542E-3</c:v>
                </c:pt>
                <c:pt idx="28">
                  <c:v>8.8097580889613149E-3</c:v>
                </c:pt>
                <c:pt idx="29">
                  <c:v>6.990102555686355E-4</c:v>
                </c:pt>
                <c:pt idx="30">
                  <c:v>3.4950512778431775E-4</c:v>
                </c:pt>
              </c:numCache>
            </c:numRef>
          </c:val>
          <c:extLst>
            <c:ext xmlns:c16="http://schemas.microsoft.com/office/drawing/2014/chart" uri="{C3380CC4-5D6E-409C-BE32-E72D297353CC}">
              <c16:uniqueId val="{00000000-6C84-4D66-9310-1024B7E2E1E7}"/>
            </c:ext>
          </c:extLst>
        </c:ser>
        <c:ser>
          <c:idx val="2"/>
          <c:order val="4"/>
          <c:tx>
            <c:v>Solvent</c:v>
          </c:tx>
          <c:spPr>
            <a:solidFill>
              <a:schemeClr val="accent4"/>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Details'!plotrange_by_material_physmass_Y1_SOLVENT</c:f>
              <c:numCache>
                <c:formatCode>General</c:formatCode>
                <c:ptCount val="31"/>
                <c:pt idx="0">
                  <c:v>0</c:v>
                </c:pt>
                <c:pt idx="1">
                  <c:v>20</c:v>
                </c:pt>
                <c:pt idx="2">
                  <c:v>16.069901025556863</c:v>
                </c:pt>
                <c:pt idx="3">
                  <c:v>11.499788617755435</c:v>
                </c:pt>
                <c:pt idx="4">
                  <c:v>10.559512832662099</c:v>
                </c:pt>
                <c:pt idx="5">
                  <c:v>6.6048965490089193</c:v>
                </c:pt>
                <c:pt idx="6">
                  <c:v>0</c:v>
                </c:pt>
                <c:pt idx="7">
                  <c:v>0</c:v>
                </c:pt>
                <c:pt idx="8">
                  <c:v>0</c:v>
                </c:pt>
                <c:pt idx="9">
                  <c:v>0</c:v>
                </c:pt>
                <c:pt idx="10">
                  <c:v>0</c:v>
                </c:pt>
                <c:pt idx="11">
                  <c:v>0</c:v>
                </c:pt>
                <c:pt idx="12">
                  <c:v>0</c:v>
                </c:pt>
                <c:pt idx="13">
                  <c:v>1.6516792071939932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5.3124779423216292E-2</c:v>
                </c:pt>
                <c:pt idx="28">
                  <c:v>0</c:v>
                </c:pt>
                <c:pt idx="29">
                  <c:v>0</c:v>
                </c:pt>
                <c:pt idx="30">
                  <c:v>0</c:v>
                </c:pt>
              </c:numCache>
            </c:numRef>
          </c:val>
          <c:extLst>
            <c:ext xmlns:c16="http://schemas.microsoft.com/office/drawing/2014/chart" uri="{C3380CC4-5D6E-409C-BE32-E72D297353CC}">
              <c16:uniqueId val="{00000001-6C84-4D66-9310-1024B7E2E1E7}"/>
            </c:ext>
          </c:extLst>
        </c:ser>
        <c:ser>
          <c:idx val="3"/>
          <c:order val="5"/>
          <c:tx>
            <c:v>Water</c:v>
          </c:tx>
          <c:spPr>
            <a:solidFill>
              <a:schemeClr val="accent1"/>
            </a:solidFill>
            <a:ln>
              <a:solidFill>
                <a:schemeClr val="tx1"/>
              </a:solidFill>
            </a:ln>
            <a:effectLst/>
          </c:spPr>
          <c:invertIfNegative val="0"/>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Details'!plotrange_by_material_physmass_Y1_WATER</c:f>
              <c:numCache>
                <c:formatCode>General</c:formatCode>
                <c:ptCount val="31"/>
                <c:pt idx="0">
                  <c:v>40.226791975356207</c:v>
                </c:pt>
                <c:pt idx="1">
                  <c:v>0</c:v>
                </c:pt>
                <c:pt idx="2">
                  <c:v>0</c:v>
                </c:pt>
                <c:pt idx="3">
                  <c:v>0</c:v>
                </c:pt>
                <c:pt idx="4">
                  <c:v>0</c:v>
                </c:pt>
                <c:pt idx="5">
                  <c:v>0</c:v>
                </c:pt>
                <c:pt idx="6">
                  <c:v>0</c:v>
                </c:pt>
                <c:pt idx="7">
                  <c:v>4.6797577537162818</c:v>
                </c:pt>
                <c:pt idx="8">
                  <c:v>0</c:v>
                </c:pt>
                <c:pt idx="9">
                  <c:v>3.4469826932743972</c:v>
                </c:pt>
                <c:pt idx="10">
                  <c:v>4.1751939167940932</c:v>
                </c:pt>
                <c:pt idx="11">
                  <c:v>2.7527986786566365</c:v>
                </c:pt>
                <c:pt idx="12">
                  <c:v>2.2270258082638943</c:v>
                </c:pt>
                <c:pt idx="13">
                  <c:v>0</c:v>
                </c:pt>
                <c:pt idx="14">
                  <c:v>0.11011194714626546</c:v>
                </c:pt>
                <c:pt idx="15">
                  <c:v>0</c:v>
                </c:pt>
                <c:pt idx="16">
                  <c:v>0</c:v>
                </c:pt>
                <c:pt idx="17">
                  <c:v>0.95065394757334409</c:v>
                </c:pt>
                <c:pt idx="18">
                  <c:v>1.0065747680188348</c:v>
                </c:pt>
                <c:pt idx="19">
                  <c:v>0</c:v>
                </c:pt>
                <c:pt idx="20">
                  <c:v>0.50837109495872146</c:v>
                </c:pt>
                <c:pt idx="21">
                  <c:v>0.50837109495872146</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6C84-4D66-9310-1024B7E2E1E7}"/>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8575" cap="rnd">
              <a:noFill/>
              <a:round/>
            </a:ln>
            <a:effectLst/>
          </c:spPr>
          <c:marker>
            <c:symbol val="none"/>
          </c:marker>
          <c:dLbls>
            <c:dLbl>
              <c:idx val="0"/>
              <c:tx>
                <c:rich>
                  <a:bodyPr/>
                  <a:lstStyle/>
                  <a:p>
                    <a:fld id="{086C0D7B-FE55-41FE-A735-05AD12EF86E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84-4D66-9310-1024B7E2E1E7}"/>
                </c:ext>
              </c:extLst>
            </c:dLbl>
            <c:dLbl>
              <c:idx val="1"/>
              <c:tx>
                <c:rich>
                  <a:bodyPr/>
                  <a:lstStyle/>
                  <a:p>
                    <a:fld id="{52936597-78A2-4A61-B0A2-EAAC0BAEAC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D56-4A0A-BCCB-74C64C8A4F22}"/>
                </c:ext>
              </c:extLst>
            </c:dLbl>
            <c:dLbl>
              <c:idx val="2"/>
              <c:tx>
                <c:rich>
                  <a:bodyPr/>
                  <a:lstStyle/>
                  <a:p>
                    <a:fld id="{EBF3D29C-EE4D-4C34-8E61-76E44237516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D56-4A0A-BCCB-74C64C8A4F22}"/>
                </c:ext>
              </c:extLst>
            </c:dLbl>
            <c:dLbl>
              <c:idx val="3"/>
              <c:tx>
                <c:rich>
                  <a:bodyPr/>
                  <a:lstStyle/>
                  <a:p>
                    <a:fld id="{D6C6A182-D8F0-4046-B27D-0D92AAD694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D56-4A0A-BCCB-74C64C8A4F22}"/>
                </c:ext>
              </c:extLst>
            </c:dLbl>
            <c:dLbl>
              <c:idx val="4"/>
              <c:tx>
                <c:rich>
                  <a:bodyPr/>
                  <a:lstStyle/>
                  <a:p>
                    <a:fld id="{94003AA8-35C8-4FFC-A1C2-477E3EC2DD4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D56-4A0A-BCCB-74C64C8A4F22}"/>
                </c:ext>
              </c:extLst>
            </c:dLbl>
            <c:dLbl>
              <c:idx val="5"/>
              <c:tx>
                <c:rich>
                  <a:bodyPr/>
                  <a:lstStyle/>
                  <a:p>
                    <a:fld id="{F76FB643-E064-463B-9875-E9FC8C25726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D56-4A0A-BCCB-74C64C8A4F22}"/>
                </c:ext>
              </c:extLst>
            </c:dLbl>
            <c:dLbl>
              <c:idx val="6"/>
              <c:tx>
                <c:rich>
                  <a:bodyPr/>
                  <a:lstStyle/>
                  <a:p>
                    <a:fld id="{DDBEFD6D-6079-4BDF-A4A3-03BFB4B7AB0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56-4A0A-BCCB-74C64C8A4F22}"/>
                </c:ext>
              </c:extLst>
            </c:dLbl>
            <c:dLbl>
              <c:idx val="7"/>
              <c:tx>
                <c:rich>
                  <a:bodyPr/>
                  <a:lstStyle/>
                  <a:p>
                    <a:fld id="{9FC447EC-6C8E-41C5-A714-BC43AC297A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D56-4A0A-BCCB-74C64C8A4F22}"/>
                </c:ext>
              </c:extLst>
            </c:dLbl>
            <c:dLbl>
              <c:idx val="8"/>
              <c:tx>
                <c:rich>
                  <a:bodyPr/>
                  <a:lstStyle/>
                  <a:p>
                    <a:fld id="{5F1D4427-47FC-4EF8-B4D1-A5CC82108A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D56-4A0A-BCCB-74C64C8A4F22}"/>
                </c:ext>
              </c:extLst>
            </c:dLbl>
            <c:dLbl>
              <c:idx val="9"/>
              <c:tx>
                <c:rich>
                  <a:bodyPr/>
                  <a:lstStyle/>
                  <a:p>
                    <a:fld id="{8C2A1245-9931-479E-83ED-6A142DBEC7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D56-4A0A-BCCB-74C64C8A4F22}"/>
                </c:ext>
              </c:extLst>
            </c:dLbl>
            <c:dLbl>
              <c:idx val="10"/>
              <c:tx>
                <c:rich>
                  <a:bodyPr/>
                  <a:lstStyle/>
                  <a:p>
                    <a:fld id="{994A71A4-DB67-4DD6-95A8-7BC40B44297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D56-4A0A-BCCB-74C64C8A4F22}"/>
                </c:ext>
              </c:extLst>
            </c:dLbl>
            <c:dLbl>
              <c:idx val="11"/>
              <c:tx>
                <c:rich>
                  <a:bodyPr/>
                  <a:lstStyle/>
                  <a:p>
                    <a:fld id="{E737180A-9A1B-4E66-A510-A7788B986F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D56-4A0A-BCCB-74C64C8A4F22}"/>
                </c:ext>
              </c:extLst>
            </c:dLbl>
            <c:dLbl>
              <c:idx val="12"/>
              <c:tx>
                <c:rich>
                  <a:bodyPr/>
                  <a:lstStyle/>
                  <a:p>
                    <a:fld id="{AD6279A1-8668-4C6C-8144-54038DB83E3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D56-4A0A-BCCB-74C64C8A4F22}"/>
                </c:ext>
              </c:extLst>
            </c:dLbl>
            <c:dLbl>
              <c:idx val="13"/>
              <c:tx>
                <c:rich>
                  <a:bodyPr/>
                  <a:lstStyle/>
                  <a:p>
                    <a:fld id="{9DABD9F6-25C9-4EEB-B088-37D4B8B002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D56-4A0A-BCCB-74C64C8A4F22}"/>
                </c:ext>
              </c:extLst>
            </c:dLbl>
            <c:dLbl>
              <c:idx val="14"/>
              <c:tx>
                <c:rich>
                  <a:bodyPr/>
                  <a:lstStyle/>
                  <a:p>
                    <a:fld id="{7C11448D-EBED-477B-8C7C-9EC00B0968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D56-4A0A-BCCB-74C64C8A4F22}"/>
                </c:ext>
              </c:extLst>
            </c:dLbl>
            <c:dLbl>
              <c:idx val="15"/>
              <c:tx>
                <c:rich>
                  <a:bodyPr/>
                  <a:lstStyle/>
                  <a:p>
                    <a:fld id="{A62FEC59-0CEA-498F-A078-A946835BFA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D56-4A0A-BCCB-74C64C8A4F22}"/>
                </c:ext>
              </c:extLst>
            </c:dLbl>
            <c:dLbl>
              <c:idx val="16"/>
              <c:tx>
                <c:rich>
                  <a:bodyPr/>
                  <a:lstStyle/>
                  <a:p>
                    <a:fld id="{C418CED2-0881-4275-90E1-2D33E89821B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D56-4A0A-BCCB-74C64C8A4F22}"/>
                </c:ext>
              </c:extLst>
            </c:dLbl>
            <c:dLbl>
              <c:idx val="17"/>
              <c:tx>
                <c:rich>
                  <a:bodyPr/>
                  <a:lstStyle/>
                  <a:p>
                    <a:fld id="{8FC08130-9C3D-4FA7-BA35-2E574ED700F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D56-4A0A-BCCB-74C64C8A4F22}"/>
                </c:ext>
              </c:extLst>
            </c:dLbl>
            <c:dLbl>
              <c:idx val="18"/>
              <c:tx>
                <c:rich>
                  <a:bodyPr/>
                  <a:lstStyle/>
                  <a:p>
                    <a:fld id="{1ACA51CF-FAEE-492F-9915-4486FC7F8A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D56-4A0A-BCCB-74C64C8A4F22}"/>
                </c:ext>
              </c:extLst>
            </c:dLbl>
            <c:dLbl>
              <c:idx val="19"/>
              <c:tx>
                <c:rich>
                  <a:bodyPr/>
                  <a:lstStyle/>
                  <a:p>
                    <a:fld id="{76DD73F9-465A-4788-AF7F-6E1A1DE3512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D56-4A0A-BCCB-74C64C8A4F22}"/>
                </c:ext>
              </c:extLst>
            </c:dLbl>
            <c:dLbl>
              <c:idx val="20"/>
              <c:tx>
                <c:rich>
                  <a:bodyPr/>
                  <a:lstStyle/>
                  <a:p>
                    <a:fld id="{E4C25CC4-5FC3-4C99-A1C3-92B918E32A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D56-4A0A-BCCB-74C64C8A4F22}"/>
                </c:ext>
              </c:extLst>
            </c:dLbl>
            <c:dLbl>
              <c:idx val="21"/>
              <c:tx>
                <c:rich>
                  <a:bodyPr/>
                  <a:lstStyle/>
                  <a:p>
                    <a:fld id="{E0855353-70F3-4BE0-91B3-934079EE3AC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D56-4A0A-BCCB-74C64C8A4F22}"/>
                </c:ext>
              </c:extLst>
            </c:dLbl>
            <c:dLbl>
              <c:idx val="22"/>
              <c:tx>
                <c:rich>
                  <a:bodyPr/>
                  <a:lstStyle/>
                  <a:p>
                    <a:fld id="{C33C3681-E8DA-409A-8C68-E320E98A74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D56-4A0A-BCCB-74C64C8A4F22}"/>
                </c:ext>
              </c:extLst>
            </c:dLbl>
            <c:dLbl>
              <c:idx val="23"/>
              <c:tx>
                <c:rich>
                  <a:bodyPr/>
                  <a:lstStyle/>
                  <a:p>
                    <a:fld id="{D6842693-2FCB-4A03-B7FB-1A8AE68415A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D56-4A0A-BCCB-74C64C8A4F22}"/>
                </c:ext>
              </c:extLst>
            </c:dLbl>
            <c:dLbl>
              <c:idx val="24"/>
              <c:tx>
                <c:rich>
                  <a:bodyPr/>
                  <a:lstStyle/>
                  <a:p>
                    <a:fld id="{E22471AC-4E62-4BC4-9B68-1404460DD3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D56-4A0A-BCCB-74C64C8A4F22}"/>
                </c:ext>
              </c:extLst>
            </c:dLbl>
            <c:dLbl>
              <c:idx val="25"/>
              <c:tx>
                <c:rich>
                  <a:bodyPr/>
                  <a:lstStyle/>
                  <a:p>
                    <a:fld id="{8B4CDF36-C1CC-45BA-8FC6-7A75E9897D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D56-4A0A-BCCB-74C64C8A4F22}"/>
                </c:ext>
              </c:extLst>
            </c:dLbl>
            <c:dLbl>
              <c:idx val="26"/>
              <c:tx>
                <c:rich>
                  <a:bodyPr/>
                  <a:lstStyle/>
                  <a:p>
                    <a:fld id="{1BFFD29C-61FC-4DD9-948E-5F2A4C8821A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D56-4A0A-BCCB-74C64C8A4F22}"/>
                </c:ext>
              </c:extLst>
            </c:dLbl>
            <c:dLbl>
              <c:idx val="27"/>
              <c:tx>
                <c:rich>
                  <a:bodyPr/>
                  <a:lstStyle/>
                  <a:p>
                    <a:fld id="{F9B3E544-7629-4F6A-9D31-9811D1416C6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D56-4A0A-BCCB-74C64C8A4F22}"/>
                </c:ext>
              </c:extLst>
            </c:dLbl>
            <c:dLbl>
              <c:idx val="28"/>
              <c:tx>
                <c:rich>
                  <a:bodyPr/>
                  <a:lstStyle/>
                  <a:p>
                    <a:fld id="{F0AE1114-1695-46E8-981A-C24CBD5A7F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D56-4A0A-BCCB-74C64C8A4F22}"/>
                </c:ext>
              </c:extLst>
            </c:dLbl>
            <c:dLbl>
              <c:idx val="29"/>
              <c:tx>
                <c:rich>
                  <a:bodyPr/>
                  <a:lstStyle/>
                  <a:p>
                    <a:fld id="{E215EADF-7F1C-4F64-B922-31BAF1879D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D56-4A0A-BCCB-74C64C8A4F22}"/>
                </c:ext>
              </c:extLst>
            </c:dLbl>
            <c:dLbl>
              <c:idx val="30"/>
              <c:tx>
                <c:rich>
                  <a:bodyPr/>
                  <a:lstStyle/>
                  <a:p>
                    <a:fld id="{2771BDE4-6AA7-44C9-811D-4D4CDBF8AC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D56-4A0A-BCCB-74C64C8A4F22}"/>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Details'!plotrange_by_material_physmass_Y1</c:f>
              <c:numCache>
                <c:formatCode>General</c:formatCode>
                <c:ptCount val="31"/>
                <c:pt idx="0">
                  <c:v>40.226791975356207</c:v>
                </c:pt>
                <c:pt idx="1">
                  <c:v>20</c:v>
                </c:pt>
                <c:pt idx="2">
                  <c:v>16.069901025556863</c:v>
                </c:pt>
                <c:pt idx="3">
                  <c:v>11.499788617755435</c:v>
                </c:pt>
                <c:pt idx="4">
                  <c:v>10.559512832662099</c:v>
                </c:pt>
                <c:pt idx="5">
                  <c:v>6.6048965490089193</c:v>
                </c:pt>
                <c:pt idx="6">
                  <c:v>5.5055973573133095</c:v>
                </c:pt>
                <c:pt idx="7">
                  <c:v>5.505597357313273</c:v>
                </c:pt>
                <c:pt idx="8">
                  <c:v>4.4044778858506479</c:v>
                </c:pt>
                <c:pt idx="9">
                  <c:v>4.4044778858506186</c:v>
                </c:pt>
                <c:pt idx="10">
                  <c:v>4.1940615334094513</c:v>
                </c:pt>
                <c:pt idx="11">
                  <c:v>3.853918150119291</c:v>
                </c:pt>
                <c:pt idx="12">
                  <c:v>2.7960410222745415</c:v>
                </c:pt>
                <c:pt idx="13">
                  <c:v>2.202238942925324</c:v>
                </c:pt>
                <c:pt idx="14">
                  <c:v>2.2022389429253093</c:v>
                </c:pt>
                <c:pt idx="15">
                  <c:v>1.2198798873354835</c:v>
                </c:pt>
                <c:pt idx="16">
                  <c:v>1.1200000000000001</c:v>
                </c:pt>
                <c:pt idx="17">
                  <c:v>1.1184164089098168</c:v>
                </c:pt>
                <c:pt idx="18">
                  <c:v>1.1184164089098165</c:v>
                </c:pt>
                <c:pt idx="19">
                  <c:v>0.8</c:v>
                </c:pt>
                <c:pt idx="20">
                  <c:v>0.69901025556824192</c:v>
                </c:pt>
                <c:pt idx="21">
                  <c:v>0.69901025556824192</c:v>
                </c:pt>
                <c:pt idx="22">
                  <c:v>0.20970307667059063</c:v>
                </c:pt>
                <c:pt idx="23">
                  <c:v>0.13980205111372709</c:v>
                </c:pt>
                <c:pt idx="24">
                  <c:v>0.13980205111364838</c:v>
                </c:pt>
                <c:pt idx="25">
                  <c:v>0.13980205111364838</c:v>
                </c:pt>
                <c:pt idx="26">
                  <c:v>6.9901025556863547E-2</c:v>
                </c:pt>
                <c:pt idx="27">
                  <c:v>5.5920820445490835E-2</c:v>
                </c:pt>
                <c:pt idx="28">
                  <c:v>1.398020511137271E-2</c:v>
                </c:pt>
                <c:pt idx="29">
                  <c:v>6.990102555686355E-4</c:v>
                </c:pt>
                <c:pt idx="30">
                  <c:v>3.4950512778431775E-4</c:v>
                </c:pt>
              </c:numCache>
            </c:numRef>
          </c:val>
          <c:smooth val="0"/>
          <c:extLst>
            <c:ext xmlns:c15="http://schemas.microsoft.com/office/drawing/2012/chart" uri="{02D57815-91ED-43cb-92C2-25804820EDAC}">
              <c15:datalabelsRange>
                <c15:f>'2. Enter Step Details'!plotrange_by_material_physmass_labels</c15:f>
                <c15:dlblRangeCache>
                  <c:ptCount val="31"/>
                  <c:pt idx="0">
                    <c:v>(27%)</c:v>
                  </c:pt>
                  <c:pt idx="1">
                    <c:v>(14%)</c:v>
                  </c:pt>
                  <c:pt idx="2">
                    <c:v>(11%)</c:v>
                  </c:pt>
                  <c:pt idx="3">
                    <c:v>(8%)</c:v>
                  </c:pt>
                  <c:pt idx="4">
                    <c:v>(7%)</c:v>
                  </c:pt>
                  <c:pt idx="5">
                    <c:v>(4%)</c:v>
                  </c:pt>
                  <c:pt idx="6">
                    <c:v>(4%)</c:v>
                  </c:pt>
                  <c:pt idx="7">
                    <c:v>(4%)</c:v>
                  </c:pt>
                  <c:pt idx="8">
                    <c:v>(3%)</c:v>
                  </c:pt>
                  <c:pt idx="9">
                    <c:v>(3%)</c:v>
                  </c:pt>
                  <c:pt idx="10">
                    <c:v>(3%)</c:v>
                  </c:pt>
                  <c:pt idx="11">
                    <c:v>(3%)</c:v>
                  </c:pt>
                  <c:pt idx="12">
                    <c:v>(2%)</c:v>
                  </c:pt>
                  <c:pt idx="13">
                    <c:v>(1%)</c:v>
                  </c:pt>
                  <c:pt idx="14">
                    <c:v>(1%)</c:v>
                  </c:pt>
                  <c:pt idx="15">
                    <c:v>(1%)</c:v>
                  </c:pt>
                  <c:pt idx="16">
                    <c:v>(1%)</c:v>
                  </c:pt>
                  <c:pt idx="17">
                    <c:v>(1%)</c:v>
                  </c:pt>
                  <c:pt idx="18">
                    <c:v>(1%)</c:v>
                  </c:pt>
                  <c:pt idx="19">
                    <c:v>(1%)</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6-6C84-4D66-9310-1024B7E2E1E7}"/>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Details'!plotrange_by_material_physmass_X</c:f>
              <c:strCache>
                <c:ptCount val="31"/>
                <c:pt idx="0">
                  <c:v>water</c:v>
                </c:pt>
                <c:pt idx="1">
                  <c:v>IPA</c:v>
                </c:pt>
                <c:pt idx="2">
                  <c:v>methanol</c:v>
                </c:pt>
                <c:pt idx="3">
                  <c:v>toluene</c:v>
                </c:pt>
                <c:pt idx="4">
                  <c:v>DMF</c:v>
                </c:pt>
                <c:pt idx="5">
                  <c:v>acetonitrile</c:v>
                </c:pt>
                <c:pt idx="6">
                  <c:v>reagent U (organic)</c:v>
                </c:pt>
                <c:pt idx="7">
                  <c:v>15 wt% reagent K (inorganic) in water</c:v>
                </c:pt>
                <c:pt idx="8">
                  <c:v>reagent T (organic)</c:v>
                </c:pt>
                <c:pt idx="9">
                  <c:v>20 wt% reagent J (inorganic) in water</c:v>
                </c:pt>
                <c:pt idx="10">
                  <c:v>0.1 M reagent G (inorganic) in water</c:v>
                </c:pt>
                <c:pt idx="11">
                  <c:v>0.3 M reagent L (organic) in water</c:v>
                </c:pt>
                <c:pt idx="12">
                  <c:v>6 M HCl (aq)</c:v>
                </c:pt>
                <c:pt idx="13">
                  <c:v>25 wt% reagent I (organic) in DMF</c:v>
                </c:pt>
                <c:pt idx="14">
                  <c:v>95 wt% reagent M (organic)</c:v>
                </c:pt>
                <c:pt idx="15">
                  <c:v>reagent D (organic)</c:v>
                </c:pt>
                <c:pt idx="16">
                  <c:v>reagent M (organic)</c:v>
                </c:pt>
                <c:pt idx="17">
                  <c:v>15 wt% reagent C (inorganic) in water</c:v>
                </c:pt>
                <c:pt idx="18">
                  <c:v>10 wt% reagent B (inorganic) in water</c:v>
                </c:pt>
                <c:pt idx="19">
                  <c:v>reagent V (organic)</c:v>
                </c:pt>
                <c:pt idx="20">
                  <c:v>30 wt% reagent F (inorganic) in water</c:v>
                </c:pt>
                <c:pt idx="21">
                  <c:v>30 wt% reagent F (inorganic) in water</c:v>
                </c:pt>
                <c:pt idx="22">
                  <c:v>reagent P (organic)</c:v>
                </c:pt>
                <c:pt idx="23">
                  <c:v>reagent O (organic)</c:v>
                </c:pt>
                <c:pt idx="24">
                  <c:v>reagent S (organic)</c:v>
                </c:pt>
                <c:pt idx="25">
                  <c:v>reagent S (organic)</c:v>
                </c:pt>
                <c:pt idx="26">
                  <c:v>reagent N (organic)</c:v>
                </c:pt>
                <c:pt idx="27">
                  <c:v>5 wt% reagent A (organic) in acetonitrile</c:v>
                </c:pt>
                <c:pt idx="28">
                  <c:v>nickel salt</c:v>
                </c:pt>
                <c:pt idx="29">
                  <c:v>reagent Q (organic)</c:v>
                </c:pt>
                <c:pt idx="30">
                  <c:v>reagent R (organic)</c:v>
                </c:pt>
              </c:strCache>
            </c:strRef>
          </c:cat>
          <c:val>
            <c:numRef>
              <c:f>'2. Enter Step Details'!plotrange_by_material_physmass_Y2</c:f>
              <c:numCache>
                <c:formatCode>General</c:formatCode>
                <c:ptCount val="31"/>
                <c:pt idx="0">
                  <c:v>40.226791975356207</c:v>
                </c:pt>
                <c:pt idx="1">
                  <c:v>60.226791975356207</c:v>
                </c:pt>
                <c:pt idx="2">
                  <c:v>76.296693000913066</c:v>
                </c:pt>
                <c:pt idx="3">
                  <c:v>87.796481618668508</c:v>
                </c:pt>
                <c:pt idx="4">
                  <c:v>98.355994451330602</c:v>
                </c:pt>
                <c:pt idx="5">
                  <c:v>104.96089100033952</c:v>
                </c:pt>
                <c:pt idx="6">
                  <c:v>110.46648835765282</c:v>
                </c:pt>
                <c:pt idx="7">
                  <c:v>115.9720857149661</c:v>
                </c:pt>
                <c:pt idx="8">
                  <c:v>120.37656360081675</c:v>
                </c:pt>
                <c:pt idx="9">
                  <c:v>124.78104148666738</c:v>
                </c:pt>
                <c:pt idx="10">
                  <c:v>128.97510302007683</c:v>
                </c:pt>
                <c:pt idx="11">
                  <c:v>132.82902117019611</c:v>
                </c:pt>
                <c:pt idx="12">
                  <c:v>135.62506219247066</c:v>
                </c:pt>
                <c:pt idx="13">
                  <c:v>137.827301135396</c:v>
                </c:pt>
                <c:pt idx="14">
                  <c:v>140.0295400783213</c:v>
                </c:pt>
                <c:pt idx="15">
                  <c:v>141.24941996565678</c:v>
                </c:pt>
                <c:pt idx="16">
                  <c:v>142.36941996565679</c:v>
                </c:pt>
                <c:pt idx="17">
                  <c:v>143.4878363745666</c:v>
                </c:pt>
                <c:pt idx="18">
                  <c:v>144.60625278347641</c:v>
                </c:pt>
                <c:pt idx="19">
                  <c:v>145.40625278347642</c:v>
                </c:pt>
                <c:pt idx="20">
                  <c:v>146.10526303904467</c:v>
                </c:pt>
                <c:pt idx="21">
                  <c:v>146.80427329461293</c:v>
                </c:pt>
                <c:pt idx="22">
                  <c:v>147.01397637128352</c:v>
                </c:pt>
                <c:pt idx="23">
                  <c:v>147.15377842239724</c:v>
                </c:pt>
                <c:pt idx="24">
                  <c:v>147.2935804735109</c:v>
                </c:pt>
                <c:pt idx="25">
                  <c:v>147.43338252462456</c:v>
                </c:pt>
                <c:pt idx="26">
                  <c:v>147.50328355018144</c:v>
                </c:pt>
                <c:pt idx="27">
                  <c:v>147.55920437062693</c:v>
                </c:pt>
                <c:pt idx="28">
                  <c:v>147.57318457573831</c:v>
                </c:pt>
                <c:pt idx="29">
                  <c:v>147.57388358599388</c:v>
                </c:pt>
                <c:pt idx="30">
                  <c:v>147.57423309112167</c:v>
                </c:pt>
              </c:numCache>
            </c:numRef>
          </c:val>
          <c:smooth val="0"/>
          <c:extLst>
            <c:ext xmlns:c16="http://schemas.microsoft.com/office/drawing/2014/chart" uri="{C3380CC4-5D6E-409C-BE32-E72D297353CC}">
              <c16:uniqueId val="{00000027-6C84-4D66-9310-1024B7E2E1E7}"/>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b="1"/>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Physical Mass (kg)</a:t>
                </a:r>
              </a:p>
            </c:rich>
          </c:tx>
          <c:layout>
            <c:manualLayout>
              <c:xMode val="edge"/>
              <c:yMode val="edge"/>
              <c:x val="8.859416640509276E-3"/>
              <c:y val="0.2606703120443277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36219490243122"/>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Process Metrics Dashboard'!$D$135</c:f>
          <c:strCache>
            <c:ptCount val="1"/>
            <c:pt idx="0">
              <c:v>Mass Net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58C-417E-883A-076F433751A5}"/>
            </c:ext>
          </c:extLst>
        </c:ser>
        <c:ser>
          <c:idx val="6"/>
          <c:order val="1"/>
          <c:tx>
            <c:v>Enzymes &amp; Plant Extracts</c:v>
          </c:tx>
          <c:spPr>
            <a:solidFill>
              <a:srgbClr val="92D050"/>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258C-417E-883A-076F433751A5}"/>
            </c:ext>
          </c:extLst>
        </c:ser>
        <c:ser>
          <c:idx val="5"/>
          <c:order val="2"/>
          <c:tx>
            <c:v>Metal</c:v>
          </c:tx>
          <c:spPr>
            <a:solidFill>
              <a:schemeClr val="accent3"/>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1.3212335406624615E-2</c:v>
                </c:pt>
                <c:pt idx="28">
                  <c:v>0</c:v>
                </c:pt>
                <c:pt idx="29">
                  <c:v>0</c:v>
                </c:pt>
                <c:pt idx="30">
                  <c:v>0</c:v>
                </c:pt>
              </c:numCache>
            </c:numRef>
          </c:val>
          <c:extLst>
            <c:ext xmlns:c16="http://schemas.microsoft.com/office/drawing/2014/chart" uri="{C3380CC4-5D6E-409C-BE32-E72D297353CC}">
              <c16:uniqueId val="{00000002-258C-417E-883A-076F433751A5}"/>
            </c:ext>
          </c:extLst>
        </c:ser>
        <c:ser>
          <c:idx val="0"/>
          <c:order val="3"/>
          <c:tx>
            <c:v>Reagent</c:v>
          </c:tx>
          <c:spPr>
            <a:solidFill>
              <a:srgbClr val="FF0000"/>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Details'!plotrange_by_material_massnet_Y1_REAGENT</c:f>
              <c:numCache>
                <c:formatCode>General</c:formatCode>
                <c:ptCount val="31"/>
                <c:pt idx="0">
                  <c:v>0</c:v>
                </c:pt>
                <c:pt idx="1">
                  <c:v>0</c:v>
                </c:pt>
                <c:pt idx="2">
                  <c:v>0</c:v>
                </c:pt>
                <c:pt idx="3">
                  <c:v>0</c:v>
                </c:pt>
                <c:pt idx="4">
                  <c:v>11.485341259420279</c:v>
                </c:pt>
                <c:pt idx="5">
                  <c:v>0</c:v>
                </c:pt>
                <c:pt idx="6">
                  <c:v>9.1882730075362247</c:v>
                </c:pt>
                <c:pt idx="7">
                  <c:v>1.1485341259420281</c:v>
                </c:pt>
                <c:pt idx="8">
                  <c:v>2.8034501743439186</c:v>
                </c:pt>
                <c:pt idx="9">
                  <c:v>2.5448168277217289</c:v>
                </c:pt>
                <c:pt idx="10">
                  <c:v>2.3364553155096774</c:v>
                </c:pt>
                <c:pt idx="11">
                  <c:v>2.2970682518840406</c:v>
                </c:pt>
                <c:pt idx="12">
                  <c:v>1.6688966539354837</c:v>
                </c:pt>
                <c:pt idx="13">
                  <c:v>1.2830435580521369</c:v>
                </c:pt>
                <c:pt idx="14">
                  <c:v>1.1066250688199681</c:v>
                </c:pt>
                <c:pt idx="15">
                  <c:v>0.76248038677426744</c:v>
                </c:pt>
                <c:pt idx="16">
                  <c:v>0.43746595371940611</c:v>
                </c:pt>
                <c:pt idx="17">
                  <c:v>0.29164396914627078</c:v>
                </c:pt>
                <c:pt idx="18">
                  <c:v>0.29164396914610657</c:v>
                </c:pt>
                <c:pt idx="19">
                  <c:v>0.25545647521675752</c:v>
                </c:pt>
                <c:pt idx="20">
                  <c:v>0.22480169819087317</c:v>
                </c:pt>
                <c:pt idx="21">
                  <c:v>0.14986779879391543</c:v>
                </c:pt>
                <c:pt idx="22">
                  <c:v>0.14582198457313539</c:v>
                </c:pt>
                <c:pt idx="23">
                  <c:v>5.8328793829254153E-3</c:v>
                </c:pt>
                <c:pt idx="24">
                  <c:v>0</c:v>
                </c:pt>
                <c:pt idx="25">
                  <c:v>4.6833687123072211E-2</c:v>
                </c:pt>
                <c:pt idx="26">
                  <c:v>2.5282606264579625E-2</c:v>
                </c:pt>
                <c:pt idx="27">
                  <c:v>1.1805075839208161E-2</c:v>
                </c:pt>
                <c:pt idx="28">
                  <c:v>1.8733474849228886E-3</c:v>
                </c:pt>
                <c:pt idx="29">
                  <c:v>1.4582198457313538E-3</c:v>
                </c:pt>
                <c:pt idx="30">
                  <c:v>7.2910992286567692E-4</c:v>
                </c:pt>
              </c:numCache>
            </c:numRef>
          </c:val>
          <c:extLst>
            <c:ext xmlns:c16="http://schemas.microsoft.com/office/drawing/2014/chart" uri="{C3380CC4-5D6E-409C-BE32-E72D297353CC}">
              <c16:uniqueId val="{00000003-258C-417E-883A-076F433751A5}"/>
            </c:ext>
          </c:extLst>
        </c:ser>
        <c:ser>
          <c:idx val="2"/>
          <c:order val="4"/>
          <c:tx>
            <c:v>Solvent</c:v>
          </c:tx>
          <c:spPr>
            <a:solidFill>
              <a:schemeClr val="accent4"/>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Details'!plotrange_by_material_massnet_Y1_SOLVENT</c:f>
              <c:numCache>
                <c:formatCode>General</c:formatCode>
                <c:ptCount val="31"/>
                <c:pt idx="0">
                  <c:v>28.871877999999999</c:v>
                </c:pt>
                <c:pt idx="1">
                  <c:v>17.542697124668418</c:v>
                </c:pt>
                <c:pt idx="2">
                  <c:v>14.519963152711345</c:v>
                </c:pt>
                <c:pt idx="3">
                  <c:v>13.440407684454071</c:v>
                </c:pt>
                <c:pt idx="4">
                  <c:v>0</c:v>
                </c:pt>
                <c:pt idx="5">
                  <c:v>11.240092915121789</c:v>
                </c:pt>
                <c:pt idx="6">
                  <c:v>0</c:v>
                </c:pt>
                <c:pt idx="7">
                  <c:v>2.7439625802899825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0.10810444770733978</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258C-417E-883A-076F433751A5}"/>
            </c:ext>
          </c:extLst>
        </c:ser>
        <c:ser>
          <c:idx val="3"/>
          <c:order val="5"/>
          <c:tx>
            <c:v>Water</c:v>
          </c:tx>
          <c:spPr>
            <a:solidFill>
              <a:schemeClr val="accent1"/>
            </a:solidFill>
            <a:ln>
              <a:solidFill>
                <a:schemeClr val="tx1"/>
              </a:solidFill>
            </a:ln>
            <a:effectLst/>
          </c:spPr>
          <c:invertIfNegative val="0"/>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Details'!plotrange_by_material_massnet_Y1_WATER</c:f>
              <c:numCache>
                <c:formatCode>General</c:formatCode>
                <c:ptCount val="31"/>
                <c:pt idx="0">
                  <c:v>0</c:v>
                </c:pt>
                <c:pt idx="1">
                  <c:v>0</c:v>
                </c:pt>
                <c:pt idx="2">
                  <c:v>0</c:v>
                </c:pt>
                <c:pt idx="3">
                  <c:v>0</c:v>
                </c:pt>
                <c:pt idx="4">
                  <c:v>0</c:v>
                </c:pt>
                <c:pt idx="5">
                  <c:v>0</c:v>
                </c:pt>
                <c:pt idx="6">
                  <c:v>0</c:v>
                </c:pt>
                <c:pt idx="7">
                  <c:v>0</c:v>
                </c:pt>
                <c:pt idx="8">
                  <c:v>1.6850049183336405E-4</c:v>
                </c:pt>
                <c:pt idx="9">
                  <c:v>0</c:v>
                </c:pt>
                <c:pt idx="10">
                  <c:v>0</c:v>
                </c:pt>
                <c:pt idx="11">
                  <c:v>4.212512295834101E-3</c:v>
                </c:pt>
                <c:pt idx="12">
                  <c:v>0</c:v>
                </c:pt>
                <c:pt idx="13">
                  <c:v>5.2747980052183533E-3</c:v>
                </c:pt>
                <c:pt idx="14">
                  <c:v>7.1612709029179713E-3</c:v>
                </c:pt>
                <c:pt idx="15">
                  <c:v>3.4079403165906907E-3</c:v>
                </c:pt>
                <c:pt idx="16">
                  <c:v>0</c:v>
                </c:pt>
                <c:pt idx="17">
                  <c:v>0</c:v>
                </c:pt>
                <c:pt idx="18">
                  <c:v>0</c:v>
                </c:pt>
                <c:pt idx="19">
                  <c:v>7.779426461383363E-4</c:v>
                </c:pt>
                <c:pt idx="20">
                  <c:v>1.4547527482795077E-3</c:v>
                </c:pt>
                <c:pt idx="21">
                  <c:v>1.5403264393547727E-3</c:v>
                </c:pt>
                <c:pt idx="22">
                  <c:v>0</c:v>
                </c:pt>
                <c:pt idx="23">
                  <c:v>0</c:v>
                </c:pt>
                <c:pt idx="24">
                  <c:v>6.1557663890206053E-2</c:v>
                </c:pt>
                <c:pt idx="25">
                  <c:v>1.6045067076603185E-4</c:v>
                </c:pt>
                <c:pt idx="26">
                  <c:v>6.3891543716410879E-3</c:v>
                </c:pt>
                <c:pt idx="27">
                  <c:v>0</c:v>
                </c:pt>
                <c:pt idx="28">
                  <c:v>1.0675317961633319E-3</c:v>
                </c:pt>
                <c:pt idx="29">
                  <c:v>0</c:v>
                </c:pt>
                <c:pt idx="30">
                  <c:v>0</c:v>
                </c:pt>
              </c:numCache>
            </c:numRef>
          </c:val>
          <c:extLst>
            <c:ext xmlns:c16="http://schemas.microsoft.com/office/drawing/2014/chart" uri="{C3380CC4-5D6E-409C-BE32-E72D297353CC}">
              <c16:uniqueId val="{00000005-258C-417E-883A-076F433751A5}"/>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5F81B43A-CEF4-493A-A8DD-3BD98F6DDF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8C-417E-883A-076F433751A5}"/>
                </c:ext>
              </c:extLst>
            </c:dLbl>
            <c:dLbl>
              <c:idx val="1"/>
              <c:tx>
                <c:rich>
                  <a:bodyPr/>
                  <a:lstStyle/>
                  <a:p>
                    <a:fld id="{4CF67D40-07CB-4006-8012-CCE61A5348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65C-4C2A-9044-2121B1BE14C4}"/>
                </c:ext>
              </c:extLst>
            </c:dLbl>
            <c:dLbl>
              <c:idx val="2"/>
              <c:tx>
                <c:rich>
                  <a:bodyPr/>
                  <a:lstStyle/>
                  <a:p>
                    <a:fld id="{C0F040DD-9B3E-4B04-8E6C-F5E2B87D521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65C-4C2A-9044-2121B1BE14C4}"/>
                </c:ext>
              </c:extLst>
            </c:dLbl>
            <c:dLbl>
              <c:idx val="3"/>
              <c:tx>
                <c:rich>
                  <a:bodyPr/>
                  <a:lstStyle/>
                  <a:p>
                    <a:fld id="{88368C25-C58C-44C2-823B-4BEE29B2D0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65C-4C2A-9044-2121B1BE14C4}"/>
                </c:ext>
              </c:extLst>
            </c:dLbl>
            <c:dLbl>
              <c:idx val="4"/>
              <c:tx>
                <c:rich>
                  <a:bodyPr/>
                  <a:lstStyle/>
                  <a:p>
                    <a:fld id="{67FEFD5B-A437-4DC8-B0A9-11C7D11127F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65C-4C2A-9044-2121B1BE14C4}"/>
                </c:ext>
              </c:extLst>
            </c:dLbl>
            <c:dLbl>
              <c:idx val="5"/>
              <c:tx>
                <c:rich>
                  <a:bodyPr/>
                  <a:lstStyle/>
                  <a:p>
                    <a:fld id="{9C4D9506-453C-4AC3-B29B-F5C3BC5228E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5C-4C2A-9044-2121B1BE14C4}"/>
                </c:ext>
              </c:extLst>
            </c:dLbl>
            <c:dLbl>
              <c:idx val="6"/>
              <c:tx>
                <c:rich>
                  <a:bodyPr/>
                  <a:lstStyle/>
                  <a:p>
                    <a:fld id="{A038A336-5241-4031-A01E-4BE5846D72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65C-4C2A-9044-2121B1BE14C4}"/>
                </c:ext>
              </c:extLst>
            </c:dLbl>
            <c:dLbl>
              <c:idx val="7"/>
              <c:tx>
                <c:rich>
                  <a:bodyPr/>
                  <a:lstStyle/>
                  <a:p>
                    <a:fld id="{A179BDFA-D8A7-4A6D-BDC1-6D04AF0C33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65C-4C2A-9044-2121B1BE14C4}"/>
                </c:ext>
              </c:extLst>
            </c:dLbl>
            <c:dLbl>
              <c:idx val="8"/>
              <c:tx>
                <c:rich>
                  <a:bodyPr/>
                  <a:lstStyle/>
                  <a:p>
                    <a:fld id="{0B7016FD-02EF-4C40-A7AA-D6D0F2C0E6D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65C-4C2A-9044-2121B1BE14C4}"/>
                </c:ext>
              </c:extLst>
            </c:dLbl>
            <c:dLbl>
              <c:idx val="9"/>
              <c:tx>
                <c:rich>
                  <a:bodyPr/>
                  <a:lstStyle/>
                  <a:p>
                    <a:fld id="{C5CB8FB1-C1C6-4E58-9D9A-A7563DEE48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65C-4C2A-9044-2121B1BE14C4}"/>
                </c:ext>
              </c:extLst>
            </c:dLbl>
            <c:dLbl>
              <c:idx val="10"/>
              <c:tx>
                <c:rich>
                  <a:bodyPr/>
                  <a:lstStyle/>
                  <a:p>
                    <a:fld id="{96927F36-4667-4F58-BA27-28AACC8B3E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65C-4C2A-9044-2121B1BE14C4}"/>
                </c:ext>
              </c:extLst>
            </c:dLbl>
            <c:dLbl>
              <c:idx val="11"/>
              <c:tx>
                <c:rich>
                  <a:bodyPr/>
                  <a:lstStyle/>
                  <a:p>
                    <a:fld id="{27D81D4A-0CC1-4633-A963-6EFCD252DD8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65C-4C2A-9044-2121B1BE14C4}"/>
                </c:ext>
              </c:extLst>
            </c:dLbl>
            <c:dLbl>
              <c:idx val="12"/>
              <c:tx>
                <c:rich>
                  <a:bodyPr/>
                  <a:lstStyle/>
                  <a:p>
                    <a:fld id="{5F2872ED-1A04-4F38-A080-C7B31246A4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65C-4C2A-9044-2121B1BE14C4}"/>
                </c:ext>
              </c:extLst>
            </c:dLbl>
            <c:dLbl>
              <c:idx val="13"/>
              <c:tx>
                <c:rich>
                  <a:bodyPr/>
                  <a:lstStyle/>
                  <a:p>
                    <a:fld id="{8E4AB6CF-FE18-4228-9913-8CB5577CCA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65C-4C2A-9044-2121B1BE14C4}"/>
                </c:ext>
              </c:extLst>
            </c:dLbl>
            <c:dLbl>
              <c:idx val="14"/>
              <c:tx>
                <c:rich>
                  <a:bodyPr/>
                  <a:lstStyle/>
                  <a:p>
                    <a:fld id="{8EBBA3D1-4255-4262-8C96-146F116A91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65C-4C2A-9044-2121B1BE14C4}"/>
                </c:ext>
              </c:extLst>
            </c:dLbl>
            <c:dLbl>
              <c:idx val="15"/>
              <c:tx>
                <c:rich>
                  <a:bodyPr/>
                  <a:lstStyle/>
                  <a:p>
                    <a:fld id="{7EEA795E-1635-4171-809D-C6B25B1F61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65C-4C2A-9044-2121B1BE14C4}"/>
                </c:ext>
              </c:extLst>
            </c:dLbl>
            <c:dLbl>
              <c:idx val="16"/>
              <c:tx>
                <c:rich>
                  <a:bodyPr/>
                  <a:lstStyle/>
                  <a:p>
                    <a:fld id="{DF7E9D03-78B6-4B6C-B450-D9231148AF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65C-4C2A-9044-2121B1BE14C4}"/>
                </c:ext>
              </c:extLst>
            </c:dLbl>
            <c:dLbl>
              <c:idx val="17"/>
              <c:tx>
                <c:rich>
                  <a:bodyPr/>
                  <a:lstStyle/>
                  <a:p>
                    <a:fld id="{42E6CCB9-D8A5-4155-9764-91A959C9B6D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65C-4C2A-9044-2121B1BE14C4}"/>
                </c:ext>
              </c:extLst>
            </c:dLbl>
            <c:dLbl>
              <c:idx val="18"/>
              <c:tx>
                <c:rich>
                  <a:bodyPr/>
                  <a:lstStyle/>
                  <a:p>
                    <a:fld id="{A9303388-2942-4A4A-9CE7-1DD0F4191D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65C-4C2A-9044-2121B1BE14C4}"/>
                </c:ext>
              </c:extLst>
            </c:dLbl>
            <c:dLbl>
              <c:idx val="19"/>
              <c:tx>
                <c:rich>
                  <a:bodyPr/>
                  <a:lstStyle/>
                  <a:p>
                    <a:fld id="{5CA9957B-19AC-434B-891C-5C88169D28E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65C-4C2A-9044-2121B1BE14C4}"/>
                </c:ext>
              </c:extLst>
            </c:dLbl>
            <c:dLbl>
              <c:idx val="20"/>
              <c:tx>
                <c:rich>
                  <a:bodyPr/>
                  <a:lstStyle/>
                  <a:p>
                    <a:fld id="{0C3EFE2D-9897-4D63-8578-630F77F1DA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65C-4C2A-9044-2121B1BE14C4}"/>
                </c:ext>
              </c:extLst>
            </c:dLbl>
            <c:dLbl>
              <c:idx val="21"/>
              <c:tx>
                <c:rich>
                  <a:bodyPr/>
                  <a:lstStyle/>
                  <a:p>
                    <a:fld id="{38251D44-9B7F-4D2E-B45E-5ADE7079AD2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65C-4C2A-9044-2121B1BE14C4}"/>
                </c:ext>
              </c:extLst>
            </c:dLbl>
            <c:dLbl>
              <c:idx val="22"/>
              <c:tx>
                <c:rich>
                  <a:bodyPr/>
                  <a:lstStyle/>
                  <a:p>
                    <a:fld id="{4E31F8A0-5CE4-4D10-99A9-088E91C3812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65C-4C2A-9044-2121B1BE14C4}"/>
                </c:ext>
              </c:extLst>
            </c:dLbl>
            <c:dLbl>
              <c:idx val="23"/>
              <c:tx>
                <c:rich>
                  <a:bodyPr/>
                  <a:lstStyle/>
                  <a:p>
                    <a:fld id="{678FD363-9796-4DB7-9F2F-2144C2FEF1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65C-4C2A-9044-2121B1BE14C4}"/>
                </c:ext>
              </c:extLst>
            </c:dLbl>
            <c:dLbl>
              <c:idx val="24"/>
              <c:tx>
                <c:rich>
                  <a:bodyPr/>
                  <a:lstStyle/>
                  <a:p>
                    <a:fld id="{4F099E73-8E97-4E51-B53D-A30EC647FC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65C-4C2A-9044-2121B1BE14C4}"/>
                </c:ext>
              </c:extLst>
            </c:dLbl>
            <c:dLbl>
              <c:idx val="25"/>
              <c:tx>
                <c:rich>
                  <a:bodyPr/>
                  <a:lstStyle/>
                  <a:p>
                    <a:fld id="{C2C8EEEE-8D9F-403C-A91E-D129557093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65C-4C2A-9044-2121B1BE14C4}"/>
                </c:ext>
              </c:extLst>
            </c:dLbl>
            <c:dLbl>
              <c:idx val="26"/>
              <c:tx>
                <c:rich>
                  <a:bodyPr/>
                  <a:lstStyle/>
                  <a:p>
                    <a:fld id="{6D2359C9-82CA-438C-8620-9E8E28A2B2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65C-4C2A-9044-2121B1BE14C4}"/>
                </c:ext>
              </c:extLst>
            </c:dLbl>
            <c:dLbl>
              <c:idx val="27"/>
              <c:tx>
                <c:rich>
                  <a:bodyPr/>
                  <a:lstStyle/>
                  <a:p>
                    <a:fld id="{59029E98-C4BD-4E63-BFA6-ECFC44584C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65C-4C2A-9044-2121B1BE14C4}"/>
                </c:ext>
              </c:extLst>
            </c:dLbl>
            <c:dLbl>
              <c:idx val="28"/>
              <c:tx>
                <c:rich>
                  <a:bodyPr/>
                  <a:lstStyle/>
                  <a:p>
                    <a:fld id="{59F8D879-E729-4E80-A407-9CC7DB1CE5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65C-4C2A-9044-2121B1BE14C4}"/>
                </c:ext>
              </c:extLst>
            </c:dLbl>
            <c:dLbl>
              <c:idx val="29"/>
              <c:tx>
                <c:rich>
                  <a:bodyPr/>
                  <a:lstStyle/>
                  <a:p>
                    <a:fld id="{BEBEE71D-971C-41EC-B5D6-8DA3DCCAAC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65C-4C2A-9044-2121B1BE14C4}"/>
                </c:ext>
              </c:extLst>
            </c:dLbl>
            <c:dLbl>
              <c:idx val="30"/>
              <c:tx>
                <c:rich>
                  <a:bodyPr/>
                  <a:lstStyle/>
                  <a:p>
                    <a:fld id="{DF792281-598D-4066-B089-C42BAA24A53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65C-4C2A-9044-2121B1BE14C4}"/>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Details'!plotrange_by_material_massnet_Y1</c:f>
              <c:numCache>
                <c:formatCode>General</c:formatCode>
                <c:ptCount val="31"/>
                <c:pt idx="0">
                  <c:v>28.871877999999999</c:v>
                </c:pt>
                <c:pt idx="1">
                  <c:v>17.542697124668418</c:v>
                </c:pt>
                <c:pt idx="2">
                  <c:v>14.519963152711345</c:v>
                </c:pt>
                <c:pt idx="3">
                  <c:v>13.440407684454071</c:v>
                </c:pt>
                <c:pt idx="4">
                  <c:v>11.485341259420279</c:v>
                </c:pt>
                <c:pt idx="5">
                  <c:v>11.240092915121789</c:v>
                </c:pt>
                <c:pt idx="6">
                  <c:v>9.1882730075362247</c:v>
                </c:pt>
                <c:pt idx="7">
                  <c:v>3.8924967062320106</c:v>
                </c:pt>
                <c:pt idx="8">
                  <c:v>2.8036186748357519</c:v>
                </c:pt>
                <c:pt idx="9">
                  <c:v>2.5448168277217289</c:v>
                </c:pt>
                <c:pt idx="10">
                  <c:v>2.3364553155096774</c:v>
                </c:pt>
                <c:pt idx="11">
                  <c:v>2.3012807641798747</c:v>
                </c:pt>
                <c:pt idx="12">
                  <c:v>1.6688966539354837</c:v>
                </c:pt>
                <c:pt idx="13">
                  <c:v>1.2883183560573552</c:v>
                </c:pt>
                <c:pt idx="14">
                  <c:v>1.1137863397228862</c:v>
                </c:pt>
                <c:pt idx="15">
                  <c:v>0.76588832709085819</c:v>
                </c:pt>
                <c:pt idx="16">
                  <c:v>0.43746595371940611</c:v>
                </c:pt>
                <c:pt idx="17">
                  <c:v>0.29164396914627078</c:v>
                </c:pt>
                <c:pt idx="18">
                  <c:v>0.29164396914610657</c:v>
                </c:pt>
                <c:pt idx="19">
                  <c:v>0.25623441786289586</c:v>
                </c:pt>
                <c:pt idx="20">
                  <c:v>0.2262564509391527</c:v>
                </c:pt>
                <c:pt idx="21">
                  <c:v>0.15140812523327021</c:v>
                </c:pt>
                <c:pt idx="22">
                  <c:v>0.14582198457313539</c:v>
                </c:pt>
                <c:pt idx="23">
                  <c:v>0.1139373270902652</c:v>
                </c:pt>
                <c:pt idx="24">
                  <c:v>6.1557663890206053E-2</c:v>
                </c:pt>
                <c:pt idx="25">
                  <c:v>4.6994137793838243E-2</c:v>
                </c:pt>
                <c:pt idx="26">
                  <c:v>3.1671760636220715E-2</c:v>
                </c:pt>
                <c:pt idx="27">
                  <c:v>2.5017411245832774E-2</c:v>
                </c:pt>
                <c:pt idx="28">
                  <c:v>2.9408792810862202E-3</c:v>
                </c:pt>
                <c:pt idx="29">
                  <c:v>1.4582198457313538E-3</c:v>
                </c:pt>
                <c:pt idx="30">
                  <c:v>7.2910992286567692E-4</c:v>
                </c:pt>
              </c:numCache>
            </c:numRef>
          </c:val>
          <c:smooth val="0"/>
          <c:extLst>
            <c:ext xmlns:c15="http://schemas.microsoft.com/office/drawing/2012/chart" uri="{02D57815-91ED-43cb-92C2-25804820EDAC}">
              <c15:datalabelsRange>
                <c15:f>'2. Enter Step Details'!plotrange_by_material_massnet_labels</c15:f>
                <c15:dlblRangeCache>
                  <c:ptCount val="31"/>
                  <c:pt idx="0">
                    <c:v>(23%)</c:v>
                  </c:pt>
                  <c:pt idx="1">
                    <c:v>(14%)</c:v>
                  </c:pt>
                  <c:pt idx="2">
                    <c:v>(11%)</c:v>
                  </c:pt>
                  <c:pt idx="3">
                    <c:v>(11%)</c:v>
                  </c:pt>
                  <c:pt idx="4">
                    <c:v>(9%)</c:v>
                  </c:pt>
                  <c:pt idx="5">
                    <c:v>(9%)</c:v>
                  </c:pt>
                  <c:pt idx="6">
                    <c:v>(7%)</c:v>
                  </c:pt>
                  <c:pt idx="7">
                    <c:v>(3%)</c:v>
                  </c:pt>
                  <c:pt idx="8">
                    <c:v>(2%)</c:v>
                  </c:pt>
                  <c:pt idx="9">
                    <c:v>(2%)</c:v>
                  </c:pt>
                  <c:pt idx="10">
                    <c:v>(2%)</c:v>
                  </c:pt>
                  <c:pt idx="11">
                    <c:v>(2%)</c:v>
                  </c:pt>
                  <c:pt idx="12">
                    <c:v>(1%)</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258C-417E-883A-076F433751A5}"/>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Details'!plotrange_by_material_massnet_X</c:f>
              <c:strCache>
                <c:ptCount val="31"/>
                <c:pt idx="0">
                  <c:v>IPA</c:v>
                </c:pt>
                <c:pt idx="1">
                  <c:v>DMF</c:v>
                </c:pt>
                <c:pt idx="2">
                  <c:v>toluene</c:v>
                </c:pt>
                <c:pt idx="3">
                  <c:v>acetonitrile</c:v>
                </c:pt>
                <c:pt idx="4">
                  <c:v>reagent U (organic)</c:v>
                </c:pt>
                <c:pt idx="5">
                  <c:v>methanol</c:v>
                </c:pt>
                <c:pt idx="6">
                  <c:v>reagent T (organic)</c:v>
                </c:pt>
                <c:pt idx="7">
                  <c:v>25 wt% reagent I (organic) in DMF</c:v>
                </c:pt>
                <c:pt idx="8">
                  <c:v>95 wt% reagent M (organic)</c:v>
                </c:pt>
                <c:pt idx="9">
                  <c:v>reagent D (organic)</c:v>
                </c:pt>
                <c:pt idx="10">
                  <c:v>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10 wt% reagent B (inorganic) in water</c:v>
                </c:pt>
                <c:pt idx="22">
                  <c:v>reagent N (organic)</c:v>
                </c:pt>
                <c:pt idx="23">
                  <c:v>5 wt% reagent A (organic) in acetonitrile</c:v>
                </c:pt>
                <c:pt idx="24">
                  <c:v>water</c:v>
                </c:pt>
                <c:pt idx="25">
                  <c:v>25 wt% reagent E (inorganic) in 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Details'!plotrange_by_material_massnet_Y2</c:f>
              <c:numCache>
                <c:formatCode>General</c:formatCode>
                <c:ptCount val="31"/>
                <c:pt idx="0">
                  <c:v>28.871877999999999</c:v>
                </c:pt>
                <c:pt idx="1">
                  <c:v>46.414575124668417</c:v>
                </c:pt>
                <c:pt idx="2">
                  <c:v>60.934538277379758</c:v>
                </c:pt>
                <c:pt idx="3">
                  <c:v>74.374945961833831</c:v>
                </c:pt>
                <c:pt idx="4">
                  <c:v>85.860287221254112</c:v>
                </c:pt>
                <c:pt idx="5">
                  <c:v>97.100380136375904</c:v>
                </c:pt>
                <c:pt idx="6">
                  <c:v>106.28865314391213</c:v>
                </c:pt>
                <c:pt idx="7">
                  <c:v>110.18114985014414</c:v>
                </c:pt>
                <c:pt idx="8">
                  <c:v>112.98476852497988</c:v>
                </c:pt>
                <c:pt idx="9">
                  <c:v>115.52958535270162</c:v>
                </c:pt>
                <c:pt idx="10">
                  <c:v>117.8660406682113</c:v>
                </c:pt>
                <c:pt idx="11">
                  <c:v>120.16732143239118</c:v>
                </c:pt>
                <c:pt idx="12">
                  <c:v>121.83621808632665</c:v>
                </c:pt>
                <c:pt idx="13">
                  <c:v>123.12453644238401</c:v>
                </c:pt>
                <c:pt idx="14">
                  <c:v>124.23832278210691</c:v>
                </c:pt>
                <c:pt idx="15">
                  <c:v>125.00421110919777</c:v>
                </c:pt>
                <c:pt idx="16">
                  <c:v>125.44167706291718</c:v>
                </c:pt>
                <c:pt idx="17">
                  <c:v>125.73332103206344</c:v>
                </c:pt>
                <c:pt idx="18">
                  <c:v>126.02496500120955</c:v>
                </c:pt>
                <c:pt idx="19">
                  <c:v>126.28119941907245</c:v>
                </c:pt>
                <c:pt idx="20">
                  <c:v>126.5074558700116</c:v>
                </c:pt>
                <c:pt idx="21">
                  <c:v>126.65886399524487</c:v>
                </c:pt>
                <c:pt idx="22">
                  <c:v>126.804685979818</c:v>
                </c:pt>
                <c:pt idx="23">
                  <c:v>126.91862330690827</c:v>
                </c:pt>
                <c:pt idx="24">
                  <c:v>126.98018097079849</c:v>
                </c:pt>
                <c:pt idx="25">
                  <c:v>127.02717510859232</c:v>
                </c:pt>
                <c:pt idx="26">
                  <c:v>127.05884686922853</c:v>
                </c:pt>
                <c:pt idx="27">
                  <c:v>127.08386428047436</c:v>
                </c:pt>
                <c:pt idx="28">
                  <c:v>127.08680515975544</c:v>
                </c:pt>
                <c:pt idx="29">
                  <c:v>127.08826337960117</c:v>
                </c:pt>
                <c:pt idx="30">
                  <c:v>127.08899248952405</c:v>
                </c:pt>
              </c:numCache>
            </c:numRef>
          </c:val>
          <c:smooth val="0"/>
          <c:extLst>
            <c:ext xmlns:c16="http://schemas.microsoft.com/office/drawing/2014/chart" uri="{C3380CC4-5D6E-409C-BE32-E72D297353CC}">
              <c16:uniqueId val="{0000002A-258C-417E-883A-076F433751A5}"/>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b="1"/>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Mass Net (kg)</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Dashboard'!$D$172</c:f>
          <c:strCache>
            <c:ptCount val="1"/>
            <c:pt idx="0">
              <c:v>Energy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F7F9-4F5C-8312-D0C339966618}"/>
            </c:ext>
          </c:extLst>
        </c:ser>
        <c:ser>
          <c:idx val="6"/>
          <c:order val="1"/>
          <c:tx>
            <c:v>Enzymes &amp; Plant Extracts</c:v>
          </c:tx>
          <c:spPr>
            <a:solidFill>
              <a:srgbClr val="92D050"/>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F7F9-4F5C-8312-D0C339966618}"/>
            </c:ext>
          </c:extLst>
        </c:ser>
        <c:ser>
          <c:idx val="5"/>
          <c:order val="2"/>
          <c:tx>
            <c:v>Metal</c:v>
          </c:tx>
          <c:spPr>
            <a:solidFill>
              <a:schemeClr val="accent3"/>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4.8400991479566495E-2</c:v>
                </c:pt>
                <c:pt idx="28">
                  <c:v>0</c:v>
                </c:pt>
                <c:pt idx="29">
                  <c:v>0</c:v>
                </c:pt>
                <c:pt idx="30">
                  <c:v>0</c:v>
                </c:pt>
              </c:numCache>
            </c:numRef>
          </c:val>
          <c:extLst>
            <c:ext xmlns:c16="http://schemas.microsoft.com/office/drawing/2014/chart" uri="{C3380CC4-5D6E-409C-BE32-E72D297353CC}">
              <c16:uniqueId val="{00000002-F7F9-4F5C-8312-D0C339966618}"/>
            </c:ext>
          </c:extLst>
        </c:ser>
        <c:ser>
          <c:idx val="0"/>
          <c:order val="3"/>
          <c:tx>
            <c:v>Reagent</c:v>
          </c:tx>
          <c:spPr>
            <a:solidFill>
              <a:srgbClr val="FF0000"/>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Details'!plotrange_by_material_energy_Y1_REAGENT</c:f>
              <c:numCache>
                <c:formatCode>General</c:formatCode>
                <c:ptCount val="31"/>
                <c:pt idx="0">
                  <c:v>0</c:v>
                </c:pt>
                <c:pt idx="1">
                  <c:v>0</c:v>
                </c:pt>
                <c:pt idx="2">
                  <c:v>0</c:v>
                </c:pt>
                <c:pt idx="3">
                  <c:v>0</c:v>
                </c:pt>
                <c:pt idx="4">
                  <c:v>0</c:v>
                </c:pt>
                <c:pt idx="5">
                  <c:v>412.18914633641288</c:v>
                </c:pt>
                <c:pt idx="6">
                  <c:v>329.75131706913032</c:v>
                </c:pt>
                <c:pt idx="7">
                  <c:v>41.218914633641297</c:v>
                </c:pt>
                <c:pt idx="8">
                  <c:v>91.329099598221532</c:v>
                </c:pt>
                <c:pt idx="9">
                  <c:v>83.851363246451641</c:v>
                </c:pt>
                <c:pt idx="10">
                  <c:v>82.437829267282027</c:v>
                </c:pt>
                <c:pt idx="11">
                  <c:v>59.89383089032259</c:v>
                </c:pt>
                <c:pt idx="12">
                  <c:v>22.239309965131238</c:v>
                </c:pt>
                <c:pt idx="13">
                  <c:v>15.699900764110884</c:v>
                </c:pt>
                <c:pt idx="14">
                  <c:v>10.466600509407257</c:v>
                </c:pt>
                <c:pt idx="15">
                  <c:v>10.466600509401363</c:v>
                </c:pt>
                <c:pt idx="16">
                  <c:v>10.178173897085234</c:v>
                </c:pt>
                <c:pt idx="17">
                  <c:v>8.7786749862360143</c:v>
                </c:pt>
                <c:pt idx="18">
                  <c:v>6.0486317249331814</c:v>
                </c:pt>
                <c:pt idx="19">
                  <c:v>5.2333002547036287</c:v>
                </c:pt>
                <c:pt idx="20">
                  <c:v>0.20933201018814515</c:v>
                </c:pt>
                <c:pt idx="21">
                  <c:v>2.0264942772792032</c:v>
                </c:pt>
                <c:pt idx="22">
                  <c:v>1.783314964006703</c:v>
                </c:pt>
                <c:pt idx="23">
                  <c:v>1.1888766426711352</c:v>
                </c:pt>
                <c:pt idx="24">
                  <c:v>0</c:v>
                </c:pt>
                <c:pt idx="25">
                  <c:v>0.37152395083452061</c:v>
                </c:pt>
                <c:pt idx="26">
                  <c:v>0.20056276462125477</c:v>
                </c:pt>
                <c:pt idx="27">
                  <c:v>9.3647728485658777E-2</c:v>
                </c:pt>
                <c:pt idx="28">
                  <c:v>5.2333002547036288E-2</c:v>
                </c:pt>
                <c:pt idx="29">
                  <c:v>1.4860958033380825E-2</c:v>
                </c:pt>
                <c:pt idx="30">
                  <c:v>2.6166501273518144E-2</c:v>
                </c:pt>
              </c:numCache>
            </c:numRef>
          </c:val>
          <c:extLst>
            <c:ext xmlns:c16="http://schemas.microsoft.com/office/drawing/2014/chart" uri="{C3380CC4-5D6E-409C-BE32-E72D297353CC}">
              <c16:uniqueId val="{00000003-F7F9-4F5C-8312-D0C339966618}"/>
            </c:ext>
          </c:extLst>
        </c:ser>
        <c:ser>
          <c:idx val="2"/>
          <c:order val="4"/>
          <c:tx>
            <c:v>Solvent</c:v>
          </c:tx>
          <c:spPr>
            <a:solidFill>
              <a:schemeClr val="accent4"/>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Details'!plotrange_by_material_energy_Y1_SOLVENT</c:f>
              <c:numCache>
                <c:formatCode>General</c:formatCode>
                <c:ptCount val="31"/>
                <c:pt idx="0">
                  <c:v>1255.00866</c:v>
                </c:pt>
                <c:pt idx="1">
                  <c:v>729.02893842556523</c:v>
                </c:pt>
                <c:pt idx="2">
                  <c:v>608.12952450173657</c:v>
                </c:pt>
                <c:pt idx="3">
                  <c:v>603.46212995964356</c:v>
                </c:pt>
                <c:pt idx="4">
                  <c:v>572.45426354418601</c:v>
                </c:pt>
                <c:pt idx="5">
                  <c:v>0</c:v>
                </c:pt>
                <c:pt idx="6">
                  <c:v>0</c:v>
                </c:pt>
                <c:pt idx="7">
                  <c:v>95.121328684162947</c:v>
                </c:pt>
                <c:pt idx="8">
                  <c:v>0</c:v>
                </c:pt>
                <c:pt idx="9">
                  <c:v>0</c:v>
                </c:pt>
                <c:pt idx="10">
                  <c:v>0</c:v>
                </c:pt>
                <c:pt idx="11">
                  <c:v>0</c:v>
                </c:pt>
                <c:pt idx="12">
                  <c:v>0</c:v>
                </c:pt>
                <c:pt idx="13">
                  <c:v>0</c:v>
                </c:pt>
                <c:pt idx="14">
                  <c:v>0</c:v>
                </c:pt>
                <c:pt idx="15">
                  <c:v>0</c:v>
                </c:pt>
                <c:pt idx="16">
                  <c:v>0</c:v>
                </c:pt>
                <c:pt idx="17">
                  <c:v>0</c:v>
                </c:pt>
                <c:pt idx="18">
                  <c:v>0</c:v>
                </c:pt>
                <c:pt idx="19">
                  <c:v>0</c:v>
                </c:pt>
                <c:pt idx="20">
                  <c:v>4.6043880104720083</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F7F9-4F5C-8312-D0C339966618}"/>
            </c:ext>
          </c:extLst>
        </c:ser>
        <c:ser>
          <c:idx val="3"/>
          <c:order val="5"/>
          <c:tx>
            <c:v>Water</c:v>
          </c:tx>
          <c:spPr>
            <a:solidFill>
              <a:schemeClr val="accent1"/>
            </a:solidFill>
            <a:ln>
              <a:solidFill>
                <a:schemeClr val="tx1"/>
              </a:solidFill>
            </a:ln>
            <a:effectLst/>
          </c:spPr>
          <c:invertIfNegative val="0"/>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Details'!plotrange_by_material_energy_Y1_WATER</c:f>
              <c:numCache>
                <c:formatCode>General</c:formatCode>
                <c:ptCount val="31"/>
                <c:pt idx="0">
                  <c:v>0</c:v>
                </c:pt>
                <c:pt idx="1">
                  <c:v>0</c:v>
                </c:pt>
                <c:pt idx="2">
                  <c:v>0</c:v>
                </c:pt>
                <c:pt idx="3">
                  <c:v>0</c:v>
                </c:pt>
                <c:pt idx="4">
                  <c:v>0</c:v>
                </c:pt>
                <c:pt idx="5">
                  <c:v>0</c:v>
                </c:pt>
                <c:pt idx="6">
                  <c:v>0</c:v>
                </c:pt>
                <c:pt idx="7">
                  <c:v>0</c:v>
                </c:pt>
                <c:pt idx="8">
                  <c:v>0</c:v>
                </c:pt>
                <c:pt idx="9">
                  <c:v>0</c:v>
                </c:pt>
                <c:pt idx="10">
                  <c:v>5.2463365755184482E-2</c:v>
                </c:pt>
                <c:pt idx="11">
                  <c:v>0</c:v>
                </c:pt>
                <c:pt idx="12">
                  <c:v>2.0985346302073793E-3</c:v>
                </c:pt>
                <c:pt idx="13">
                  <c:v>0</c:v>
                </c:pt>
                <c:pt idx="14">
                  <c:v>0</c:v>
                </c:pt>
                <c:pt idx="15">
                  <c:v>0</c:v>
                </c:pt>
                <c:pt idx="16">
                  <c:v>6.5693257989100584E-2</c:v>
                </c:pt>
                <c:pt idx="17">
                  <c:v>8.9187721783813609E-2</c:v>
                </c:pt>
                <c:pt idx="18">
                  <c:v>4.2443085442848486E-2</c:v>
                </c:pt>
                <c:pt idx="19">
                  <c:v>0</c:v>
                </c:pt>
                <c:pt idx="20">
                  <c:v>0</c:v>
                </c:pt>
                <c:pt idx="21">
                  <c:v>9.6886339349735451E-3</c:v>
                </c:pt>
                <c:pt idx="22">
                  <c:v>1.8117745458410731E-2</c:v>
                </c:pt>
                <c:pt idx="23">
                  <c:v>1.9183495191258417E-2</c:v>
                </c:pt>
                <c:pt idx="24">
                  <c:v>0.76664992501039797</c:v>
                </c:pt>
                <c:pt idx="25">
                  <c:v>1.9982807490882938E-3</c:v>
                </c:pt>
                <c:pt idx="26">
                  <c:v>7.957164730349385E-2</c:v>
                </c:pt>
                <c:pt idx="27">
                  <c:v>0</c:v>
                </c:pt>
                <c:pt idx="28">
                  <c:v>0</c:v>
                </c:pt>
                <c:pt idx="29">
                  <c:v>1.3295227917267448E-2</c:v>
                </c:pt>
                <c:pt idx="30">
                  <c:v>0</c:v>
                </c:pt>
              </c:numCache>
            </c:numRef>
          </c:val>
          <c:extLst>
            <c:ext xmlns:c16="http://schemas.microsoft.com/office/drawing/2014/chart" uri="{C3380CC4-5D6E-409C-BE32-E72D297353CC}">
              <c16:uniqueId val="{00000005-F7F9-4F5C-8312-D0C339966618}"/>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536E2D72-AEFF-45FB-BA20-E90E9EB3B0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F9-4F5C-8312-D0C339966618}"/>
                </c:ext>
              </c:extLst>
            </c:dLbl>
            <c:dLbl>
              <c:idx val="1"/>
              <c:tx>
                <c:rich>
                  <a:bodyPr/>
                  <a:lstStyle/>
                  <a:p>
                    <a:fld id="{BB07A533-C919-4475-B2C8-FF4FF38CD1B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F4C-4C4C-AEC1-3394A56A2EFA}"/>
                </c:ext>
              </c:extLst>
            </c:dLbl>
            <c:dLbl>
              <c:idx val="2"/>
              <c:tx>
                <c:rich>
                  <a:bodyPr/>
                  <a:lstStyle/>
                  <a:p>
                    <a:fld id="{3030566A-2FF0-4F97-B8D8-EF567DFA72F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F4C-4C4C-AEC1-3394A56A2EFA}"/>
                </c:ext>
              </c:extLst>
            </c:dLbl>
            <c:dLbl>
              <c:idx val="3"/>
              <c:tx>
                <c:rich>
                  <a:bodyPr/>
                  <a:lstStyle/>
                  <a:p>
                    <a:fld id="{9885E83B-400F-41BC-96C3-A06DF47A9EC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F4C-4C4C-AEC1-3394A56A2EFA}"/>
                </c:ext>
              </c:extLst>
            </c:dLbl>
            <c:dLbl>
              <c:idx val="4"/>
              <c:tx>
                <c:rich>
                  <a:bodyPr/>
                  <a:lstStyle/>
                  <a:p>
                    <a:fld id="{304F6D2B-2DB4-4305-B371-A8DBBFFDAFD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F4C-4C4C-AEC1-3394A56A2EFA}"/>
                </c:ext>
              </c:extLst>
            </c:dLbl>
            <c:dLbl>
              <c:idx val="5"/>
              <c:tx>
                <c:rich>
                  <a:bodyPr/>
                  <a:lstStyle/>
                  <a:p>
                    <a:fld id="{6F97FDF7-FDFC-4DE6-AB1F-B7B2D595DE3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4C-4C4C-AEC1-3394A56A2EFA}"/>
                </c:ext>
              </c:extLst>
            </c:dLbl>
            <c:dLbl>
              <c:idx val="6"/>
              <c:tx>
                <c:rich>
                  <a:bodyPr/>
                  <a:lstStyle/>
                  <a:p>
                    <a:fld id="{17512254-DEB3-4635-9C58-D33C2EA53F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4C-4C4C-AEC1-3394A56A2EFA}"/>
                </c:ext>
              </c:extLst>
            </c:dLbl>
            <c:dLbl>
              <c:idx val="7"/>
              <c:tx>
                <c:rich>
                  <a:bodyPr/>
                  <a:lstStyle/>
                  <a:p>
                    <a:fld id="{0CF4225F-F43B-4E25-B5DA-07FC8438BA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4C-4C4C-AEC1-3394A56A2EFA}"/>
                </c:ext>
              </c:extLst>
            </c:dLbl>
            <c:dLbl>
              <c:idx val="8"/>
              <c:tx>
                <c:rich>
                  <a:bodyPr/>
                  <a:lstStyle/>
                  <a:p>
                    <a:fld id="{313F66B6-9DF1-48D3-8619-966FB66C4B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4C-4C4C-AEC1-3394A56A2EFA}"/>
                </c:ext>
              </c:extLst>
            </c:dLbl>
            <c:dLbl>
              <c:idx val="9"/>
              <c:tx>
                <c:rich>
                  <a:bodyPr/>
                  <a:lstStyle/>
                  <a:p>
                    <a:fld id="{7B2772B6-84C8-4D01-A1A7-14BAA96E68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4C-4C4C-AEC1-3394A56A2EFA}"/>
                </c:ext>
              </c:extLst>
            </c:dLbl>
            <c:dLbl>
              <c:idx val="10"/>
              <c:tx>
                <c:rich>
                  <a:bodyPr/>
                  <a:lstStyle/>
                  <a:p>
                    <a:fld id="{FE4F3EC6-6505-4745-A27B-8E96179F20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4C-4C4C-AEC1-3394A56A2EFA}"/>
                </c:ext>
              </c:extLst>
            </c:dLbl>
            <c:dLbl>
              <c:idx val="11"/>
              <c:tx>
                <c:rich>
                  <a:bodyPr/>
                  <a:lstStyle/>
                  <a:p>
                    <a:fld id="{C2D461BB-5E97-4DC1-AF87-3AC9230BD5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4C-4C4C-AEC1-3394A56A2EFA}"/>
                </c:ext>
              </c:extLst>
            </c:dLbl>
            <c:dLbl>
              <c:idx val="12"/>
              <c:tx>
                <c:rich>
                  <a:bodyPr/>
                  <a:lstStyle/>
                  <a:p>
                    <a:fld id="{6D6E2447-34B5-40EA-A9E2-F664DD605D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4C-4C4C-AEC1-3394A56A2EFA}"/>
                </c:ext>
              </c:extLst>
            </c:dLbl>
            <c:dLbl>
              <c:idx val="13"/>
              <c:tx>
                <c:rich>
                  <a:bodyPr/>
                  <a:lstStyle/>
                  <a:p>
                    <a:fld id="{AC6ADE48-CFBE-4833-890B-007B3204EE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4C-4C4C-AEC1-3394A56A2EFA}"/>
                </c:ext>
              </c:extLst>
            </c:dLbl>
            <c:dLbl>
              <c:idx val="14"/>
              <c:tx>
                <c:rich>
                  <a:bodyPr/>
                  <a:lstStyle/>
                  <a:p>
                    <a:fld id="{7F87A16C-9F74-4F8B-B76C-115CB7C2CA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4C-4C4C-AEC1-3394A56A2EFA}"/>
                </c:ext>
              </c:extLst>
            </c:dLbl>
            <c:dLbl>
              <c:idx val="15"/>
              <c:tx>
                <c:rich>
                  <a:bodyPr/>
                  <a:lstStyle/>
                  <a:p>
                    <a:fld id="{3F79E23E-C128-4A9C-9A96-2DC94B498B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F4C-4C4C-AEC1-3394A56A2EFA}"/>
                </c:ext>
              </c:extLst>
            </c:dLbl>
            <c:dLbl>
              <c:idx val="16"/>
              <c:tx>
                <c:rich>
                  <a:bodyPr/>
                  <a:lstStyle/>
                  <a:p>
                    <a:fld id="{F47A3DAC-D161-4625-930E-CDE9C5BAF5F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F4C-4C4C-AEC1-3394A56A2EFA}"/>
                </c:ext>
              </c:extLst>
            </c:dLbl>
            <c:dLbl>
              <c:idx val="17"/>
              <c:tx>
                <c:rich>
                  <a:bodyPr/>
                  <a:lstStyle/>
                  <a:p>
                    <a:fld id="{4D05C77F-D356-419D-B6EC-8E791B12DCB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F4C-4C4C-AEC1-3394A56A2EFA}"/>
                </c:ext>
              </c:extLst>
            </c:dLbl>
            <c:dLbl>
              <c:idx val="18"/>
              <c:tx>
                <c:rich>
                  <a:bodyPr/>
                  <a:lstStyle/>
                  <a:p>
                    <a:fld id="{59477337-069B-4E68-B00B-D89C55C572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F4C-4C4C-AEC1-3394A56A2EFA}"/>
                </c:ext>
              </c:extLst>
            </c:dLbl>
            <c:dLbl>
              <c:idx val="19"/>
              <c:tx>
                <c:rich>
                  <a:bodyPr/>
                  <a:lstStyle/>
                  <a:p>
                    <a:fld id="{817F84A4-6F09-4E1F-B1AA-A7A55A49CD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F4C-4C4C-AEC1-3394A56A2EFA}"/>
                </c:ext>
              </c:extLst>
            </c:dLbl>
            <c:dLbl>
              <c:idx val="20"/>
              <c:tx>
                <c:rich>
                  <a:bodyPr/>
                  <a:lstStyle/>
                  <a:p>
                    <a:fld id="{44C3006A-87C6-4972-9223-8DB425228D1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F4C-4C4C-AEC1-3394A56A2EFA}"/>
                </c:ext>
              </c:extLst>
            </c:dLbl>
            <c:dLbl>
              <c:idx val="21"/>
              <c:tx>
                <c:rich>
                  <a:bodyPr/>
                  <a:lstStyle/>
                  <a:p>
                    <a:fld id="{9FB41D99-B39A-45BC-8051-42038F43E2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F4C-4C4C-AEC1-3394A56A2EFA}"/>
                </c:ext>
              </c:extLst>
            </c:dLbl>
            <c:dLbl>
              <c:idx val="22"/>
              <c:tx>
                <c:rich>
                  <a:bodyPr/>
                  <a:lstStyle/>
                  <a:p>
                    <a:fld id="{BB893EE8-246D-44D4-BCCE-7E957FB732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F4C-4C4C-AEC1-3394A56A2EFA}"/>
                </c:ext>
              </c:extLst>
            </c:dLbl>
            <c:dLbl>
              <c:idx val="23"/>
              <c:tx>
                <c:rich>
                  <a:bodyPr/>
                  <a:lstStyle/>
                  <a:p>
                    <a:fld id="{32AB3EC3-0110-4411-B3B2-7CBB0C3D2D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F4C-4C4C-AEC1-3394A56A2EFA}"/>
                </c:ext>
              </c:extLst>
            </c:dLbl>
            <c:dLbl>
              <c:idx val="24"/>
              <c:tx>
                <c:rich>
                  <a:bodyPr/>
                  <a:lstStyle/>
                  <a:p>
                    <a:fld id="{31B990A2-16FF-4ECA-9024-5432B37BFD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F4C-4C4C-AEC1-3394A56A2EFA}"/>
                </c:ext>
              </c:extLst>
            </c:dLbl>
            <c:dLbl>
              <c:idx val="25"/>
              <c:tx>
                <c:rich>
                  <a:bodyPr/>
                  <a:lstStyle/>
                  <a:p>
                    <a:fld id="{D2F76FB9-36FA-4D74-AFF2-DD321B0E4D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F4C-4C4C-AEC1-3394A56A2EFA}"/>
                </c:ext>
              </c:extLst>
            </c:dLbl>
            <c:dLbl>
              <c:idx val="26"/>
              <c:tx>
                <c:rich>
                  <a:bodyPr/>
                  <a:lstStyle/>
                  <a:p>
                    <a:fld id="{061FA419-FBBC-43BA-B73E-4892703F947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F4C-4C4C-AEC1-3394A56A2EFA}"/>
                </c:ext>
              </c:extLst>
            </c:dLbl>
            <c:dLbl>
              <c:idx val="27"/>
              <c:tx>
                <c:rich>
                  <a:bodyPr/>
                  <a:lstStyle/>
                  <a:p>
                    <a:fld id="{CE2B18A8-4DFB-4F7B-9832-8C237AB0753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F4C-4C4C-AEC1-3394A56A2EFA}"/>
                </c:ext>
              </c:extLst>
            </c:dLbl>
            <c:dLbl>
              <c:idx val="28"/>
              <c:tx>
                <c:rich>
                  <a:bodyPr/>
                  <a:lstStyle/>
                  <a:p>
                    <a:fld id="{0D57018D-2490-4418-B509-2727F6710CF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F4C-4C4C-AEC1-3394A56A2EFA}"/>
                </c:ext>
              </c:extLst>
            </c:dLbl>
            <c:dLbl>
              <c:idx val="29"/>
              <c:tx>
                <c:rich>
                  <a:bodyPr/>
                  <a:lstStyle/>
                  <a:p>
                    <a:fld id="{8A69E30E-4EF4-4899-A786-8B0B4B3DD5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F4C-4C4C-AEC1-3394A56A2EFA}"/>
                </c:ext>
              </c:extLst>
            </c:dLbl>
            <c:dLbl>
              <c:idx val="30"/>
              <c:tx>
                <c:rich>
                  <a:bodyPr/>
                  <a:lstStyle/>
                  <a:p>
                    <a:fld id="{42D74A72-C7C8-410C-996E-A216E3B2D82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F4C-4C4C-AEC1-3394A56A2EFA}"/>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Details'!plotrange_by_material_energy_Y1</c:f>
              <c:numCache>
                <c:formatCode>General</c:formatCode>
                <c:ptCount val="31"/>
                <c:pt idx="0">
                  <c:v>1255.00866</c:v>
                </c:pt>
                <c:pt idx="1">
                  <c:v>729.02893842556523</c:v>
                </c:pt>
                <c:pt idx="2">
                  <c:v>608.12952450173657</c:v>
                </c:pt>
                <c:pt idx="3">
                  <c:v>603.46212995964356</c:v>
                </c:pt>
                <c:pt idx="4">
                  <c:v>572.45426354418601</c:v>
                </c:pt>
                <c:pt idx="5">
                  <c:v>412.18914633641288</c:v>
                </c:pt>
                <c:pt idx="6">
                  <c:v>329.75131706913032</c:v>
                </c:pt>
                <c:pt idx="7">
                  <c:v>136.34024331780424</c:v>
                </c:pt>
                <c:pt idx="8">
                  <c:v>91.329099598221532</c:v>
                </c:pt>
                <c:pt idx="9">
                  <c:v>83.851363246451641</c:v>
                </c:pt>
                <c:pt idx="10">
                  <c:v>82.490292633037214</c:v>
                </c:pt>
                <c:pt idx="11">
                  <c:v>59.89383089032259</c:v>
                </c:pt>
                <c:pt idx="12">
                  <c:v>22.241408499761445</c:v>
                </c:pt>
                <c:pt idx="13">
                  <c:v>15.699900764110884</c:v>
                </c:pt>
                <c:pt idx="14">
                  <c:v>10.466600509407257</c:v>
                </c:pt>
                <c:pt idx="15">
                  <c:v>10.466600509401363</c:v>
                </c:pt>
                <c:pt idx="16">
                  <c:v>10.243867155074335</c:v>
                </c:pt>
                <c:pt idx="17">
                  <c:v>8.8678627080198282</c:v>
                </c:pt>
                <c:pt idx="18">
                  <c:v>6.0910748103760302</c:v>
                </c:pt>
                <c:pt idx="19">
                  <c:v>5.2333002547036287</c:v>
                </c:pt>
                <c:pt idx="20">
                  <c:v>4.8137200206601536</c:v>
                </c:pt>
                <c:pt idx="21">
                  <c:v>2.0361829112141767</c:v>
                </c:pt>
                <c:pt idx="22">
                  <c:v>1.8014327094651137</c:v>
                </c:pt>
                <c:pt idx="23">
                  <c:v>1.2080601378623936</c:v>
                </c:pt>
                <c:pt idx="24">
                  <c:v>0.76664992501039797</c:v>
                </c:pt>
                <c:pt idx="25">
                  <c:v>0.37352223158360892</c:v>
                </c:pt>
                <c:pt idx="26">
                  <c:v>0.28013441192474864</c:v>
                </c:pt>
                <c:pt idx="27">
                  <c:v>0.14204871996522528</c:v>
                </c:pt>
                <c:pt idx="28">
                  <c:v>5.2333002547036288E-2</c:v>
                </c:pt>
                <c:pt idx="29">
                  <c:v>2.8156185950648272E-2</c:v>
                </c:pt>
                <c:pt idx="30">
                  <c:v>2.6166501273518144E-2</c:v>
                </c:pt>
              </c:numCache>
            </c:numRef>
          </c:val>
          <c:smooth val="0"/>
          <c:extLst>
            <c:ext xmlns:c15="http://schemas.microsoft.com/office/drawing/2012/chart" uri="{02D57815-91ED-43cb-92C2-25804820EDAC}">
              <c15:datalabelsRange>
                <c15:f>'2. Enter Step Details'!plotrange_by_material_energy_labels</c15:f>
                <c15:dlblRangeCache>
                  <c:ptCount val="31"/>
                  <c:pt idx="0">
                    <c:v>(25%)</c:v>
                  </c:pt>
                  <c:pt idx="1">
                    <c:v>(14%)</c:v>
                  </c:pt>
                  <c:pt idx="2">
                    <c:v>(12%)</c:v>
                  </c:pt>
                  <c:pt idx="3">
                    <c:v>(12%)</c:v>
                  </c:pt>
                  <c:pt idx="4">
                    <c:v>(11%)</c:v>
                  </c:pt>
                  <c:pt idx="5">
                    <c:v>(8%)</c:v>
                  </c:pt>
                  <c:pt idx="6">
                    <c:v>(7%)</c:v>
                  </c:pt>
                  <c:pt idx="7">
                    <c:v>(3%)</c:v>
                  </c:pt>
                  <c:pt idx="8">
                    <c:v>(2%)</c:v>
                  </c:pt>
                  <c:pt idx="9">
                    <c:v>(2%)</c:v>
                  </c:pt>
                  <c:pt idx="10">
                    <c:v>(2%)</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F7F9-4F5C-8312-D0C339966618}"/>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Details'!plotrange_by_material_energy_X</c:f>
              <c:strCache>
                <c:ptCount val="31"/>
                <c:pt idx="0">
                  <c:v>IPA</c:v>
                </c:pt>
                <c:pt idx="1">
                  <c:v>toluene</c:v>
                </c:pt>
                <c:pt idx="2">
                  <c:v>DMF</c:v>
                </c:pt>
                <c:pt idx="3">
                  <c:v>methanol</c:v>
                </c:pt>
                <c:pt idx="4">
                  <c:v>acetonitrile</c:v>
                </c:pt>
                <c:pt idx="5">
                  <c:v>reagent U (organic)</c:v>
                </c:pt>
                <c:pt idx="6">
                  <c:v>reagent T (organic)</c:v>
                </c:pt>
                <c:pt idx="7">
                  <c:v>25 wt% reagent I (organic) in DMF</c:v>
                </c:pt>
                <c:pt idx="8">
                  <c:v>reagent D (organic)</c:v>
                </c:pt>
                <c:pt idx="9">
                  <c:v>reagent M (organic)</c:v>
                </c:pt>
                <c:pt idx="10">
                  <c:v>0.3 M reagent L (organic) in water</c:v>
                </c:pt>
                <c:pt idx="11">
                  <c:v>reagent V (organic)</c:v>
                </c:pt>
                <c:pt idx="12">
                  <c:v>95 wt% reagent M (organic)</c:v>
                </c:pt>
                <c:pt idx="13">
                  <c:v>reagent P (organic)</c:v>
                </c:pt>
                <c:pt idx="14">
                  <c:v>reagent O (organic)</c:v>
                </c:pt>
                <c:pt idx="15">
                  <c:v>reagent S (organic)</c:v>
                </c:pt>
                <c:pt idx="16">
                  <c:v>20 wt% reagent J (inorganic) in water</c:v>
                </c:pt>
                <c:pt idx="17">
                  <c:v>15 wt% reagent K (inorganic) in water</c:v>
                </c:pt>
                <c:pt idx="18">
                  <c:v>6 M HCl (aq)</c:v>
                </c:pt>
                <c:pt idx="19">
                  <c:v>reagent N (organic)</c:v>
                </c:pt>
                <c:pt idx="20">
                  <c:v>5 wt% reagent A (organic) in acetonitrile</c:v>
                </c:pt>
                <c:pt idx="21">
                  <c:v>30 wt% reagent F (inorganic) in water</c:v>
                </c:pt>
                <c:pt idx="22">
                  <c:v>15 wt% reagent C (inorganic) in water</c:v>
                </c:pt>
                <c:pt idx="23">
                  <c:v>10 wt% reagent B (inorganic) in water</c:v>
                </c:pt>
                <c:pt idx="24">
                  <c:v>water</c:v>
                </c:pt>
                <c:pt idx="25">
                  <c:v>25 wt% reagent E (inorganic) in water</c:v>
                </c:pt>
                <c:pt idx="26">
                  <c:v>0.1 M reagent G (inorganic) in water</c:v>
                </c:pt>
                <c:pt idx="27">
                  <c:v>nickel salt</c:v>
                </c:pt>
                <c:pt idx="28">
                  <c:v>reagent Q (organic)</c:v>
                </c:pt>
                <c:pt idx="29">
                  <c:v>0.2 M reagent H (inorganic) in water</c:v>
                </c:pt>
                <c:pt idx="30">
                  <c:v>reagent R (organic)</c:v>
                </c:pt>
              </c:strCache>
            </c:strRef>
          </c:cat>
          <c:val>
            <c:numRef>
              <c:f>'2. Enter Step Details'!plotrange_by_material_energy_Y2</c:f>
              <c:numCache>
                <c:formatCode>General</c:formatCode>
                <c:ptCount val="31"/>
                <c:pt idx="0">
                  <c:v>1255.00866</c:v>
                </c:pt>
                <c:pt idx="1">
                  <c:v>1984.0375984255652</c:v>
                </c:pt>
                <c:pt idx="2">
                  <c:v>2592.1671229273015</c:v>
                </c:pt>
                <c:pt idx="3">
                  <c:v>3195.6292528869453</c:v>
                </c:pt>
                <c:pt idx="4">
                  <c:v>3768.0835164311311</c:v>
                </c:pt>
                <c:pt idx="5">
                  <c:v>4180.2726627675438</c:v>
                </c:pt>
                <c:pt idx="6">
                  <c:v>4510.0239798366738</c:v>
                </c:pt>
                <c:pt idx="7">
                  <c:v>4646.3642231544782</c:v>
                </c:pt>
                <c:pt idx="8">
                  <c:v>4737.6933227526997</c:v>
                </c:pt>
                <c:pt idx="9">
                  <c:v>4821.5446859991516</c:v>
                </c:pt>
                <c:pt idx="10">
                  <c:v>4904.0349786321885</c:v>
                </c:pt>
                <c:pt idx="11">
                  <c:v>4963.9288095225111</c:v>
                </c:pt>
                <c:pt idx="12">
                  <c:v>4986.1702180222728</c:v>
                </c:pt>
                <c:pt idx="13">
                  <c:v>5001.8701187863835</c:v>
                </c:pt>
                <c:pt idx="14">
                  <c:v>5012.3367192957903</c:v>
                </c:pt>
                <c:pt idx="15">
                  <c:v>5022.8033198051917</c:v>
                </c:pt>
                <c:pt idx="16">
                  <c:v>5033.0471869602661</c:v>
                </c:pt>
                <c:pt idx="17">
                  <c:v>5041.915049668286</c:v>
                </c:pt>
                <c:pt idx="18">
                  <c:v>5048.0061244786621</c:v>
                </c:pt>
                <c:pt idx="19">
                  <c:v>5053.2394247333659</c:v>
                </c:pt>
                <c:pt idx="20">
                  <c:v>5058.0531447540261</c:v>
                </c:pt>
                <c:pt idx="21">
                  <c:v>5060.0893276652405</c:v>
                </c:pt>
                <c:pt idx="22">
                  <c:v>5061.8907603747057</c:v>
                </c:pt>
                <c:pt idx="23">
                  <c:v>5063.0988205125677</c:v>
                </c:pt>
                <c:pt idx="24">
                  <c:v>5063.8654704375786</c:v>
                </c:pt>
                <c:pt idx="25">
                  <c:v>5064.2389926691621</c:v>
                </c:pt>
                <c:pt idx="26">
                  <c:v>5064.5191270810865</c:v>
                </c:pt>
                <c:pt idx="27">
                  <c:v>5064.6611758010513</c:v>
                </c:pt>
                <c:pt idx="28">
                  <c:v>5064.7135088035984</c:v>
                </c:pt>
                <c:pt idx="29">
                  <c:v>5064.7416649895495</c:v>
                </c:pt>
                <c:pt idx="30">
                  <c:v>5064.7678314908226</c:v>
                </c:pt>
              </c:numCache>
            </c:numRef>
          </c:val>
          <c:smooth val="0"/>
          <c:extLst>
            <c:ext xmlns:c16="http://schemas.microsoft.com/office/drawing/2014/chart" uri="{C3380CC4-5D6E-409C-BE32-E72D297353CC}">
              <c16:uniqueId val="{0000002A-F7F9-4F5C-8312-D0C339966618}"/>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Energy (MJ)</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Dashboard'!$D$209</c:f>
          <c:strCache>
            <c:ptCount val="1"/>
            <c:pt idx="0">
              <c:v>Global Warming Potential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EB2D-4812-B4FD-CB612865EA60}"/>
            </c:ext>
          </c:extLst>
        </c:ser>
        <c:ser>
          <c:idx val="6"/>
          <c:order val="1"/>
          <c:tx>
            <c:v>Enzymes &amp; Plant Extracts</c:v>
          </c:tx>
          <c:spPr>
            <a:solidFill>
              <a:srgbClr val="92D050"/>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EB2D-4812-B4FD-CB612865EA60}"/>
            </c:ext>
          </c:extLst>
        </c:ser>
        <c:ser>
          <c:idx val="5"/>
          <c:order val="2"/>
          <c:tx>
            <c:v>Metal</c:v>
          </c:tx>
          <c:spPr>
            <a:solidFill>
              <a:schemeClr val="accent3"/>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2.8110112451826814E-3</c:v>
                </c:pt>
                <c:pt idx="28">
                  <c:v>0</c:v>
                </c:pt>
                <c:pt idx="29">
                  <c:v>0</c:v>
                </c:pt>
                <c:pt idx="30">
                  <c:v>0</c:v>
                </c:pt>
              </c:numCache>
            </c:numRef>
          </c:val>
          <c:extLst>
            <c:ext xmlns:c16="http://schemas.microsoft.com/office/drawing/2014/chart" uri="{C3380CC4-5D6E-409C-BE32-E72D297353CC}">
              <c16:uniqueId val="{00000002-EB2D-4812-B4FD-CB612865EA60}"/>
            </c:ext>
          </c:extLst>
        </c:ser>
        <c:ser>
          <c:idx val="0"/>
          <c:order val="3"/>
          <c:tx>
            <c:v>Reagent</c:v>
          </c:tx>
          <c:spPr>
            <a:solidFill>
              <a:srgbClr val="FF0000"/>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Details'!plotrange_by_material_GWP_Y1_REAGENT</c:f>
              <c:numCache>
                <c:formatCode>General</c:formatCode>
                <c:ptCount val="31"/>
                <c:pt idx="0">
                  <c:v>0</c:v>
                </c:pt>
                <c:pt idx="1">
                  <c:v>0</c:v>
                </c:pt>
                <c:pt idx="2">
                  <c:v>0</c:v>
                </c:pt>
                <c:pt idx="3">
                  <c:v>0</c:v>
                </c:pt>
                <c:pt idx="4">
                  <c:v>14.44890928137165</c:v>
                </c:pt>
                <c:pt idx="5">
                  <c:v>0</c:v>
                </c:pt>
                <c:pt idx="6">
                  <c:v>11.559127425097321</c:v>
                </c:pt>
                <c:pt idx="7">
                  <c:v>1.4448909281371654</c:v>
                </c:pt>
                <c:pt idx="8">
                  <c:v>3.2014571139800156</c:v>
                </c:pt>
                <c:pt idx="9">
                  <c:v>2.9393319825032256</c:v>
                </c:pt>
                <c:pt idx="10">
                  <c:v>2.8984327399522876</c:v>
                </c:pt>
                <c:pt idx="11">
                  <c:v>2.8897818562743107</c:v>
                </c:pt>
                <c:pt idx="12">
                  <c:v>2.0995228446451608</c:v>
                </c:pt>
                <c:pt idx="13">
                  <c:v>1.3265138397950973</c:v>
                </c:pt>
                <c:pt idx="14">
                  <c:v>1.1441181868232713</c:v>
                </c:pt>
                <c:pt idx="15">
                  <c:v>0.78831367749035086</c:v>
                </c:pt>
                <c:pt idx="16">
                  <c:v>0.55034550007785088</c:v>
                </c:pt>
                <c:pt idx="17">
                  <c:v>0.36689700005190062</c:v>
                </c:pt>
                <c:pt idx="18">
                  <c:v>0.36689700005169401</c:v>
                </c:pt>
                <c:pt idx="19">
                  <c:v>0.26411149310842974</c:v>
                </c:pt>
                <c:pt idx="20">
                  <c:v>0.23241811393554898</c:v>
                </c:pt>
                <c:pt idx="21">
                  <c:v>0.18344850002595031</c:v>
                </c:pt>
                <c:pt idx="22">
                  <c:v>7.3379400010380128E-3</c:v>
                </c:pt>
                <c:pt idx="23">
                  <c:v>0.15494540929036602</c:v>
                </c:pt>
                <c:pt idx="24">
                  <c:v>4.8420440403212112E-2</c:v>
                </c:pt>
                <c:pt idx="25">
                  <c:v>0</c:v>
                </c:pt>
                <c:pt idx="26">
                  <c:v>2.6139196058916875E-2</c:v>
                </c:pt>
                <c:pt idx="27">
                  <c:v>1.2205038856447005E-2</c:v>
                </c:pt>
                <c:pt idx="28">
                  <c:v>1.9368176161284846E-3</c:v>
                </c:pt>
                <c:pt idx="29">
                  <c:v>1.8344850002595032E-3</c:v>
                </c:pt>
                <c:pt idx="30">
                  <c:v>9.172425001297516E-4</c:v>
                </c:pt>
              </c:numCache>
            </c:numRef>
          </c:val>
          <c:extLst>
            <c:ext xmlns:c16="http://schemas.microsoft.com/office/drawing/2014/chart" uri="{C3380CC4-5D6E-409C-BE32-E72D297353CC}">
              <c16:uniqueId val="{00000003-EB2D-4812-B4FD-CB612865EA60}"/>
            </c:ext>
          </c:extLst>
        </c:ser>
        <c:ser>
          <c:idx val="2"/>
          <c:order val="4"/>
          <c:tx>
            <c:v>Solvent</c:v>
          </c:tx>
          <c:spPr>
            <a:solidFill>
              <a:schemeClr val="accent4"/>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Details'!plotrange_by_material_GWP_Y1_SOLVENT</c:f>
              <c:numCache>
                <c:formatCode>General</c:formatCode>
                <c:ptCount val="31"/>
                <c:pt idx="0">
                  <c:v>36.963594000000001</c:v>
                </c:pt>
                <c:pt idx="1">
                  <c:v>20.127829113394579</c:v>
                </c:pt>
                <c:pt idx="2">
                  <c:v>19.911060691270269</c:v>
                </c:pt>
                <c:pt idx="3">
                  <c:v>17.238893824951976</c:v>
                </c:pt>
                <c:pt idx="4">
                  <c:v>0</c:v>
                </c:pt>
                <c:pt idx="5">
                  <c:v>11.958897016810784</c:v>
                </c:pt>
                <c:pt idx="6">
                  <c:v>0</c:v>
                </c:pt>
                <c:pt idx="7">
                  <c:v>3.1144130849697427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0.16189299468705942</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EB2D-4812-B4FD-CB612865EA60}"/>
            </c:ext>
          </c:extLst>
        </c:ser>
        <c:ser>
          <c:idx val="3"/>
          <c:order val="5"/>
          <c:tx>
            <c:v>Water</c:v>
          </c:tx>
          <c:spPr>
            <a:solidFill>
              <a:schemeClr val="accent1"/>
            </a:solidFill>
            <a:ln>
              <a:solidFill>
                <a:schemeClr val="tx1"/>
              </a:solidFill>
            </a:ln>
            <a:effectLst/>
          </c:spPr>
          <c:invertIfNegative val="0"/>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Details'!plotrange_by_material_GWP_Y1_WATER</c:f>
              <c:numCache>
                <c:formatCode>General</c:formatCode>
                <c:ptCount val="31"/>
                <c:pt idx="0">
                  <c:v>0</c:v>
                </c:pt>
                <c:pt idx="1">
                  <c:v>0</c:v>
                </c:pt>
                <c:pt idx="2">
                  <c:v>0</c:v>
                </c:pt>
                <c:pt idx="3">
                  <c:v>0</c:v>
                </c:pt>
                <c:pt idx="4">
                  <c:v>0</c:v>
                </c:pt>
                <c:pt idx="5">
                  <c:v>0</c:v>
                </c:pt>
                <c:pt idx="6">
                  <c:v>0</c:v>
                </c:pt>
                <c:pt idx="7">
                  <c:v>0</c:v>
                </c:pt>
                <c:pt idx="8">
                  <c:v>0</c:v>
                </c:pt>
                <c:pt idx="9">
                  <c:v>0</c:v>
                </c:pt>
                <c:pt idx="10">
                  <c:v>1.1184532941824198E-4</c:v>
                </c:pt>
                <c:pt idx="11">
                  <c:v>2.7961332354560497E-3</c:v>
                </c:pt>
                <c:pt idx="12">
                  <c:v>0</c:v>
                </c:pt>
                <c:pt idx="13">
                  <c:v>3.5012450948319227E-3</c:v>
                </c:pt>
                <c:pt idx="14">
                  <c:v>4.7534265002752828E-3</c:v>
                </c:pt>
                <c:pt idx="15">
                  <c:v>2.2620836485375845E-3</c:v>
                </c:pt>
                <c:pt idx="16">
                  <c:v>0</c:v>
                </c:pt>
                <c:pt idx="17">
                  <c:v>0</c:v>
                </c:pt>
                <c:pt idx="18">
                  <c:v>0</c:v>
                </c:pt>
                <c:pt idx="19">
                  <c:v>5.1637387273556165E-4</c:v>
                </c:pt>
                <c:pt idx="20">
                  <c:v>9.656191420160437E-4</c:v>
                </c:pt>
                <c:pt idx="21">
                  <c:v>0</c:v>
                </c:pt>
                <c:pt idx="22">
                  <c:v>0</c:v>
                </c:pt>
                <c:pt idx="23">
                  <c:v>1.0224202680169875E-3</c:v>
                </c:pt>
                <c:pt idx="24">
                  <c:v>1.0650211125170959E-4</c:v>
                </c:pt>
                <c:pt idx="25">
                  <c:v>4.0860042134632263E-2</c:v>
                </c:pt>
                <c:pt idx="26">
                  <c:v>4.2409198194322661E-3</c:v>
                </c:pt>
                <c:pt idx="27">
                  <c:v>0</c:v>
                </c:pt>
                <c:pt idx="28">
                  <c:v>7.0859404686137437E-4</c:v>
                </c:pt>
                <c:pt idx="29">
                  <c:v>0</c:v>
                </c:pt>
                <c:pt idx="30">
                  <c:v>0</c:v>
                </c:pt>
              </c:numCache>
            </c:numRef>
          </c:val>
          <c:extLst>
            <c:ext xmlns:c16="http://schemas.microsoft.com/office/drawing/2014/chart" uri="{C3380CC4-5D6E-409C-BE32-E72D297353CC}">
              <c16:uniqueId val="{00000005-EB2D-4812-B4FD-CB612865EA60}"/>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B80E84A5-9D5B-44FF-A7F8-02B521900A0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2D-4812-B4FD-CB612865EA60}"/>
                </c:ext>
              </c:extLst>
            </c:dLbl>
            <c:dLbl>
              <c:idx val="1"/>
              <c:tx>
                <c:rich>
                  <a:bodyPr/>
                  <a:lstStyle/>
                  <a:p>
                    <a:fld id="{88AF9056-B9F3-4D6B-BDEA-96E73E904EA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81F-4AA3-A5BE-C24B391C5A86}"/>
                </c:ext>
              </c:extLst>
            </c:dLbl>
            <c:dLbl>
              <c:idx val="2"/>
              <c:tx>
                <c:rich>
                  <a:bodyPr/>
                  <a:lstStyle/>
                  <a:p>
                    <a:fld id="{FECD82A6-81D8-4F86-B164-97558A5910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81F-4AA3-A5BE-C24B391C5A86}"/>
                </c:ext>
              </c:extLst>
            </c:dLbl>
            <c:dLbl>
              <c:idx val="3"/>
              <c:tx>
                <c:rich>
                  <a:bodyPr/>
                  <a:lstStyle/>
                  <a:p>
                    <a:fld id="{010607E9-A8AE-46EE-B2A0-11FEEB3EA22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1F-4AA3-A5BE-C24B391C5A86}"/>
                </c:ext>
              </c:extLst>
            </c:dLbl>
            <c:dLbl>
              <c:idx val="4"/>
              <c:tx>
                <c:rich>
                  <a:bodyPr/>
                  <a:lstStyle/>
                  <a:p>
                    <a:fld id="{048934DA-6C6E-4928-A661-5A35B6DAFE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1F-4AA3-A5BE-C24B391C5A86}"/>
                </c:ext>
              </c:extLst>
            </c:dLbl>
            <c:dLbl>
              <c:idx val="5"/>
              <c:tx>
                <c:rich>
                  <a:bodyPr/>
                  <a:lstStyle/>
                  <a:p>
                    <a:fld id="{6BE42536-AEEC-49DD-A440-038C084F7C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1F-4AA3-A5BE-C24B391C5A86}"/>
                </c:ext>
              </c:extLst>
            </c:dLbl>
            <c:dLbl>
              <c:idx val="6"/>
              <c:tx>
                <c:rich>
                  <a:bodyPr/>
                  <a:lstStyle/>
                  <a:p>
                    <a:fld id="{6AA507E1-7844-49AB-B0C2-FB96D6689B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1F-4AA3-A5BE-C24B391C5A86}"/>
                </c:ext>
              </c:extLst>
            </c:dLbl>
            <c:dLbl>
              <c:idx val="7"/>
              <c:tx>
                <c:rich>
                  <a:bodyPr/>
                  <a:lstStyle/>
                  <a:p>
                    <a:fld id="{10D6C96A-6DB6-4C47-808C-4A502A024E5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1F-4AA3-A5BE-C24B391C5A86}"/>
                </c:ext>
              </c:extLst>
            </c:dLbl>
            <c:dLbl>
              <c:idx val="8"/>
              <c:tx>
                <c:rich>
                  <a:bodyPr/>
                  <a:lstStyle/>
                  <a:p>
                    <a:fld id="{DEDB946F-6EE5-46FE-9984-6E0486D191C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1F-4AA3-A5BE-C24B391C5A86}"/>
                </c:ext>
              </c:extLst>
            </c:dLbl>
            <c:dLbl>
              <c:idx val="9"/>
              <c:tx>
                <c:rich>
                  <a:bodyPr/>
                  <a:lstStyle/>
                  <a:p>
                    <a:fld id="{7CAA934F-BB32-467F-95CB-D3C18F8A9AF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1F-4AA3-A5BE-C24B391C5A86}"/>
                </c:ext>
              </c:extLst>
            </c:dLbl>
            <c:dLbl>
              <c:idx val="10"/>
              <c:tx>
                <c:rich>
                  <a:bodyPr/>
                  <a:lstStyle/>
                  <a:p>
                    <a:fld id="{0AE0521B-7DC3-4A67-AB6D-A76B5AB4781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1F-4AA3-A5BE-C24B391C5A86}"/>
                </c:ext>
              </c:extLst>
            </c:dLbl>
            <c:dLbl>
              <c:idx val="11"/>
              <c:tx>
                <c:rich>
                  <a:bodyPr/>
                  <a:lstStyle/>
                  <a:p>
                    <a:fld id="{BE69099A-83CA-4B56-B2DF-A6557ED889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1F-4AA3-A5BE-C24B391C5A86}"/>
                </c:ext>
              </c:extLst>
            </c:dLbl>
            <c:dLbl>
              <c:idx val="12"/>
              <c:tx>
                <c:rich>
                  <a:bodyPr/>
                  <a:lstStyle/>
                  <a:p>
                    <a:fld id="{54E19179-F3C1-42BF-B1C0-B3A799EB890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1F-4AA3-A5BE-C24B391C5A86}"/>
                </c:ext>
              </c:extLst>
            </c:dLbl>
            <c:dLbl>
              <c:idx val="13"/>
              <c:tx>
                <c:rich>
                  <a:bodyPr/>
                  <a:lstStyle/>
                  <a:p>
                    <a:fld id="{A5E54045-CEAE-4937-9FF0-013FF43350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1F-4AA3-A5BE-C24B391C5A86}"/>
                </c:ext>
              </c:extLst>
            </c:dLbl>
            <c:dLbl>
              <c:idx val="14"/>
              <c:tx>
                <c:rich>
                  <a:bodyPr/>
                  <a:lstStyle/>
                  <a:p>
                    <a:fld id="{7DE94B14-DFA0-465A-B4E6-4AA190448E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1F-4AA3-A5BE-C24B391C5A86}"/>
                </c:ext>
              </c:extLst>
            </c:dLbl>
            <c:dLbl>
              <c:idx val="15"/>
              <c:tx>
                <c:rich>
                  <a:bodyPr/>
                  <a:lstStyle/>
                  <a:p>
                    <a:fld id="{29397482-BCDC-4EE3-8233-E06DA6D975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1F-4AA3-A5BE-C24B391C5A86}"/>
                </c:ext>
              </c:extLst>
            </c:dLbl>
            <c:dLbl>
              <c:idx val="16"/>
              <c:tx>
                <c:rich>
                  <a:bodyPr/>
                  <a:lstStyle/>
                  <a:p>
                    <a:fld id="{04DEAA7F-42FE-4262-9A47-7D4A6FB0C7D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1F-4AA3-A5BE-C24B391C5A86}"/>
                </c:ext>
              </c:extLst>
            </c:dLbl>
            <c:dLbl>
              <c:idx val="17"/>
              <c:tx>
                <c:rich>
                  <a:bodyPr/>
                  <a:lstStyle/>
                  <a:p>
                    <a:fld id="{74587733-5DF4-48DC-9535-BFEA963460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1F-4AA3-A5BE-C24B391C5A86}"/>
                </c:ext>
              </c:extLst>
            </c:dLbl>
            <c:dLbl>
              <c:idx val="18"/>
              <c:tx>
                <c:rich>
                  <a:bodyPr/>
                  <a:lstStyle/>
                  <a:p>
                    <a:fld id="{3B7C8F52-E960-490F-A0E0-5F702EF539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1F-4AA3-A5BE-C24B391C5A86}"/>
                </c:ext>
              </c:extLst>
            </c:dLbl>
            <c:dLbl>
              <c:idx val="19"/>
              <c:tx>
                <c:rich>
                  <a:bodyPr/>
                  <a:lstStyle/>
                  <a:p>
                    <a:fld id="{DD5C8B15-CB6C-4628-909F-D6D856FBA4A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1F-4AA3-A5BE-C24B391C5A86}"/>
                </c:ext>
              </c:extLst>
            </c:dLbl>
            <c:dLbl>
              <c:idx val="20"/>
              <c:tx>
                <c:rich>
                  <a:bodyPr/>
                  <a:lstStyle/>
                  <a:p>
                    <a:fld id="{AEAA1CFF-259A-4D46-9914-1E764A05EF3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1F-4AA3-A5BE-C24B391C5A86}"/>
                </c:ext>
              </c:extLst>
            </c:dLbl>
            <c:dLbl>
              <c:idx val="21"/>
              <c:tx>
                <c:rich>
                  <a:bodyPr/>
                  <a:lstStyle/>
                  <a:p>
                    <a:fld id="{222F5FF5-82B7-43C5-A5E1-181F1EEBBED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1F-4AA3-A5BE-C24B391C5A86}"/>
                </c:ext>
              </c:extLst>
            </c:dLbl>
            <c:dLbl>
              <c:idx val="22"/>
              <c:tx>
                <c:rich>
                  <a:bodyPr/>
                  <a:lstStyle/>
                  <a:p>
                    <a:fld id="{21B8314D-E880-452C-AB12-1A66CB957C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1F-4AA3-A5BE-C24B391C5A86}"/>
                </c:ext>
              </c:extLst>
            </c:dLbl>
            <c:dLbl>
              <c:idx val="23"/>
              <c:tx>
                <c:rich>
                  <a:bodyPr/>
                  <a:lstStyle/>
                  <a:p>
                    <a:fld id="{1E502BEC-D908-4026-A85E-5A361AA981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1F-4AA3-A5BE-C24B391C5A86}"/>
                </c:ext>
              </c:extLst>
            </c:dLbl>
            <c:dLbl>
              <c:idx val="24"/>
              <c:tx>
                <c:rich>
                  <a:bodyPr/>
                  <a:lstStyle/>
                  <a:p>
                    <a:fld id="{D04260D7-ED04-4718-96D5-D49A972551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1F-4AA3-A5BE-C24B391C5A86}"/>
                </c:ext>
              </c:extLst>
            </c:dLbl>
            <c:dLbl>
              <c:idx val="25"/>
              <c:tx>
                <c:rich>
                  <a:bodyPr/>
                  <a:lstStyle/>
                  <a:p>
                    <a:fld id="{F867050D-5D26-48DB-96EE-66D4F447CF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1F-4AA3-A5BE-C24B391C5A86}"/>
                </c:ext>
              </c:extLst>
            </c:dLbl>
            <c:dLbl>
              <c:idx val="26"/>
              <c:tx>
                <c:rich>
                  <a:bodyPr/>
                  <a:lstStyle/>
                  <a:p>
                    <a:fld id="{50B4CA70-29A3-45BF-8668-88A2AC905C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1F-4AA3-A5BE-C24B391C5A86}"/>
                </c:ext>
              </c:extLst>
            </c:dLbl>
            <c:dLbl>
              <c:idx val="27"/>
              <c:tx>
                <c:rich>
                  <a:bodyPr/>
                  <a:lstStyle/>
                  <a:p>
                    <a:fld id="{89A012ED-481D-4425-B8F8-F7E52D259E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1F-4AA3-A5BE-C24B391C5A86}"/>
                </c:ext>
              </c:extLst>
            </c:dLbl>
            <c:dLbl>
              <c:idx val="28"/>
              <c:tx>
                <c:rich>
                  <a:bodyPr/>
                  <a:lstStyle/>
                  <a:p>
                    <a:fld id="{E1098620-D72E-4385-8D41-D7A48DAC05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1F-4AA3-A5BE-C24B391C5A86}"/>
                </c:ext>
              </c:extLst>
            </c:dLbl>
            <c:dLbl>
              <c:idx val="29"/>
              <c:tx>
                <c:rich>
                  <a:bodyPr/>
                  <a:lstStyle/>
                  <a:p>
                    <a:fld id="{4B3407D2-F093-459E-AFE9-8169366F28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1F-4AA3-A5BE-C24B391C5A86}"/>
                </c:ext>
              </c:extLst>
            </c:dLbl>
            <c:dLbl>
              <c:idx val="30"/>
              <c:tx>
                <c:rich>
                  <a:bodyPr/>
                  <a:lstStyle/>
                  <a:p>
                    <a:fld id="{C4F7912E-FBFD-478F-9D87-928D51EBE2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1F-4AA3-A5BE-C24B391C5A86}"/>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Details'!plotrange_by_material_GWP_Y1</c:f>
              <c:numCache>
                <c:formatCode>General</c:formatCode>
                <c:ptCount val="31"/>
                <c:pt idx="0">
                  <c:v>36.963594000000001</c:v>
                </c:pt>
                <c:pt idx="1">
                  <c:v>20.127829113394579</c:v>
                </c:pt>
                <c:pt idx="2">
                  <c:v>19.911060691270269</c:v>
                </c:pt>
                <c:pt idx="3">
                  <c:v>17.238893824951976</c:v>
                </c:pt>
                <c:pt idx="4">
                  <c:v>14.44890928137165</c:v>
                </c:pt>
                <c:pt idx="5">
                  <c:v>11.958897016810784</c:v>
                </c:pt>
                <c:pt idx="6">
                  <c:v>11.559127425097321</c:v>
                </c:pt>
                <c:pt idx="7">
                  <c:v>4.5593040131069085</c:v>
                </c:pt>
                <c:pt idx="8">
                  <c:v>3.2014571139800156</c:v>
                </c:pt>
                <c:pt idx="9">
                  <c:v>2.9393319825032256</c:v>
                </c:pt>
                <c:pt idx="10">
                  <c:v>2.898544585281706</c:v>
                </c:pt>
                <c:pt idx="11">
                  <c:v>2.8925779895097667</c:v>
                </c:pt>
                <c:pt idx="12">
                  <c:v>2.0995228446451608</c:v>
                </c:pt>
                <c:pt idx="13">
                  <c:v>1.330015084889929</c:v>
                </c:pt>
                <c:pt idx="14">
                  <c:v>1.1488716133235466</c:v>
                </c:pt>
                <c:pt idx="15">
                  <c:v>0.7905757611388885</c:v>
                </c:pt>
                <c:pt idx="16">
                  <c:v>0.55034550007785088</c:v>
                </c:pt>
                <c:pt idx="17">
                  <c:v>0.36689700005190062</c:v>
                </c:pt>
                <c:pt idx="18">
                  <c:v>0.36689700005169401</c:v>
                </c:pt>
                <c:pt idx="19">
                  <c:v>0.26462786698116531</c:v>
                </c:pt>
                <c:pt idx="20">
                  <c:v>0.23338373307756505</c:v>
                </c:pt>
                <c:pt idx="21">
                  <c:v>0.18344850002595031</c:v>
                </c:pt>
                <c:pt idx="22">
                  <c:v>0.16923093468809744</c:v>
                </c:pt>
                <c:pt idx="23">
                  <c:v>0.15596782955838298</c:v>
                </c:pt>
                <c:pt idx="24">
                  <c:v>4.8526942514463822E-2</c:v>
                </c:pt>
                <c:pt idx="25">
                  <c:v>4.0860042134632263E-2</c:v>
                </c:pt>
                <c:pt idx="26">
                  <c:v>3.0380115878349139E-2</c:v>
                </c:pt>
                <c:pt idx="27">
                  <c:v>1.5016050101629685E-2</c:v>
                </c:pt>
                <c:pt idx="28">
                  <c:v>2.6454116629898586E-3</c:v>
                </c:pt>
                <c:pt idx="29">
                  <c:v>1.8344850002595032E-3</c:v>
                </c:pt>
                <c:pt idx="30">
                  <c:v>9.172425001297516E-4</c:v>
                </c:pt>
              </c:numCache>
            </c:numRef>
          </c:val>
          <c:smooth val="0"/>
          <c:extLst>
            <c:ext xmlns:c15="http://schemas.microsoft.com/office/drawing/2012/chart" uri="{02D57815-91ED-43cb-92C2-25804820EDAC}">
              <c15:datalabelsRange>
                <c15:f>'2. Enter Step Details'!plotrange_by_material_GWP_labels</c15:f>
                <c15:dlblRangeCache>
                  <c:ptCount val="31"/>
                  <c:pt idx="0">
                    <c:v>(24%)</c:v>
                  </c:pt>
                  <c:pt idx="1">
                    <c:v>(13%)</c:v>
                  </c:pt>
                  <c:pt idx="2">
                    <c:v>(13%)</c:v>
                  </c:pt>
                  <c:pt idx="3">
                    <c:v>(11%)</c:v>
                  </c:pt>
                  <c:pt idx="4">
                    <c:v>(9%)</c:v>
                  </c:pt>
                  <c:pt idx="5">
                    <c:v>(8%)</c:v>
                  </c:pt>
                  <c:pt idx="6">
                    <c:v>(7%)</c:v>
                  </c:pt>
                  <c:pt idx="7">
                    <c:v>(3%)</c:v>
                  </c:pt>
                  <c:pt idx="8">
                    <c:v>(2%)</c:v>
                  </c:pt>
                  <c:pt idx="9">
                    <c:v>(2%)</c:v>
                  </c:pt>
                  <c:pt idx="10">
                    <c:v>(2%)</c:v>
                  </c:pt>
                  <c:pt idx="11">
                    <c:v>(2%)</c:v>
                  </c:pt>
                  <c:pt idx="12">
                    <c:v>(1%)</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EB2D-4812-B4FD-CB612865EA60}"/>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Details'!plotrange_by_material_GWP_X</c:f>
              <c:strCache>
                <c:ptCount val="31"/>
                <c:pt idx="0">
                  <c:v>IPA</c:v>
                </c:pt>
                <c:pt idx="1">
                  <c:v>acetonitrile</c:v>
                </c:pt>
                <c:pt idx="2">
                  <c:v>DMF</c:v>
                </c:pt>
                <c:pt idx="3">
                  <c:v>toluene</c:v>
                </c:pt>
                <c:pt idx="4">
                  <c:v>reagent U (organic)</c:v>
                </c:pt>
                <c:pt idx="5">
                  <c:v>methanol</c:v>
                </c:pt>
                <c:pt idx="6">
                  <c:v>reagent T (organic)</c:v>
                </c:pt>
                <c:pt idx="7">
                  <c:v>25 wt% reagent I (organic) in DMF</c:v>
                </c:pt>
                <c:pt idx="8">
                  <c:v>reagent D (organic)</c:v>
                </c:pt>
                <c:pt idx="9">
                  <c:v>reagent M (organic)</c:v>
                </c:pt>
                <c:pt idx="10">
                  <c:v>95 wt% reagent M (organic)</c:v>
                </c:pt>
                <c:pt idx="11">
                  <c:v>0.3 M reagent L (organic) in water</c:v>
                </c:pt>
                <c:pt idx="12">
                  <c:v>reagent V (organic)</c:v>
                </c:pt>
                <c:pt idx="13">
                  <c:v>20 wt% reagent J (inorganic) in water</c:v>
                </c:pt>
                <c:pt idx="14">
                  <c:v>15 wt% reagent K (inorganic) in water</c:v>
                </c:pt>
                <c:pt idx="15">
                  <c:v>6 M HCl (aq)</c:v>
                </c:pt>
                <c:pt idx="16">
                  <c:v>reagent P (organic)</c:v>
                </c:pt>
                <c:pt idx="17">
                  <c:v>reagent O (organic)</c:v>
                </c:pt>
                <c:pt idx="18">
                  <c:v>reagent S (organic)</c:v>
                </c:pt>
                <c:pt idx="19">
                  <c:v>30 wt% reagent F (inorganic) in water</c:v>
                </c:pt>
                <c:pt idx="20">
                  <c:v>15 wt% reagent C (inorganic) in water</c:v>
                </c:pt>
                <c:pt idx="21">
                  <c:v>reagent N (organic)</c:v>
                </c:pt>
                <c:pt idx="22">
                  <c:v>5 wt% reagent A (organic) in acetonitrile</c:v>
                </c:pt>
                <c:pt idx="23">
                  <c:v>10 wt% reagent B (inorganic) in water</c:v>
                </c:pt>
                <c:pt idx="24">
                  <c:v>25 wt% reagent E (inorganic) in water</c:v>
                </c:pt>
                <c:pt idx="25">
                  <c:v>water</c:v>
                </c:pt>
                <c:pt idx="26">
                  <c:v>0.1 M reagent G (inorganic) in water</c:v>
                </c:pt>
                <c:pt idx="27">
                  <c:v>nickel salt</c:v>
                </c:pt>
                <c:pt idx="28">
                  <c:v>0.2 M reagent H (inorganic) in water</c:v>
                </c:pt>
                <c:pt idx="29">
                  <c:v>reagent Q (organic)</c:v>
                </c:pt>
                <c:pt idx="30">
                  <c:v>reagent R (organic)</c:v>
                </c:pt>
              </c:strCache>
            </c:strRef>
          </c:cat>
          <c:val>
            <c:numRef>
              <c:f>'2. Enter Step Details'!plotrange_by_material_GWP_Y2</c:f>
              <c:numCache>
                <c:formatCode>General</c:formatCode>
                <c:ptCount val="31"/>
                <c:pt idx="0">
                  <c:v>36.963594000000001</c:v>
                </c:pt>
                <c:pt idx="1">
                  <c:v>57.091423113394583</c:v>
                </c:pt>
                <c:pt idx="2">
                  <c:v>77.002483804664848</c:v>
                </c:pt>
                <c:pt idx="3">
                  <c:v>94.241377629616821</c:v>
                </c:pt>
                <c:pt idx="4">
                  <c:v>108.69028691098848</c:v>
                </c:pt>
                <c:pt idx="5">
                  <c:v>120.64918392779926</c:v>
                </c:pt>
                <c:pt idx="6">
                  <c:v>132.20831135289657</c:v>
                </c:pt>
                <c:pt idx="7">
                  <c:v>136.76761536600347</c:v>
                </c:pt>
                <c:pt idx="8">
                  <c:v>139.96907247998348</c:v>
                </c:pt>
                <c:pt idx="9">
                  <c:v>142.90840446248671</c:v>
                </c:pt>
                <c:pt idx="10">
                  <c:v>145.80694904776843</c:v>
                </c:pt>
                <c:pt idx="11">
                  <c:v>148.69952703727819</c:v>
                </c:pt>
                <c:pt idx="12">
                  <c:v>150.79904988192334</c:v>
                </c:pt>
                <c:pt idx="13">
                  <c:v>152.12906496681327</c:v>
                </c:pt>
                <c:pt idx="14">
                  <c:v>153.27793658013681</c:v>
                </c:pt>
                <c:pt idx="15">
                  <c:v>154.06851234127569</c:v>
                </c:pt>
                <c:pt idx="16">
                  <c:v>154.61885784135353</c:v>
                </c:pt>
                <c:pt idx="17">
                  <c:v>154.98575484140542</c:v>
                </c:pt>
                <c:pt idx="18">
                  <c:v>155.35265184145712</c:v>
                </c:pt>
                <c:pt idx="19">
                  <c:v>155.61727970843828</c:v>
                </c:pt>
                <c:pt idx="20">
                  <c:v>155.85066344151585</c:v>
                </c:pt>
                <c:pt idx="21">
                  <c:v>156.03411194154179</c:v>
                </c:pt>
                <c:pt idx="22">
                  <c:v>156.2033428762299</c:v>
                </c:pt>
                <c:pt idx="23">
                  <c:v>156.35931070578829</c:v>
                </c:pt>
                <c:pt idx="24">
                  <c:v>156.40783764830275</c:v>
                </c:pt>
                <c:pt idx="25">
                  <c:v>156.44869769043737</c:v>
                </c:pt>
                <c:pt idx="26">
                  <c:v>156.47907780631573</c:v>
                </c:pt>
                <c:pt idx="27">
                  <c:v>156.49409385641735</c:v>
                </c:pt>
                <c:pt idx="28">
                  <c:v>156.49673926808035</c:v>
                </c:pt>
                <c:pt idx="29">
                  <c:v>156.49857375308062</c:v>
                </c:pt>
                <c:pt idx="30">
                  <c:v>156.49949099558074</c:v>
                </c:pt>
              </c:numCache>
            </c:numRef>
          </c:val>
          <c:smooth val="0"/>
          <c:extLst>
            <c:ext xmlns:c16="http://schemas.microsoft.com/office/drawing/2014/chart" uri="{C3380CC4-5D6E-409C-BE32-E72D297353CC}">
              <c16:uniqueId val="{0000002A-EB2D-4812-B4FD-CB612865EA60}"/>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GWP (kg CO2 equiv.)</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Dashboard'!$D$246</c:f>
          <c:strCache>
            <c:ptCount val="1"/>
            <c:pt idx="0">
              <c:v>Acidification Potential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05C-4FC6-97D4-0E1D1BD7A8A1}"/>
            </c:ext>
          </c:extLst>
        </c:ser>
        <c:ser>
          <c:idx val="6"/>
          <c:order val="1"/>
          <c:tx>
            <c:v>Enzymes &amp; Plant Extracts</c:v>
          </c:tx>
          <c:spPr>
            <a:solidFill>
              <a:srgbClr val="92D050"/>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605C-4FC6-97D4-0E1D1BD7A8A1}"/>
            </c:ext>
          </c:extLst>
        </c:ser>
        <c:ser>
          <c:idx val="5"/>
          <c:order val="2"/>
          <c:tx>
            <c:v>Metal</c:v>
          </c:tx>
          <c:spPr>
            <a:solidFill>
              <a:schemeClr val="accent3"/>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4.4127374004533426E-4</c:v>
                </c:pt>
                <c:pt idx="25">
                  <c:v>0</c:v>
                </c:pt>
                <c:pt idx="26">
                  <c:v>0</c:v>
                </c:pt>
                <c:pt idx="27">
                  <c:v>0</c:v>
                </c:pt>
                <c:pt idx="28">
                  <c:v>0</c:v>
                </c:pt>
                <c:pt idx="29">
                  <c:v>0</c:v>
                </c:pt>
                <c:pt idx="30">
                  <c:v>0</c:v>
                </c:pt>
              </c:numCache>
            </c:numRef>
          </c:val>
          <c:extLst>
            <c:ext xmlns:c16="http://schemas.microsoft.com/office/drawing/2014/chart" uri="{C3380CC4-5D6E-409C-BE32-E72D297353CC}">
              <c16:uniqueId val="{00000002-605C-4FC6-97D4-0E1D1BD7A8A1}"/>
            </c:ext>
          </c:extLst>
        </c:ser>
        <c:ser>
          <c:idx val="0"/>
          <c:order val="3"/>
          <c:tx>
            <c:v>Reagent</c:v>
          </c:tx>
          <c:spPr>
            <a:solidFill>
              <a:srgbClr val="FF0000"/>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Details'!plotrange_by_material_acidification_Y1_REAGENT</c:f>
              <c:numCache>
                <c:formatCode>General</c:formatCode>
                <c:ptCount val="31"/>
                <c:pt idx="0">
                  <c:v>0</c:v>
                </c:pt>
                <c:pt idx="1">
                  <c:v>0</c:v>
                </c:pt>
                <c:pt idx="2">
                  <c:v>0</c:v>
                </c:pt>
                <c:pt idx="3">
                  <c:v>6.1789945367306684E-2</c:v>
                </c:pt>
                <c:pt idx="4">
                  <c:v>4.943195629384535E-2</c:v>
                </c:pt>
                <c:pt idx="5">
                  <c:v>0</c:v>
                </c:pt>
                <c:pt idx="6">
                  <c:v>2.908056524132871E-2</c:v>
                </c:pt>
                <c:pt idx="7">
                  <c:v>0</c:v>
                </c:pt>
                <c:pt idx="8">
                  <c:v>6.1789945367306696E-3</c:v>
                </c:pt>
                <c:pt idx="9">
                  <c:v>1.3690850729033123E-2</c:v>
                </c:pt>
                <c:pt idx="10">
                  <c:v>1.3309183176809477E-2</c:v>
                </c:pt>
                <c:pt idx="11">
                  <c:v>1.2569887392774195E-2</c:v>
                </c:pt>
                <c:pt idx="12">
                  <c:v>1.2357989073461254E-2</c:v>
                </c:pt>
                <c:pt idx="13">
                  <c:v>1.1479170489998174E-2</c:v>
                </c:pt>
                <c:pt idx="14">
                  <c:v>8.9784909948387101E-3</c:v>
                </c:pt>
                <c:pt idx="15">
                  <c:v>7.9093114747479983E-3</c:v>
                </c:pt>
                <c:pt idx="16">
                  <c:v>2.6498843324723352E-3</c:v>
                </c:pt>
                <c:pt idx="17">
                  <c:v>2.3535214818460868E-3</c:v>
                </c:pt>
                <c:pt idx="18">
                  <c:v>2.331898212576968E-3</c:v>
                </c:pt>
                <c:pt idx="19">
                  <c:v>1.5690143212307246E-3</c:v>
                </c:pt>
                <c:pt idx="20">
                  <c:v>1.5690143212298412E-3</c:v>
                </c:pt>
                <c:pt idx="21">
                  <c:v>1.5545988083846452E-3</c:v>
                </c:pt>
                <c:pt idx="22">
                  <c:v>7.8450716061536231E-4</c:v>
                </c:pt>
                <c:pt idx="23">
                  <c:v>3.1380286424614496E-5</c:v>
                </c:pt>
                <c:pt idx="24">
                  <c:v>1.2245563743656227E-4</c:v>
                </c:pt>
                <c:pt idx="25">
                  <c:v>4.8581212761992815E-4</c:v>
                </c:pt>
                <c:pt idx="26">
                  <c:v>2.6225987095347518E-4</c:v>
                </c:pt>
                <c:pt idx="27">
                  <c:v>0</c:v>
                </c:pt>
                <c:pt idx="28">
                  <c:v>1.9432485104797125E-5</c:v>
                </c:pt>
                <c:pt idx="29">
                  <c:v>7.845071606153624E-6</c:v>
                </c:pt>
                <c:pt idx="30">
                  <c:v>3.922535803076812E-6</c:v>
                </c:pt>
              </c:numCache>
            </c:numRef>
          </c:val>
          <c:extLst>
            <c:ext xmlns:c16="http://schemas.microsoft.com/office/drawing/2014/chart" uri="{C3380CC4-5D6E-409C-BE32-E72D297353CC}">
              <c16:uniqueId val="{00000003-605C-4FC6-97D4-0E1D1BD7A8A1}"/>
            </c:ext>
          </c:extLst>
        </c:ser>
        <c:ser>
          <c:idx val="2"/>
          <c:order val="4"/>
          <c:tx>
            <c:v>Solvent</c:v>
          </c:tx>
          <c:spPr>
            <a:solidFill>
              <a:schemeClr val="accent4"/>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Details'!plotrange_by_material_acidification_Y1_SOLVENT</c:f>
              <c:numCache>
                <c:formatCode>General</c:formatCode>
                <c:ptCount val="31"/>
                <c:pt idx="0">
                  <c:v>0.15487351999999999</c:v>
                </c:pt>
                <c:pt idx="1">
                  <c:v>9.309649241083226E-2</c:v>
                </c:pt>
                <c:pt idx="2">
                  <c:v>8.7992935738799488E-2</c:v>
                </c:pt>
                <c:pt idx="3">
                  <c:v>0</c:v>
                </c:pt>
                <c:pt idx="4">
                  <c:v>0</c:v>
                </c:pt>
                <c:pt idx="5">
                  <c:v>4.3566059094727452E-2</c:v>
                </c:pt>
                <c:pt idx="6">
                  <c:v>0</c:v>
                </c:pt>
                <c:pt idx="7">
                  <c:v>2.0061452317611653E-2</c:v>
                </c:pt>
                <c:pt idx="8">
                  <c:v>1.3763523435492855E-2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7.4879759095435212E-4</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605C-4FC6-97D4-0E1D1BD7A8A1}"/>
            </c:ext>
          </c:extLst>
        </c:ser>
        <c:ser>
          <c:idx val="3"/>
          <c:order val="5"/>
          <c:tx>
            <c:v>Water</c:v>
          </c:tx>
          <c:spPr>
            <a:solidFill>
              <a:schemeClr val="accent1"/>
            </a:solidFill>
            <a:ln>
              <a:solidFill>
                <a:schemeClr val="tx1"/>
              </a:solidFill>
            </a:ln>
            <a:effectLst/>
          </c:spPr>
          <c:invertIfNegative val="0"/>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Details'!plotrange_by_material_acidification_Y1_WATER</c:f>
              <c:numCache>
                <c:formatCode>General</c:formatCode>
                <c:ptCount val="31"/>
                <c:pt idx="0">
                  <c:v>0</c:v>
                </c:pt>
                <c:pt idx="1">
                  <c:v>0</c:v>
                </c:pt>
                <c:pt idx="2">
                  <c:v>0</c:v>
                </c:pt>
                <c:pt idx="3">
                  <c:v>0</c:v>
                </c:pt>
                <c:pt idx="4">
                  <c:v>0</c:v>
                </c:pt>
                <c:pt idx="5">
                  <c:v>0</c:v>
                </c:pt>
                <c:pt idx="6">
                  <c:v>4.2849348504312751E-7</c:v>
                </c:pt>
                <c:pt idx="7">
                  <c:v>0</c:v>
                </c:pt>
                <c:pt idx="8">
                  <c:v>0</c:v>
                </c:pt>
                <c:pt idx="9">
                  <c:v>0</c:v>
                </c:pt>
                <c:pt idx="10">
                  <c:v>1.3413709097002253E-5</c:v>
                </c:pt>
                <c:pt idx="11">
                  <c:v>0</c:v>
                </c:pt>
                <c:pt idx="12">
                  <c:v>1.0712337126078188E-5</c:v>
                </c:pt>
                <c:pt idx="13">
                  <c:v>1.8210973114332916E-5</c:v>
                </c:pt>
                <c:pt idx="14">
                  <c:v>0</c:v>
                </c:pt>
                <c:pt idx="15">
                  <c:v>8.6663261761814061E-6</c:v>
                </c:pt>
                <c:pt idx="16">
                  <c:v>1.9782930719106919E-6</c:v>
                </c:pt>
                <c:pt idx="17">
                  <c:v>0</c:v>
                </c:pt>
                <c:pt idx="18">
                  <c:v>3.6994080444750759E-6</c:v>
                </c:pt>
                <c:pt idx="19">
                  <c:v>0</c:v>
                </c:pt>
                <c:pt idx="20">
                  <c:v>0</c:v>
                </c:pt>
                <c:pt idx="21">
                  <c:v>3.9170202823853742E-6</c:v>
                </c:pt>
                <c:pt idx="22">
                  <c:v>0</c:v>
                </c:pt>
                <c:pt idx="23">
                  <c:v>0</c:v>
                </c:pt>
                <c:pt idx="24">
                  <c:v>0</c:v>
                </c:pt>
                <c:pt idx="25">
                  <c:v>4.0802294608158025E-7</c:v>
                </c:pt>
                <c:pt idx="26">
                  <c:v>1.6247495739599621E-5</c:v>
                </c:pt>
                <c:pt idx="27">
                  <c:v>1.5653994623062025E-4</c:v>
                </c:pt>
                <c:pt idx="28">
                  <c:v>2.7147126679294471E-6</c:v>
                </c:pt>
                <c:pt idx="29">
                  <c:v>0</c:v>
                </c:pt>
                <c:pt idx="30">
                  <c:v>0</c:v>
                </c:pt>
              </c:numCache>
            </c:numRef>
          </c:val>
          <c:extLst>
            <c:ext xmlns:c16="http://schemas.microsoft.com/office/drawing/2014/chart" uri="{C3380CC4-5D6E-409C-BE32-E72D297353CC}">
              <c16:uniqueId val="{00000005-605C-4FC6-97D4-0E1D1BD7A8A1}"/>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9B5F972B-CD61-4AE2-8441-28773AE602D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5C-4FC6-97D4-0E1D1BD7A8A1}"/>
                </c:ext>
              </c:extLst>
            </c:dLbl>
            <c:dLbl>
              <c:idx val="1"/>
              <c:tx>
                <c:rich>
                  <a:bodyPr/>
                  <a:lstStyle/>
                  <a:p>
                    <a:fld id="{5448F4C8-CE7A-4E1A-9C92-696AB16B87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A5D-430F-87E4-72B51ECF13A8}"/>
                </c:ext>
              </c:extLst>
            </c:dLbl>
            <c:dLbl>
              <c:idx val="2"/>
              <c:tx>
                <c:rich>
                  <a:bodyPr/>
                  <a:lstStyle/>
                  <a:p>
                    <a:fld id="{8745CC51-9B87-478F-8714-0FC85FAA317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A5D-430F-87E4-72B51ECF13A8}"/>
                </c:ext>
              </c:extLst>
            </c:dLbl>
            <c:dLbl>
              <c:idx val="3"/>
              <c:tx>
                <c:rich>
                  <a:bodyPr/>
                  <a:lstStyle/>
                  <a:p>
                    <a:fld id="{3AEAEE21-B4C6-4F4C-B45D-EDCFDFBB5D7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A5D-430F-87E4-72B51ECF13A8}"/>
                </c:ext>
              </c:extLst>
            </c:dLbl>
            <c:dLbl>
              <c:idx val="4"/>
              <c:tx>
                <c:rich>
                  <a:bodyPr/>
                  <a:lstStyle/>
                  <a:p>
                    <a:fld id="{BD3432BC-EA31-4971-9EBD-08ABAA00BB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A5D-430F-87E4-72B51ECF13A8}"/>
                </c:ext>
              </c:extLst>
            </c:dLbl>
            <c:dLbl>
              <c:idx val="5"/>
              <c:tx>
                <c:rich>
                  <a:bodyPr/>
                  <a:lstStyle/>
                  <a:p>
                    <a:fld id="{8916AB68-1AE0-4B0F-8C69-99E9B2C7F9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A5D-430F-87E4-72B51ECF13A8}"/>
                </c:ext>
              </c:extLst>
            </c:dLbl>
            <c:dLbl>
              <c:idx val="6"/>
              <c:tx>
                <c:rich>
                  <a:bodyPr/>
                  <a:lstStyle/>
                  <a:p>
                    <a:fld id="{5EBAC5A5-54FA-4AD9-B661-5CC000C40B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A5D-430F-87E4-72B51ECF13A8}"/>
                </c:ext>
              </c:extLst>
            </c:dLbl>
            <c:dLbl>
              <c:idx val="7"/>
              <c:tx>
                <c:rich>
                  <a:bodyPr/>
                  <a:lstStyle/>
                  <a:p>
                    <a:fld id="{C66EFDBD-6B4F-4270-9796-B56EC3C370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A5D-430F-87E4-72B51ECF13A8}"/>
                </c:ext>
              </c:extLst>
            </c:dLbl>
            <c:dLbl>
              <c:idx val="8"/>
              <c:tx>
                <c:rich>
                  <a:bodyPr/>
                  <a:lstStyle/>
                  <a:p>
                    <a:fld id="{61FA9FB0-9DB3-4D63-90BB-AC23BDA9B3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A5D-430F-87E4-72B51ECF13A8}"/>
                </c:ext>
              </c:extLst>
            </c:dLbl>
            <c:dLbl>
              <c:idx val="9"/>
              <c:tx>
                <c:rich>
                  <a:bodyPr/>
                  <a:lstStyle/>
                  <a:p>
                    <a:fld id="{F984547B-15BD-428F-A204-68FDAA53E99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A5D-430F-87E4-72B51ECF13A8}"/>
                </c:ext>
              </c:extLst>
            </c:dLbl>
            <c:dLbl>
              <c:idx val="10"/>
              <c:tx>
                <c:rich>
                  <a:bodyPr/>
                  <a:lstStyle/>
                  <a:p>
                    <a:fld id="{B00B3730-95F3-4C30-B17C-21D3DEBE91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A5D-430F-87E4-72B51ECF13A8}"/>
                </c:ext>
              </c:extLst>
            </c:dLbl>
            <c:dLbl>
              <c:idx val="11"/>
              <c:tx>
                <c:rich>
                  <a:bodyPr/>
                  <a:lstStyle/>
                  <a:p>
                    <a:fld id="{67F95C7A-EE36-4279-B8D4-517D28843D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A5D-430F-87E4-72B51ECF13A8}"/>
                </c:ext>
              </c:extLst>
            </c:dLbl>
            <c:dLbl>
              <c:idx val="12"/>
              <c:tx>
                <c:rich>
                  <a:bodyPr/>
                  <a:lstStyle/>
                  <a:p>
                    <a:fld id="{D94D732F-EBB6-4ABD-82AD-0CD5DBA293E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A5D-430F-87E4-72B51ECF13A8}"/>
                </c:ext>
              </c:extLst>
            </c:dLbl>
            <c:dLbl>
              <c:idx val="13"/>
              <c:tx>
                <c:rich>
                  <a:bodyPr/>
                  <a:lstStyle/>
                  <a:p>
                    <a:fld id="{667C5B98-2DAE-4A22-B257-A1A7D1D94B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A5D-430F-87E4-72B51ECF13A8}"/>
                </c:ext>
              </c:extLst>
            </c:dLbl>
            <c:dLbl>
              <c:idx val="14"/>
              <c:tx>
                <c:rich>
                  <a:bodyPr/>
                  <a:lstStyle/>
                  <a:p>
                    <a:fld id="{19590D3A-2178-4B74-88BA-7F45E81309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5D-430F-87E4-72B51ECF13A8}"/>
                </c:ext>
              </c:extLst>
            </c:dLbl>
            <c:dLbl>
              <c:idx val="15"/>
              <c:tx>
                <c:rich>
                  <a:bodyPr/>
                  <a:lstStyle/>
                  <a:p>
                    <a:fld id="{CA54453B-C1F9-48B3-A2B8-C3BBA5B7AC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A5D-430F-87E4-72B51ECF13A8}"/>
                </c:ext>
              </c:extLst>
            </c:dLbl>
            <c:dLbl>
              <c:idx val="16"/>
              <c:tx>
                <c:rich>
                  <a:bodyPr/>
                  <a:lstStyle/>
                  <a:p>
                    <a:fld id="{FA984747-F23E-4C95-B911-13651899A9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A5D-430F-87E4-72B51ECF13A8}"/>
                </c:ext>
              </c:extLst>
            </c:dLbl>
            <c:dLbl>
              <c:idx val="17"/>
              <c:tx>
                <c:rich>
                  <a:bodyPr/>
                  <a:lstStyle/>
                  <a:p>
                    <a:fld id="{0797DB3D-7017-4D89-A7FA-895F530506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A5D-430F-87E4-72B51ECF13A8}"/>
                </c:ext>
              </c:extLst>
            </c:dLbl>
            <c:dLbl>
              <c:idx val="18"/>
              <c:tx>
                <c:rich>
                  <a:bodyPr/>
                  <a:lstStyle/>
                  <a:p>
                    <a:fld id="{84126385-C6A5-40EE-A557-D85B711B3C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A5D-430F-87E4-72B51ECF13A8}"/>
                </c:ext>
              </c:extLst>
            </c:dLbl>
            <c:dLbl>
              <c:idx val="19"/>
              <c:tx>
                <c:rich>
                  <a:bodyPr/>
                  <a:lstStyle/>
                  <a:p>
                    <a:fld id="{1863A4EC-402D-4051-ACC7-BA4D220E05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A5D-430F-87E4-72B51ECF13A8}"/>
                </c:ext>
              </c:extLst>
            </c:dLbl>
            <c:dLbl>
              <c:idx val="20"/>
              <c:tx>
                <c:rich>
                  <a:bodyPr/>
                  <a:lstStyle/>
                  <a:p>
                    <a:fld id="{6C8A33D2-7CFF-4B65-843C-A71FC20DFAE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A5D-430F-87E4-72B51ECF13A8}"/>
                </c:ext>
              </c:extLst>
            </c:dLbl>
            <c:dLbl>
              <c:idx val="21"/>
              <c:tx>
                <c:rich>
                  <a:bodyPr/>
                  <a:lstStyle/>
                  <a:p>
                    <a:fld id="{C1201BA0-207E-45FF-8ABA-0872655082A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A5D-430F-87E4-72B51ECF13A8}"/>
                </c:ext>
              </c:extLst>
            </c:dLbl>
            <c:dLbl>
              <c:idx val="22"/>
              <c:tx>
                <c:rich>
                  <a:bodyPr/>
                  <a:lstStyle/>
                  <a:p>
                    <a:fld id="{4DE13FCD-6AD8-41BF-9DCA-4BD795C298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A5D-430F-87E4-72B51ECF13A8}"/>
                </c:ext>
              </c:extLst>
            </c:dLbl>
            <c:dLbl>
              <c:idx val="23"/>
              <c:tx>
                <c:rich>
                  <a:bodyPr/>
                  <a:lstStyle/>
                  <a:p>
                    <a:fld id="{E7FDC4E2-8566-494E-A7C2-18B5EA2328A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A5D-430F-87E4-72B51ECF13A8}"/>
                </c:ext>
              </c:extLst>
            </c:dLbl>
            <c:dLbl>
              <c:idx val="24"/>
              <c:tx>
                <c:rich>
                  <a:bodyPr/>
                  <a:lstStyle/>
                  <a:p>
                    <a:fld id="{48B60DD7-777D-4100-BE32-25114DF88C3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A5D-430F-87E4-72B51ECF13A8}"/>
                </c:ext>
              </c:extLst>
            </c:dLbl>
            <c:dLbl>
              <c:idx val="25"/>
              <c:tx>
                <c:rich>
                  <a:bodyPr/>
                  <a:lstStyle/>
                  <a:p>
                    <a:fld id="{8505E27B-A8FA-4010-8BF4-5417475DA3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A5D-430F-87E4-72B51ECF13A8}"/>
                </c:ext>
              </c:extLst>
            </c:dLbl>
            <c:dLbl>
              <c:idx val="26"/>
              <c:tx>
                <c:rich>
                  <a:bodyPr/>
                  <a:lstStyle/>
                  <a:p>
                    <a:fld id="{BC09CCC8-9895-41D0-AC48-1E714355199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A5D-430F-87E4-72B51ECF13A8}"/>
                </c:ext>
              </c:extLst>
            </c:dLbl>
            <c:dLbl>
              <c:idx val="27"/>
              <c:tx>
                <c:rich>
                  <a:bodyPr/>
                  <a:lstStyle/>
                  <a:p>
                    <a:fld id="{5E81B36D-C939-487D-B673-3F63D3C39F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A5D-430F-87E4-72B51ECF13A8}"/>
                </c:ext>
              </c:extLst>
            </c:dLbl>
            <c:dLbl>
              <c:idx val="28"/>
              <c:tx>
                <c:rich>
                  <a:bodyPr/>
                  <a:lstStyle/>
                  <a:p>
                    <a:fld id="{ADCB7037-ABAA-4DE7-B953-95528302ED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A5D-430F-87E4-72B51ECF13A8}"/>
                </c:ext>
              </c:extLst>
            </c:dLbl>
            <c:dLbl>
              <c:idx val="29"/>
              <c:tx>
                <c:rich>
                  <a:bodyPr/>
                  <a:lstStyle/>
                  <a:p>
                    <a:fld id="{AA5CD131-534D-4BE7-99E0-52A77CBB1D6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A5D-430F-87E4-72B51ECF13A8}"/>
                </c:ext>
              </c:extLst>
            </c:dLbl>
            <c:dLbl>
              <c:idx val="30"/>
              <c:tx>
                <c:rich>
                  <a:bodyPr/>
                  <a:lstStyle/>
                  <a:p>
                    <a:fld id="{27F0B305-B05A-43A6-BF86-CE06B9869C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A5D-430F-87E4-72B51ECF13A8}"/>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Details'!plotrange_by_material_acidification_Y1</c:f>
              <c:numCache>
                <c:formatCode>General</c:formatCode>
                <c:ptCount val="31"/>
                <c:pt idx="0">
                  <c:v>0.15487351999999999</c:v>
                </c:pt>
                <c:pt idx="1">
                  <c:v>9.309649241083226E-2</c:v>
                </c:pt>
                <c:pt idx="2">
                  <c:v>8.7992935738799488E-2</c:v>
                </c:pt>
                <c:pt idx="3">
                  <c:v>6.1789945367306684E-2</c:v>
                </c:pt>
                <c:pt idx="4">
                  <c:v>4.943195629384535E-2</c:v>
                </c:pt>
                <c:pt idx="5">
                  <c:v>4.3566059094727452E-2</c:v>
                </c:pt>
                <c:pt idx="6">
                  <c:v>2.9080993734813754E-2</c:v>
                </c:pt>
                <c:pt idx="7">
                  <c:v>2.0061452317611653E-2</c:v>
                </c:pt>
                <c:pt idx="8">
                  <c:v>1.9942517972223524E-2</c:v>
                </c:pt>
                <c:pt idx="9">
                  <c:v>1.3690850729033123E-2</c:v>
                </c:pt>
                <c:pt idx="10">
                  <c:v>1.3322596885906479E-2</c:v>
                </c:pt>
                <c:pt idx="11">
                  <c:v>1.2569887392774195E-2</c:v>
                </c:pt>
                <c:pt idx="12">
                  <c:v>1.2368701410587333E-2</c:v>
                </c:pt>
                <c:pt idx="13">
                  <c:v>1.1497381463112508E-2</c:v>
                </c:pt>
                <c:pt idx="14">
                  <c:v>8.9784909948387101E-3</c:v>
                </c:pt>
                <c:pt idx="15">
                  <c:v>7.9179778009241808E-3</c:v>
                </c:pt>
                <c:pt idx="16">
                  <c:v>2.6518626255442458E-3</c:v>
                </c:pt>
                <c:pt idx="17">
                  <c:v>2.3535214818460868E-3</c:v>
                </c:pt>
                <c:pt idx="18">
                  <c:v>2.3355976206214431E-3</c:v>
                </c:pt>
                <c:pt idx="19">
                  <c:v>1.5690143212307246E-3</c:v>
                </c:pt>
                <c:pt idx="20">
                  <c:v>1.5690143212298412E-3</c:v>
                </c:pt>
                <c:pt idx="21">
                  <c:v>1.5585158286670305E-3</c:v>
                </c:pt>
                <c:pt idx="22">
                  <c:v>7.8450716061536231E-4</c:v>
                </c:pt>
                <c:pt idx="23">
                  <c:v>7.8017787737896663E-4</c:v>
                </c:pt>
                <c:pt idx="24">
                  <c:v>5.6372937748189655E-4</c:v>
                </c:pt>
                <c:pt idx="25">
                  <c:v>4.8622015056600968E-4</c:v>
                </c:pt>
                <c:pt idx="26">
                  <c:v>2.7850736669307477E-4</c:v>
                </c:pt>
                <c:pt idx="27">
                  <c:v>1.5653994623062025E-4</c:v>
                </c:pt>
                <c:pt idx="28">
                  <c:v>2.2147197772726571E-5</c:v>
                </c:pt>
                <c:pt idx="29">
                  <c:v>7.845071606153624E-6</c:v>
                </c:pt>
                <c:pt idx="30">
                  <c:v>3.922535803076812E-6</c:v>
                </c:pt>
              </c:numCache>
            </c:numRef>
          </c:val>
          <c:smooth val="0"/>
          <c:extLst>
            <c:ext xmlns:c15="http://schemas.microsoft.com/office/drawing/2012/chart" uri="{02D57815-91ED-43cb-92C2-25804820EDAC}">
              <c15:datalabelsRange>
                <c15:f>'2. Enter Step Details'!plotrange_by_material_acidification_labels</c15:f>
                <c15:dlblRangeCache>
                  <c:ptCount val="31"/>
                  <c:pt idx="0">
                    <c:v>(24%)</c:v>
                  </c:pt>
                  <c:pt idx="1">
                    <c:v>(14%)</c:v>
                  </c:pt>
                  <c:pt idx="2">
                    <c:v>(13%)</c:v>
                  </c:pt>
                  <c:pt idx="3">
                    <c:v>(9%)</c:v>
                  </c:pt>
                  <c:pt idx="4">
                    <c:v>(8%)</c:v>
                  </c:pt>
                  <c:pt idx="5">
                    <c:v>(7%)</c:v>
                  </c:pt>
                  <c:pt idx="6">
                    <c:v>(4%)</c:v>
                  </c:pt>
                  <c:pt idx="7">
                    <c:v>(3%)</c:v>
                  </c:pt>
                  <c:pt idx="8">
                    <c:v>(3%)</c:v>
                  </c:pt>
                  <c:pt idx="9">
                    <c:v>(2%)</c:v>
                  </c:pt>
                  <c:pt idx="10">
                    <c:v>(2%)</c:v>
                  </c:pt>
                  <c:pt idx="11">
                    <c:v>(2%)</c:v>
                  </c:pt>
                  <c:pt idx="12">
                    <c:v>(2%)</c:v>
                  </c:pt>
                  <c:pt idx="13">
                    <c:v>(2%)</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605C-4FC6-97D4-0E1D1BD7A8A1}"/>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Details'!plotrange_by_material_acidification_X</c:f>
              <c:strCache>
                <c:ptCount val="31"/>
                <c:pt idx="0">
                  <c:v>IPA</c:v>
                </c:pt>
                <c:pt idx="1">
                  <c:v>acetonitrile</c:v>
                </c:pt>
                <c:pt idx="2">
                  <c:v>DMF</c:v>
                </c:pt>
                <c:pt idx="3">
                  <c:v>reagent U (organic)</c:v>
                </c:pt>
                <c:pt idx="4">
                  <c:v>reagent T (organic)</c:v>
                </c:pt>
                <c:pt idx="5">
                  <c:v>toluene</c:v>
                </c:pt>
                <c:pt idx="6">
                  <c:v>95 wt% reagent M (organic)</c:v>
                </c:pt>
                <c:pt idx="7">
                  <c:v>methanol</c:v>
                </c:pt>
                <c:pt idx="8">
                  <c:v>25 wt% reagent I (organic) in DMF</c:v>
                </c:pt>
                <c:pt idx="9">
                  <c:v>reagent D (organic)</c:v>
                </c:pt>
                <c:pt idx="10">
                  <c:v>20 wt% reagent J (inorganic) in water</c:v>
                </c:pt>
                <c:pt idx="11">
                  <c:v>reagent M (organic)</c:v>
                </c:pt>
                <c:pt idx="12">
                  <c:v>0.3 M reagent L (organic) in water</c:v>
                </c:pt>
                <c:pt idx="13">
                  <c:v>15 wt% reagent K (inorganic) in water</c:v>
                </c:pt>
                <c:pt idx="14">
                  <c:v>reagent V (organic)</c:v>
                </c:pt>
                <c:pt idx="15">
                  <c:v>6 M HCl (aq)</c:v>
                </c:pt>
                <c:pt idx="16">
                  <c:v>30 wt% reagent F (inorganic) in water</c:v>
                </c:pt>
                <c:pt idx="17">
                  <c:v>reagent P (organic)</c:v>
                </c:pt>
                <c:pt idx="18">
                  <c:v>15 wt% reagent C (inorganic) in water</c:v>
                </c:pt>
                <c:pt idx="19">
                  <c:v>reagent O (organic)</c:v>
                </c:pt>
                <c:pt idx="20">
                  <c:v>reagent S (organic)</c:v>
                </c:pt>
                <c:pt idx="21">
                  <c:v>10 wt% reagent B (inorganic) in water</c:v>
                </c:pt>
                <c:pt idx="22">
                  <c:v>reagent N (organic)</c:v>
                </c:pt>
                <c:pt idx="23">
                  <c:v>5 wt% reagent A (organic) in acetonitrile</c:v>
                </c:pt>
                <c:pt idx="24">
                  <c:v>nickel salt</c:v>
                </c:pt>
                <c:pt idx="25">
                  <c:v>25 wt% reagent E (inorganic) in water</c:v>
                </c:pt>
                <c:pt idx="26">
                  <c:v>0.1 M reagent G (inorganic) in water</c:v>
                </c:pt>
                <c:pt idx="27">
                  <c:v>water</c:v>
                </c:pt>
                <c:pt idx="28">
                  <c:v>0.2 M reagent H (inorganic) in water</c:v>
                </c:pt>
                <c:pt idx="29">
                  <c:v>reagent Q (organic)</c:v>
                </c:pt>
                <c:pt idx="30">
                  <c:v>reagent R (organic)</c:v>
                </c:pt>
              </c:strCache>
            </c:strRef>
          </c:cat>
          <c:val>
            <c:numRef>
              <c:f>'2. Enter Step Details'!plotrange_by_material_acidification_Y2</c:f>
              <c:numCache>
                <c:formatCode>General</c:formatCode>
                <c:ptCount val="31"/>
                <c:pt idx="0">
                  <c:v>0.15487351999999999</c:v>
                </c:pt>
                <c:pt idx="1">
                  <c:v>0.24797001241083225</c:v>
                </c:pt>
                <c:pt idx="2">
                  <c:v>0.33596294814963173</c:v>
                </c:pt>
                <c:pt idx="3">
                  <c:v>0.39775289351693843</c:v>
                </c:pt>
                <c:pt idx="4">
                  <c:v>0.44718484981078377</c:v>
                </c:pt>
                <c:pt idx="5">
                  <c:v>0.49075090890551121</c:v>
                </c:pt>
                <c:pt idx="6">
                  <c:v>0.51983190264032497</c:v>
                </c:pt>
                <c:pt idx="7">
                  <c:v>0.53989335495793667</c:v>
                </c:pt>
                <c:pt idx="8">
                  <c:v>0.55983587293016024</c:v>
                </c:pt>
                <c:pt idx="9">
                  <c:v>0.57352672365919333</c:v>
                </c:pt>
                <c:pt idx="10">
                  <c:v>0.58684932054509975</c:v>
                </c:pt>
                <c:pt idx="11">
                  <c:v>0.59941920793787395</c:v>
                </c:pt>
                <c:pt idx="12">
                  <c:v>0.61178790934846128</c:v>
                </c:pt>
                <c:pt idx="13">
                  <c:v>0.6232852908115738</c:v>
                </c:pt>
                <c:pt idx="14">
                  <c:v>0.63226378180641252</c:v>
                </c:pt>
                <c:pt idx="15">
                  <c:v>0.6401817596073367</c:v>
                </c:pt>
                <c:pt idx="16">
                  <c:v>0.64283362223288099</c:v>
                </c:pt>
                <c:pt idx="17">
                  <c:v>0.64518714371472707</c:v>
                </c:pt>
                <c:pt idx="18">
                  <c:v>0.64752274133534848</c:v>
                </c:pt>
                <c:pt idx="19">
                  <c:v>0.64909175565657917</c:v>
                </c:pt>
                <c:pt idx="20">
                  <c:v>0.65066076997780897</c:v>
                </c:pt>
                <c:pt idx="21">
                  <c:v>0.65221928580647603</c:v>
                </c:pt>
                <c:pt idx="22">
                  <c:v>0.65300379296709143</c:v>
                </c:pt>
                <c:pt idx="23">
                  <c:v>0.65378397084447037</c:v>
                </c:pt>
                <c:pt idx="24">
                  <c:v>0.65434770022195232</c:v>
                </c:pt>
                <c:pt idx="25">
                  <c:v>0.65483392037251831</c:v>
                </c:pt>
                <c:pt idx="26">
                  <c:v>0.65511242773921141</c:v>
                </c:pt>
                <c:pt idx="27">
                  <c:v>0.65526896768544207</c:v>
                </c:pt>
                <c:pt idx="28">
                  <c:v>0.65529111488321479</c:v>
                </c:pt>
                <c:pt idx="29">
                  <c:v>0.6552989599548209</c:v>
                </c:pt>
                <c:pt idx="30">
                  <c:v>0.65530288249062396</c:v>
                </c:pt>
              </c:numCache>
            </c:numRef>
          </c:val>
          <c:smooth val="0"/>
          <c:extLst>
            <c:ext xmlns:c16="http://schemas.microsoft.com/office/drawing/2014/chart" uri="{C3380CC4-5D6E-409C-BE32-E72D297353CC}">
              <c16:uniqueId val="{0000002A-605C-4FC6-97D4-0E1D1BD7A8A1}"/>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Acidification</a:t>
                </a:r>
                <a:r>
                  <a:rPr lang="en-US" baseline="0"/>
                  <a:t> (kg SO2 equiv.)</a:t>
                </a:r>
                <a:endParaRPr lang="en-US"/>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Dashboard'!$D$283</c:f>
          <c:strCache>
            <c:ptCount val="1"/>
            <c:pt idx="0">
              <c:v>Eutrophication Potential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9A5-4D20-A0EE-5D4962791A13}"/>
            </c:ext>
          </c:extLst>
        </c:ser>
        <c:ser>
          <c:idx val="6"/>
          <c:order val="1"/>
          <c:tx>
            <c:v>Enzymes &amp; Plant Extracts</c:v>
          </c:tx>
          <c:spPr>
            <a:solidFill>
              <a:srgbClr val="92D050"/>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B9A5-4D20-A0EE-5D4962791A13}"/>
            </c:ext>
          </c:extLst>
        </c:ser>
        <c:ser>
          <c:idx val="5"/>
          <c:order val="2"/>
          <c:tx>
            <c:v>Metal</c:v>
          </c:tx>
          <c:spPr>
            <a:solidFill>
              <a:schemeClr val="accent3"/>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3.4793419346878223E-5</c:v>
                </c:pt>
                <c:pt idx="26">
                  <c:v>0</c:v>
                </c:pt>
                <c:pt idx="27">
                  <c:v>0</c:v>
                </c:pt>
                <c:pt idx="28">
                  <c:v>0</c:v>
                </c:pt>
                <c:pt idx="29">
                  <c:v>0</c:v>
                </c:pt>
                <c:pt idx="30">
                  <c:v>0</c:v>
                </c:pt>
              </c:numCache>
            </c:numRef>
          </c:val>
          <c:extLst>
            <c:ext xmlns:c16="http://schemas.microsoft.com/office/drawing/2014/chart" uri="{C3380CC4-5D6E-409C-BE32-E72D297353CC}">
              <c16:uniqueId val="{00000002-B9A5-4D20-A0EE-5D4962791A13}"/>
            </c:ext>
          </c:extLst>
        </c:ser>
        <c:ser>
          <c:idx val="0"/>
          <c:order val="3"/>
          <c:tx>
            <c:v>Reagent</c:v>
          </c:tx>
          <c:spPr>
            <a:solidFill>
              <a:srgbClr val="FF0000"/>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Details'!plotrange_by_material_eutrophication_Y1_REAGENT</c:f>
              <c:numCache>
                <c:formatCode>General</c:formatCode>
                <c:ptCount val="31"/>
                <c:pt idx="0">
                  <c:v>0</c:v>
                </c:pt>
                <c:pt idx="1">
                  <c:v>4.9475795316098626E-3</c:v>
                </c:pt>
                <c:pt idx="2">
                  <c:v>0</c:v>
                </c:pt>
                <c:pt idx="3">
                  <c:v>0</c:v>
                </c:pt>
                <c:pt idx="4">
                  <c:v>4.9475795316098616E-2</c:v>
                </c:pt>
                <c:pt idx="5">
                  <c:v>3.9580636252878894E-2</c:v>
                </c:pt>
                <c:pt idx="6">
                  <c:v>1.0962394032659225E-2</c:v>
                </c:pt>
                <c:pt idx="7">
                  <c:v>1.0064828057290323E-2</c:v>
                </c:pt>
                <c:pt idx="8">
                  <c:v>9.8951590632196575E-3</c:v>
                </c:pt>
                <c:pt idx="9">
                  <c:v>7.1891628980645167E-3</c:v>
                </c:pt>
                <c:pt idx="10">
                  <c:v>0</c:v>
                </c:pt>
                <c:pt idx="11">
                  <c:v>0</c:v>
                </c:pt>
                <c:pt idx="12">
                  <c:v>1.884486973012736E-3</c:v>
                </c:pt>
                <c:pt idx="13">
                  <c:v>1.4644888970453307E-3</c:v>
                </c:pt>
                <c:pt idx="14">
                  <c:v>1.2563246486751573E-3</c:v>
                </c:pt>
                <c:pt idx="15">
                  <c:v>1.2563246486744499E-3</c:v>
                </c:pt>
                <c:pt idx="16">
                  <c:v>6.7024663480335495E-4</c:v>
                </c:pt>
                <c:pt idx="17">
                  <c:v>6.2816232433757864E-4</c:v>
                </c:pt>
                <c:pt idx="18">
                  <c:v>5.7808772251789363E-4</c:v>
                </c:pt>
                <c:pt idx="19">
                  <c:v>2.5126492973503151E-5</c:v>
                </c:pt>
                <c:pt idx="20">
                  <c:v>3.9831064980745315E-4</c:v>
                </c:pt>
                <c:pt idx="21">
                  <c:v>1.3344741242666438E-4</c:v>
                </c:pt>
                <c:pt idx="22">
                  <c:v>1.1743372293553076E-4</c:v>
                </c:pt>
                <c:pt idx="23">
                  <c:v>0</c:v>
                </c:pt>
                <c:pt idx="24">
                  <c:v>7.8289148623687164E-5</c:v>
                </c:pt>
                <c:pt idx="25">
                  <c:v>6.1668306622729204E-6</c:v>
                </c:pt>
                <c:pt idx="26">
                  <c:v>2.4465358944888468E-5</c:v>
                </c:pt>
                <c:pt idx="27">
                  <c:v>1.3207331630750549E-5</c:v>
                </c:pt>
                <c:pt idx="28">
                  <c:v>6.2816232433757869E-6</c:v>
                </c:pt>
                <c:pt idx="29">
                  <c:v>3.1408116216878934E-6</c:v>
                </c:pt>
                <c:pt idx="30">
                  <c:v>9.7861435779553877E-7</c:v>
                </c:pt>
              </c:numCache>
            </c:numRef>
          </c:val>
          <c:extLst>
            <c:ext xmlns:c16="http://schemas.microsoft.com/office/drawing/2014/chart" uri="{C3380CC4-5D6E-409C-BE32-E72D297353CC}">
              <c16:uniqueId val="{00000003-B9A5-4D20-A0EE-5D4962791A13}"/>
            </c:ext>
          </c:extLst>
        </c:ser>
        <c:ser>
          <c:idx val="2"/>
          <c:order val="4"/>
          <c:tx>
            <c:v>Solvent</c:v>
          </c:tx>
          <c:spPr>
            <a:solidFill>
              <a:schemeClr val="accent4"/>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Details'!plotrange_by_material_eutrophication_Y1_SOLVENT</c:f>
              <c:numCache>
                <c:formatCode>General</c:formatCode>
                <c:ptCount val="31"/>
                <c:pt idx="0">
                  <c:v>0.93818488030620062</c:v>
                </c:pt>
                <c:pt idx="1">
                  <c:v>0.14674734373279613</c:v>
                </c:pt>
                <c:pt idx="2">
                  <c:v>8.4418941999999997E-2</c:v>
                </c:pt>
                <c:pt idx="3">
                  <c:v>5.4856343464580043E-2</c:v>
                </c:pt>
                <c:pt idx="4">
                  <c:v>0</c:v>
                </c:pt>
                <c:pt idx="5">
                  <c:v>0</c:v>
                </c:pt>
                <c:pt idx="6">
                  <c:v>0</c:v>
                </c:pt>
                <c:pt idx="7">
                  <c:v>0</c:v>
                </c:pt>
                <c:pt idx="8">
                  <c:v>0</c:v>
                </c:pt>
                <c:pt idx="9">
                  <c:v>0</c:v>
                </c:pt>
                <c:pt idx="10">
                  <c:v>6.5639566079228181E-3</c:v>
                </c:pt>
                <c:pt idx="11">
                  <c:v>3.6698334733133988E-3</c:v>
                </c:pt>
                <c:pt idx="12">
                  <c:v>0</c:v>
                </c:pt>
                <c:pt idx="13">
                  <c:v>0</c:v>
                </c:pt>
                <c:pt idx="14">
                  <c:v>0</c:v>
                </c:pt>
                <c:pt idx="15">
                  <c:v>0</c:v>
                </c:pt>
                <c:pt idx="16">
                  <c:v>0</c:v>
                </c:pt>
                <c:pt idx="17">
                  <c:v>0</c:v>
                </c:pt>
                <c:pt idx="18">
                  <c:v>0</c:v>
                </c:pt>
                <c:pt idx="19">
                  <c:v>4.4122282989538951E-4</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B9A5-4D20-A0EE-5D4962791A13}"/>
            </c:ext>
          </c:extLst>
        </c:ser>
        <c:ser>
          <c:idx val="3"/>
          <c:order val="5"/>
          <c:tx>
            <c:v>Water</c:v>
          </c:tx>
          <c:spPr>
            <a:solidFill>
              <a:schemeClr val="accent1"/>
            </a:solidFill>
            <a:ln>
              <a:solidFill>
                <a:schemeClr val="tx1"/>
              </a:solidFill>
            </a:ln>
            <a:effectLst/>
          </c:spPr>
          <c:invertIfNegative val="0"/>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Details'!plotrange_by_material_eutrophication_Y1_WATER</c:f>
              <c:numCache>
                <c:formatCode>General</c:formatCode>
                <c:ptCount val="31"/>
                <c:pt idx="0">
                  <c:v>0</c:v>
                </c:pt>
                <c:pt idx="1">
                  <c:v>0</c:v>
                </c:pt>
                <c:pt idx="2">
                  <c:v>0</c:v>
                </c:pt>
                <c:pt idx="3">
                  <c:v>0</c:v>
                </c:pt>
                <c:pt idx="4">
                  <c:v>0</c:v>
                </c:pt>
                <c:pt idx="5">
                  <c:v>0</c:v>
                </c:pt>
                <c:pt idx="6">
                  <c:v>0</c:v>
                </c:pt>
                <c:pt idx="7">
                  <c:v>0</c:v>
                </c:pt>
                <c:pt idx="8">
                  <c:v>6.3814536612222489E-6</c:v>
                </c:pt>
                <c:pt idx="9">
                  <c:v>0</c:v>
                </c:pt>
                <c:pt idx="10">
                  <c:v>0</c:v>
                </c:pt>
                <c:pt idx="11">
                  <c:v>0</c:v>
                </c:pt>
                <c:pt idx="12">
                  <c:v>0</c:v>
                </c:pt>
                <c:pt idx="13">
                  <c:v>2.552581464488899E-7</c:v>
                </c:pt>
                <c:pt idx="14">
                  <c:v>0</c:v>
                </c:pt>
                <c:pt idx="15">
                  <c:v>0</c:v>
                </c:pt>
                <c:pt idx="16">
                  <c:v>7.9906898018782946E-6</c:v>
                </c:pt>
                <c:pt idx="17">
                  <c:v>0</c:v>
                </c:pt>
                <c:pt idx="18">
                  <c:v>1.084847122407782E-5</c:v>
                </c:pt>
                <c:pt idx="19">
                  <c:v>0</c:v>
                </c:pt>
                <c:pt idx="20">
                  <c:v>5.1626230817276264E-6</c:v>
                </c:pt>
                <c:pt idx="21">
                  <c:v>1.1784903161778022E-6</c:v>
                </c:pt>
                <c:pt idx="22">
                  <c:v>2.2037768912537305E-6</c:v>
                </c:pt>
                <c:pt idx="23">
                  <c:v>9.3252518217436323E-5</c:v>
                </c:pt>
                <c:pt idx="24">
                  <c:v>2.3334108260333617E-6</c:v>
                </c:pt>
                <c:pt idx="25">
                  <c:v>0</c:v>
                </c:pt>
                <c:pt idx="26">
                  <c:v>2.4306362771167172E-7</c:v>
                </c:pt>
                <c:pt idx="27">
                  <c:v>9.6788067769782142E-6</c:v>
                </c:pt>
                <c:pt idx="28">
                  <c:v>0</c:v>
                </c:pt>
                <c:pt idx="29">
                  <c:v>0</c:v>
                </c:pt>
                <c:pt idx="30">
                  <c:v>1.6171833363749892E-6</c:v>
                </c:pt>
              </c:numCache>
            </c:numRef>
          </c:val>
          <c:extLst>
            <c:ext xmlns:c16="http://schemas.microsoft.com/office/drawing/2014/chart" uri="{C3380CC4-5D6E-409C-BE32-E72D297353CC}">
              <c16:uniqueId val="{00000005-B9A5-4D20-A0EE-5D4962791A13}"/>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3A266605-B4F1-443F-8E8B-6670D7DD6B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A5-4D20-A0EE-5D4962791A13}"/>
                </c:ext>
              </c:extLst>
            </c:dLbl>
            <c:dLbl>
              <c:idx val="1"/>
              <c:tx>
                <c:rich>
                  <a:bodyPr/>
                  <a:lstStyle/>
                  <a:p>
                    <a:fld id="{8297DD92-168E-463A-81D0-8E68654307A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25B-4142-8507-022FA70495B3}"/>
                </c:ext>
              </c:extLst>
            </c:dLbl>
            <c:dLbl>
              <c:idx val="2"/>
              <c:tx>
                <c:rich>
                  <a:bodyPr/>
                  <a:lstStyle/>
                  <a:p>
                    <a:fld id="{34A3C28A-FA38-4D32-950F-34B682DC129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25B-4142-8507-022FA70495B3}"/>
                </c:ext>
              </c:extLst>
            </c:dLbl>
            <c:dLbl>
              <c:idx val="3"/>
              <c:tx>
                <c:rich>
                  <a:bodyPr/>
                  <a:lstStyle/>
                  <a:p>
                    <a:fld id="{2A3BA5FF-62FE-4C82-B4B1-28AA80C8A40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25B-4142-8507-022FA70495B3}"/>
                </c:ext>
              </c:extLst>
            </c:dLbl>
            <c:dLbl>
              <c:idx val="4"/>
              <c:tx>
                <c:rich>
                  <a:bodyPr/>
                  <a:lstStyle/>
                  <a:p>
                    <a:fld id="{4370B5C8-F28A-4F43-B144-7AB2D09C91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25B-4142-8507-022FA70495B3}"/>
                </c:ext>
              </c:extLst>
            </c:dLbl>
            <c:dLbl>
              <c:idx val="5"/>
              <c:tx>
                <c:rich>
                  <a:bodyPr/>
                  <a:lstStyle/>
                  <a:p>
                    <a:fld id="{FDBAC1A4-F4A7-43E6-B262-26973215DE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25B-4142-8507-022FA70495B3}"/>
                </c:ext>
              </c:extLst>
            </c:dLbl>
            <c:dLbl>
              <c:idx val="6"/>
              <c:tx>
                <c:rich>
                  <a:bodyPr/>
                  <a:lstStyle/>
                  <a:p>
                    <a:fld id="{9F236B7D-C536-4F21-8A71-0D0EA62545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25B-4142-8507-022FA70495B3}"/>
                </c:ext>
              </c:extLst>
            </c:dLbl>
            <c:dLbl>
              <c:idx val="7"/>
              <c:tx>
                <c:rich>
                  <a:bodyPr/>
                  <a:lstStyle/>
                  <a:p>
                    <a:fld id="{33BEF7F1-62FD-4A28-BB1F-FC0FE8F0A3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25B-4142-8507-022FA70495B3}"/>
                </c:ext>
              </c:extLst>
            </c:dLbl>
            <c:dLbl>
              <c:idx val="8"/>
              <c:tx>
                <c:rich>
                  <a:bodyPr/>
                  <a:lstStyle/>
                  <a:p>
                    <a:fld id="{F2CC4781-8CBE-437C-A429-DD32E7DDC7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25B-4142-8507-022FA70495B3}"/>
                </c:ext>
              </c:extLst>
            </c:dLbl>
            <c:dLbl>
              <c:idx val="9"/>
              <c:tx>
                <c:rich>
                  <a:bodyPr/>
                  <a:lstStyle/>
                  <a:p>
                    <a:fld id="{C30CF7F0-DE84-4080-A119-44DE2C259D2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25B-4142-8507-022FA70495B3}"/>
                </c:ext>
              </c:extLst>
            </c:dLbl>
            <c:dLbl>
              <c:idx val="10"/>
              <c:tx>
                <c:rich>
                  <a:bodyPr/>
                  <a:lstStyle/>
                  <a:p>
                    <a:fld id="{B370F45E-D76B-4332-AF30-E9A187CCF5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25B-4142-8507-022FA70495B3}"/>
                </c:ext>
              </c:extLst>
            </c:dLbl>
            <c:dLbl>
              <c:idx val="11"/>
              <c:tx>
                <c:rich>
                  <a:bodyPr/>
                  <a:lstStyle/>
                  <a:p>
                    <a:fld id="{19D0731A-8326-4743-A1B6-1BDE87EFA9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25B-4142-8507-022FA70495B3}"/>
                </c:ext>
              </c:extLst>
            </c:dLbl>
            <c:dLbl>
              <c:idx val="12"/>
              <c:tx>
                <c:rich>
                  <a:bodyPr/>
                  <a:lstStyle/>
                  <a:p>
                    <a:fld id="{AB6D21B9-F23A-44D0-975F-8E3D6CC29A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25B-4142-8507-022FA70495B3}"/>
                </c:ext>
              </c:extLst>
            </c:dLbl>
            <c:dLbl>
              <c:idx val="13"/>
              <c:tx>
                <c:rich>
                  <a:bodyPr/>
                  <a:lstStyle/>
                  <a:p>
                    <a:fld id="{A22F85A0-D30F-4437-8183-38AE17448B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25B-4142-8507-022FA70495B3}"/>
                </c:ext>
              </c:extLst>
            </c:dLbl>
            <c:dLbl>
              <c:idx val="14"/>
              <c:tx>
                <c:rich>
                  <a:bodyPr/>
                  <a:lstStyle/>
                  <a:p>
                    <a:fld id="{12791442-8CF4-48DC-8800-13678EA941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25B-4142-8507-022FA70495B3}"/>
                </c:ext>
              </c:extLst>
            </c:dLbl>
            <c:dLbl>
              <c:idx val="15"/>
              <c:tx>
                <c:rich>
                  <a:bodyPr/>
                  <a:lstStyle/>
                  <a:p>
                    <a:fld id="{9BA2FCAB-8479-4575-BF5B-4F4BA1C690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25B-4142-8507-022FA70495B3}"/>
                </c:ext>
              </c:extLst>
            </c:dLbl>
            <c:dLbl>
              <c:idx val="16"/>
              <c:tx>
                <c:rich>
                  <a:bodyPr/>
                  <a:lstStyle/>
                  <a:p>
                    <a:fld id="{86D6866A-6A3C-4AD7-8BE8-A9B215DBAC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25B-4142-8507-022FA70495B3}"/>
                </c:ext>
              </c:extLst>
            </c:dLbl>
            <c:dLbl>
              <c:idx val="17"/>
              <c:tx>
                <c:rich>
                  <a:bodyPr/>
                  <a:lstStyle/>
                  <a:p>
                    <a:fld id="{7E626415-91FF-4B50-B168-CA5A287535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25B-4142-8507-022FA70495B3}"/>
                </c:ext>
              </c:extLst>
            </c:dLbl>
            <c:dLbl>
              <c:idx val="18"/>
              <c:tx>
                <c:rich>
                  <a:bodyPr/>
                  <a:lstStyle/>
                  <a:p>
                    <a:fld id="{422F3F11-C867-4682-AD9E-A3C695E756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25B-4142-8507-022FA70495B3}"/>
                </c:ext>
              </c:extLst>
            </c:dLbl>
            <c:dLbl>
              <c:idx val="19"/>
              <c:tx>
                <c:rich>
                  <a:bodyPr/>
                  <a:lstStyle/>
                  <a:p>
                    <a:fld id="{9C4AD06C-1197-4FD3-9F35-E8B802015CC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25B-4142-8507-022FA70495B3}"/>
                </c:ext>
              </c:extLst>
            </c:dLbl>
            <c:dLbl>
              <c:idx val="20"/>
              <c:tx>
                <c:rich>
                  <a:bodyPr/>
                  <a:lstStyle/>
                  <a:p>
                    <a:fld id="{D7429208-9F04-4A83-B964-5530CD4FDE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25B-4142-8507-022FA70495B3}"/>
                </c:ext>
              </c:extLst>
            </c:dLbl>
            <c:dLbl>
              <c:idx val="21"/>
              <c:tx>
                <c:rich>
                  <a:bodyPr/>
                  <a:lstStyle/>
                  <a:p>
                    <a:fld id="{FF7E4EAA-257D-4A0F-83AC-BE6F163D8E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25B-4142-8507-022FA70495B3}"/>
                </c:ext>
              </c:extLst>
            </c:dLbl>
            <c:dLbl>
              <c:idx val="22"/>
              <c:tx>
                <c:rich>
                  <a:bodyPr/>
                  <a:lstStyle/>
                  <a:p>
                    <a:fld id="{74AD04F2-FC20-493D-90C5-108F89AD562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25B-4142-8507-022FA70495B3}"/>
                </c:ext>
              </c:extLst>
            </c:dLbl>
            <c:dLbl>
              <c:idx val="23"/>
              <c:tx>
                <c:rich>
                  <a:bodyPr/>
                  <a:lstStyle/>
                  <a:p>
                    <a:fld id="{3A69BC31-4854-46CA-8EE4-E21DAC8EC9A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25B-4142-8507-022FA70495B3}"/>
                </c:ext>
              </c:extLst>
            </c:dLbl>
            <c:dLbl>
              <c:idx val="24"/>
              <c:tx>
                <c:rich>
                  <a:bodyPr/>
                  <a:lstStyle/>
                  <a:p>
                    <a:fld id="{E8E1B93F-3F71-4574-89E3-F0C34A69847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25B-4142-8507-022FA70495B3}"/>
                </c:ext>
              </c:extLst>
            </c:dLbl>
            <c:dLbl>
              <c:idx val="25"/>
              <c:tx>
                <c:rich>
                  <a:bodyPr/>
                  <a:lstStyle/>
                  <a:p>
                    <a:fld id="{B01C0CB7-541B-48CB-990F-9BD0541910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25B-4142-8507-022FA70495B3}"/>
                </c:ext>
              </c:extLst>
            </c:dLbl>
            <c:dLbl>
              <c:idx val="26"/>
              <c:tx>
                <c:rich>
                  <a:bodyPr/>
                  <a:lstStyle/>
                  <a:p>
                    <a:fld id="{6160B132-3421-4A20-907B-0A3990AE9C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25B-4142-8507-022FA70495B3}"/>
                </c:ext>
              </c:extLst>
            </c:dLbl>
            <c:dLbl>
              <c:idx val="27"/>
              <c:tx>
                <c:rich>
                  <a:bodyPr/>
                  <a:lstStyle/>
                  <a:p>
                    <a:fld id="{8C7BE227-8D46-4D15-8F7E-25CCA697C5D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25B-4142-8507-022FA70495B3}"/>
                </c:ext>
              </c:extLst>
            </c:dLbl>
            <c:dLbl>
              <c:idx val="28"/>
              <c:tx>
                <c:rich>
                  <a:bodyPr/>
                  <a:lstStyle/>
                  <a:p>
                    <a:fld id="{B4557A06-1C4F-42B8-8225-3BAAC94C38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25B-4142-8507-022FA70495B3}"/>
                </c:ext>
              </c:extLst>
            </c:dLbl>
            <c:dLbl>
              <c:idx val="29"/>
              <c:tx>
                <c:rich>
                  <a:bodyPr/>
                  <a:lstStyle/>
                  <a:p>
                    <a:fld id="{7FE0849C-3D69-4EBA-A731-3BFD3E7412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25B-4142-8507-022FA70495B3}"/>
                </c:ext>
              </c:extLst>
            </c:dLbl>
            <c:dLbl>
              <c:idx val="30"/>
              <c:tx>
                <c:rich>
                  <a:bodyPr/>
                  <a:lstStyle/>
                  <a:p>
                    <a:fld id="{1BBD6667-55D7-408E-AE46-47B033F4702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25B-4142-8507-022FA70495B3}"/>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Details'!plotrange_by_material_eutrophication_Y1</c:f>
              <c:numCache>
                <c:formatCode>General</c:formatCode>
                <c:ptCount val="31"/>
                <c:pt idx="0">
                  <c:v>0.93818488030620062</c:v>
                </c:pt>
                <c:pt idx="1">
                  <c:v>0.15169492326440598</c:v>
                </c:pt>
                <c:pt idx="2">
                  <c:v>8.4418941999999997E-2</c:v>
                </c:pt>
                <c:pt idx="3">
                  <c:v>5.4856343464580043E-2</c:v>
                </c:pt>
                <c:pt idx="4">
                  <c:v>4.9475795316098616E-2</c:v>
                </c:pt>
                <c:pt idx="5">
                  <c:v>3.9580636252878894E-2</c:v>
                </c:pt>
                <c:pt idx="6">
                  <c:v>1.0962394032659225E-2</c:v>
                </c:pt>
                <c:pt idx="7">
                  <c:v>1.0064828057290323E-2</c:v>
                </c:pt>
                <c:pt idx="8">
                  <c:v>9.9015405168808805E-3</c:v>
                </c:pt>
                <c:pt idx="9">
                  <c:v>7.1891628980645167E-3</c:v>
                </c:pt>
                <c:pt idx="10">
                  <c:v>6.5639566079228181E-3</c:v>
                </c:pt>
                <c:pt idx="11">
                  <c:v>3.6698334733133988E-3</c:v>
                </c:pt>
                <c:pt idx="12">
                  <c:v>1.884486973012736E-3</c:v>
                </c:pt>
                <c:pt idx="13">
                  <c:v>1.4647441551917796E-3</c:v>
                </c:pt>
                <c:pt idx="14">
                  <c:v>1.2563246486751573E-3</c:v>
                </c:pt>
                <c:pt idx="15">
                  <c:v>1.2563246486744499E-3</c:v>
                </c:pt>
                <c:pt idx="16">
                  <c:v>6.7823732460523325E-4</c:v>
                </c:pt>
                <c:pt idx="17">
                  <c:v>6.2816232433757864E-4</c:v>
                </c:pt>
                <c:pt idx="18">
                  <c:v>5.8893619374197155E-4</c:v>
                </c:pt>
                <c:pt idx="19">
                  <c:v>4.6634932286889266E-4</c:v>
                </c:pt>
                <c:pt idx="20">
                  <c:v>4.0347327288918077E-4</c:v>
                </c:pt>
                <c:pt idx="21">
                  <c:v>1.3462590274284216E-4</c:v>
                </c:pt>
                <c:pt idx="22">
                  <c:v>1.1963749982678449E-4</c:v>
                </c:pt>
                <c:pt idx="23">
                  <c:v>9.3252518217436323E-5</c:v>
                </c:pt>
                <c:pt idx="24">
                  <c:v>8.0622559449720533E-5</c:v>
                </c:pt>
                <c:pt idx="25">
                  <c:v>4.0960250009151139E-5</c:v>
                </c:pt>
                <c:pt idx="26">
                  <c:v>2.4708422572600136E-5</c:v>
                </c:pt>
                <c:pt idx="27">
                  <c:v>2.2886138407728764E-5</c:v>
                </c:pt>
                <c:pt idx="28">
                  <c:v>6.2816232433757869E-6</c:v>
                </c:pt>
                <c:pt idx="29">
                  <c:v>3.1408116216878934E-6</c:v>
                </c:pt>
                <c:pt idx="30">
                  <c:v>2.5957976941705282E-6</c:v>
                </c:pt>
              </c:numCache>
            </c:numRef>
          </c:val>
          <c:smooth val="0"/>
          <c:extLst>
            <c:ext xmlns:c15="http://schemas.microsoft.com/office/drawing/2012/chart" uri="{02D57815-91ED-43cb-92C2-25804820EDAC}">
              <c15:datalabelsRange>
                <c15:f>'2. Enter Step Details'!plotrange_by_material_eutrophication_labels</c15:f>
                <c15:dlblRangeCache>
                  <c:ptCount val="31"/>
                  <c:pt idx="0">
                    <c:v>(68%)</c:v>
                  </c:pt>
                  <c:pt idx="1">
                    <c:v>(11%)</c:v>
                  </c:pt>
                  <c:pt idx="2">
                    <c:v>(6%)</c:v>
                  </c:pt>
                  <c:pt idx="3">
                    <c:v>(4%)</c:v>
                  </c:pt>
                  <c:pt idx="4">
                    <c:v>(4%)</c:v>
                  </c:pt>
                  <c:pt idx="5">
                    <c:v>(3%)</c:v>
                  </c:pt>
                  <c:pt idx="6">
                    <c:v>(1%)</c:v>
                  </c:pt>
                  <c:pt idx="7">
                    <c:v>(1%)</c:v>
                  </c:pt>
                  <c:pt idx="8">
                    <c:v>(1%)</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B9A5-4D20-A0EE-5D4962791A13}"/>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Details'!plotrange_by_material_eutrophication_X</c:f>
              <c:strCache>
                <c:ptCount val="31"/>
                <c:pt idx="0">
                  <c:v>DMF</c:v>
                </c:pt>
                <c:pt idx="1">
                  <c:v>25 wt% reagent I (organic) in DMF</c:v>
                </c:pt>
                <c:pt idx="2">
                  <c:v>IPA</c:v>
                </c:pt>
                <c:pt idx="3">
                  <c:v>acetonitrile</c:v>
                </c:pt>
                <c:pt idx="4">
                  <c:v>reagent U (organic)</c:v>
                </c:pt>
                <c:pt idx="5">
                  <c:v>reagent T (organic)</c:v>
                </c:pt>
                <c:pt idx="6">
                  <c:v>reagent D (organic)</c:v>
                </c:pt>
                <c:pt idx="7">
                  <c:v>reagent M (organic)</c:v>
                </c:pt>
                <c:pt idx="8">
                  <c:v>0.3 M reagent L (organic) in water</c:v>
                </c:pt>
                <c:pt idx="9">
                  <c:v>reagent V (organic)</c:v>
                </c:pt>
                <c:pt idx="10">
                  <c:v>methanol</c:v>
                </c:pt>
                <c:pt idx="11">
                  <c:v>toluene</c:v>
                </c:pt>
                <c:pt idx="12">
                  <c:v>reagent P (organic)</c:v>
                </c:pt>
                <c:pt idx="13">
                  <c:v>95 wt% reagent M (organic)</c:v>
                </c:pt>
                <c:pt idx="14">
                  <c:v>reagent O (organic)</c:v>
                </c:pt>
                <c:pt idx="15">
                  <c:v>reagent S (organic)</c:v>
                </c:pt>
                <c:pt idx="16">
                  <c:v>20 wt% reagent J (inorganic) in water</c:v>
                </c:pt>
                <c:pt idx="17">
                  <c:v>reagent N (organic)</c:v>
                </c:pt>
                <c:pt idx="18">
                  <c:v>15 wt% reagent K (inorganic) in water</c:v>
                </c:pt>
                <c:pt idx="19">
                  <c:v>5 wt% reagent A (organic) in acetonitrile</c:v>
                </c:pt>
                <c:pt idx="20">
                  <c:v>6 M HCl (aq)</c:v>
                </c:pt>
                <c:pt idx="21">
                  <c:v>30 wt% reagent F (inorganic) in water</c:v>
                </c:pt>
                <c:pt idx="22">
                  <c:v>15 wt% reagent C (inorganic) in water</c:v>
                </c:pt>
                <c:pt idx="23">
                  <c:v>water</c:v>
                </c:pt>
                <c:pt idx="24">
                  <c:v>10 wt% reagent B (inorganic) in water</c:v>
                </c:pt>
                <c:pt idx="25">
                  <c:v>nickel salt</c:v>
                </c:pt>
                <c:pt idx="26">
                  <c:v>25 wt% reagent E (inorganic) in water</c:v>
                </c:pt>
                <c:pt idx="27">
                  <c:v>0.1 M reagent G (inorganic) in water</c:v>
                </c:pt>
                <c:pt idx="28">
                  <c:v>reagent Q (organic)</c:v>
                </c:pt>
                <c:pt idx="29">
                  <c:v>reagent R (organic)</c:v>
                </c:pt>
                <c:pt idx="30">
                  <c:v>0.2 M reagent H (inorganic) in water</c:v>
                </c:pt>
              </c:strCache>
            </c:strRef>
          </c:cat>
          <c:val>
            <c:numRef>
              <c:f>'2. Enter Step Details'!plotrange_by_material_eutrophication_Y2</c:f>
              <c:numCache>
                <c:formatCode>General</c:formatCode>
                <c:ptCount val="31"/>
                <c:pt idx="0">
                  <c:v>0.93818488030620062</c:v>
                </c:pt>
                <c:pt idx="1">
                  <c:v>1.0898798035706065</c:v>
                </c:pt>
                <c:pt idx="2">
                  <c:v>1.1742987455706064</c:v>
                </c:pt>
                <c:pt idx="3">
                  <c:v>1.2291550890351866</c:v>
                </c:pt>
                <c:pt idx="4">
                  <c:v>1.2786308843512852</c:v>
                </c:pt>
                <c:pt idx="5">
                  <c:v>1.3182115206041642</c:v>
                </c:pt>
                <c:pt idx="6">
                  <c:v>1.3291739146368236</c:v>
                </c:pt>
                <c:pt idx="7">
                  <c:v>1.3392387426941139</c:v>
                </c:pt>
                <c:pt idx="8">
                  <c:v>1.3491402832109949</c:v>
                </c:pt>
                <c:pt idx="9">
                  <c:v>1.3563294461090594</c:v>
                </c:pt>
                <c:pt idx="10">
                  <c:v>1.3628934027169821</c:v>
                </c:pt>
                <c:pt idx="11">
                  <c:v>1.3665632361902955</c:v>
                </c:pt>
                <c:pt idx="12">
                  <c:v>1.3684477231633083</c:v>
                </c:pt>
                <c:pt idx="13">
                  <c:v>1.3699124673185001</c:v>
                </c:pt>
                <c:pt idx="14">
                  <c:v>1.3711687919671753</c:v>
                </c:pt>
                <c:pt idx="15">
                  <c:v>1.3724251166158499</c:v>
                </c:pt>
                <c:pt idx="16">
                  <c:v>1.3731033539404551</c:v>
                </c:pt>
                <c:pt idx="17">
                  <c:v>1.3737315162647927</c:v>
                </c:pt>
                <c:pt idx="18">
                  <c:v>1.3743204524585346</c:v>
                </c:pt>
                <c:pt idx="19">
                  <c:v>1.3747868017814036</c:v>
                </c:pt>
                <c:pt idx="20">
                  <c:v>1.3751902750542928</c:v>
                </c:pt>
                <c:pt idx="21">
                  <c:v>1.3753249009570356</c:v>
                </c:pt>
                <c:pt idx="22">
                  <c:v>1.3754445384568623</c:v>
                </c:pt>
                <c:pt idx="23">
                  <c:v>1.3755377909750797</c:v>
                </c:pt>
                <c:pt idx="24">
                  <c:v>1.3756184135345293</c:v>
                </c:pt>
                <c:pt idx="25">
                  <c:v>1.3756593737845384</c:v>
                </c:pt>
                <c:pt idx="26">
                  <c:v>1.375684082207111</c:v>
                </c:pt>
                <c:pt idx="27">
                  <c:v>1.3757069683455188</c:v>
                </c:pt>
                <c:pt idx="28">
                  <c:v>1.3757132499687621</c:v>
                </c:pt>
                <c:pt idx="29">
                  <c:v>1.3757163907803838</c:v>
                </c:pt>
                <c:pt idx="30">
                  <c:v>1.3757189865780779</c:v>
                </c:pt>
              </c:numCache>
            </c:numRef>
          </c:val>
          <c:smooth val="0"/>
          <c:extLst>
            <c:ext xmlns:c16="http://schemas.microsoft.com/office/drawing/2014/chart" uri="{C3380CC4-5D6E-409C-BE32-E72D297353CC}">
              <c16:uniqueId val="{0000002A-B9A5-4D20-A0EE-5D4962791A13}"/>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Material Inputs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Eutrophication (kg phosphate equiv.)</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'3. Process Metrics Dashboard'!$D$320</c:f>
          <c:strCache>
            <c:ptCount val="1"/>
            <c:pt idx="0">
              <c:v>Water Depletion of Unique Inputs per kg of Packaged Fictional API</c:v>
            </c:pt>
          </c:strCache>
        </c:strRef>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973825865109489E-2"/>
          <c:y val="7.2037182852143486E-2"/>
          <c:w val="0.88993122469458674"/>
          <c:h val="0.55525707203266261"/>
        </c:manualLayout>
      </c:layout>
      <c:barChart>
        <c:barDir val="col"/>
        <c:grouping val="stacked"/>
        <c:varyColors val="0"/>
        <c:ser>
          <c:idx val="7"/>
          <c:order val="0"/>
          <c:tx>
            <c:v>OTHER</c:v>
          </c:tx>
          <c:spPr>
            <a:solidFill>
              <a:schemeClr val="bg1"/>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Details'!plotrange_by_material_water_Y1_OTHER</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F8B3-4590-9D0A-04E7482E3801}"/>
            </c:ext>
          </c:extLst>
        </c:ser>
        <c:ser>
          <c:idx val="6"/>
          <c:order val="1"/>
          <c:tx>
            <c:v>Enzymes &amp; Plant Extracts</c:v>
          </c:tx>
          <c:spPr>
            <a:solidFill>
              <a:srgbClr val="92D050"/>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Details'!plotrange_by_material_water_Y1_ENZ_PLNT</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F8B3-4590-9D0A-04E7482E3801}"/>
            </c:ext>
          </c:extLst>
        </c:ser>
        <c:ser>
          <c:idx val="5"/>
          <c:order val="2"/>
          <c:tx>
            <c:v>Metal</c:v>
          </c:tx>
          <c:spPr>
            <a:solidFill>
              <a:schemeClr val="accent3"/>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Details'!plotrange_by_material_water_Y1_METAL</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7.2587890236292571E-2</c:v>
                </c:pt>
                <c:pt idx="29">
                  <c:v>0</c:v>
                </c:pt>
                <c:pt idx="30">
                  <c:v>0</c:v>
                </c:pt>
              </c:numCache>
            </c:numRef>
          </c:val>
          <c:extLst>
            <c:ext xmlns:c16="http://schemas.microsoft.com/office/drawing/2014/chart" uri="{C3380CC4-5D6E-409C-BE32-E72D297353CC}">
              <c16:uniqueId val="{00000002-F8B3-4590-9D0A-04E7482E3801}"/>
            </c:ext>
          </c:extLst>
        </c:ser>
        <c:ser>
          <c:idx val="0"/>
          <c:order val="3"/>
          <c:tx>
            <c:v>Reagent</c:v>
          </c:tx>
          <c:spPr>
            <a:solidFill>
              <a:srgbClr val="FF0000"/>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Details'!plotrange_by_material_water_Y1_REAGENT</c:f>
              <c:numCache>
                <c:formatCode>General</c:formatCode>
                <c:ptCount val="31"/>
                <c:pt idx="0">
                  <c:v>0</c:v>
                </c:pt>
                <c:pt idx="1">
                  <c:v>0</c:v>
                </c:pt>
                <c:pt idx="2">
                  <c:v>80.906510542627544</c:v>
                </c:pt>
                <c:pt idx="3">
                  <c:v>0</c:v>
                </c:pt>
                <c:pt idx="4">
                  <c:v>64.725208434102043</c:v>
                </c:pt>
                <c:pt idx="5">
                  <c:v>0</c:v>
                </c:pt>
                <c:pt idx="6">
                  <c:v>0</c:v>
                </c:pt>
                <c:pt idx="7">
                  <c:v>8.0906510542627554</c:v>
                </c:pt>
                <c:pt idx="8">
                  <c:v>16.181302108525401</c:v>
                </c:pt>
                <c:pt idx="9">
                  <c:v>17.926524327890665</c:v>
                </c:pt>
                <c:pt idx="10">
                  <c:v>16.458757502012904</c:v>
                </c:pt>
                <c:pt idx="11">
                  <c:v>0</c:v>
                </c:pt>
                <c:pt idx="12">
                  <c:v>11.756255358580646</c:v>
                </c:pt>
                <c:pt idx="13">
                  <c:v>0.57084510919434817</c:v>
                </c:pt>
                <c:pt idx="14">
                  <c:v>1.3041862633033861E-2</c:v>
                </c:pt>
                <c:pt idx="15">
                  <c:v>0.66184940196446163</c:v>
                </c:pt>
                <c:pt idx="16">
                  <c:v>0.39332038638057976</c:v>
                </c:pt>
                <c:pt idx="17">
                  <c:v>3.0816536485243486</c:v>
                </c:pt>
                <c:pt idx="18">
                  <c:v>2.0544357656828991</c:v>
                </c:pt>
                <c:pt idx="19">
                  <c:v>2.0544357656817427</c:v>
                </c:pt>
                <c:pt idx="20">
                  <c:v>1.4461409432923484</c:v>
                </c:pt>
                <c:pt idx="21">
                  <c:v>7.7308297433073256E-2</c:v>
                </c:pt>
                <c:pt idx="22">
                  <c:v>0.11596244614960989</c:v>
                </c:pt>
                <c:pt idx="23">
                  <c:v>1.0272178828414495</c:v>
                </c:pt>
                <c:pt idx="24">
                  <c:v>9.6635371791287171E-4</c:v>
                </c:pt>
                <c:pt idx="25">
                  <c:v>0.13177550698811888</c:v>
                </c:pt>
                <c:pt idx="26">
                  <c:v>4.1088715313657986E-2</c:v>
                </c:pt>
                <c:pt idx="27">
                  <c:v>2.4158842947821797E-2</c:v>
                </c:pt>
                <c:pt idx="28">
                  <c:v>6.0895690838327294E-3</c:v>
                </c:pt>
                <c:pt idx="29">
                  <c:v>1.0272178828414497E-2</c:v>
                </c:pt>
                <c:pt idx="30">
                  <c:v>5.1360894142072483E-3</c:v>
                </c:pt>
              </c:numCache>
            </c:numRef>
          </c:val>
          <c:extLst>
            <c:ext xmlns:c16="http://schemas.microsoft.com/office/drawing/2014/chart" uri="{C3380CC4-5D6E-409C-BE32-E72D297353CC}">
              <c16:uniqueId val="{00000003-F8B3-4590-9D0A-04E7482E3801}"/>
            </c:ext>
          </c:extLst>
        </c:ser>
        <c:ser>
          <c:idx val="2"/>
          <c:order val="4"/>
          <c:tx>
            <c:v>Solvent</c:v>
          </c:tx>
          <c:spPr>
            <a:solidFill>
              <a:schemeClr val="accent4"/>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Details'!plotrange_by_material_water_Y1_SOLVENT</c:f>
              <c:numCache>
                <c:formatCode>General</c:formatCode>
                <c:ptCount val="31"/>
                <c:pt idx="0">
                  <c:v>346.3614</c:v>
                </c:pt>
                <c:pt idx="1">
                  <c:v>102.0169318081451</c:v>
                </c:pt>
                <c:pt idx="2">
                  <c:v>0</c:v>
                </c:pt>
                <c:pt idx="3">
                  <c:v>78.876665322746874</c:v>
                </c:pt>
                <c:pt idx="4">
                  <c:v>0</c:v>
                </c:pt>
                <c:pt idx="5">
                  <c:v>0</c:v>
                </c:pt>
                <c:pt idx="6">
                  <c:v>29.658127235736981</c:v>
                </c:pt>
                <c:pt idx="7">
                  <c:v>15.957104055790174</c:v>
                </c:pt>
                <c:pt idx="8">
                  <c:v>0</c:v>
                </c:pt>
                <c:pt idx="9">
                  <c:v>0</c:v>
                </c:pt>
                <c:pt idx="10">
                  <c:v>0</c:v>
                </c:pt>
                <c:pt idx="11">
                  <c:v>12.002072935065172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0.63442408458896249</c:v>
                </c:pt>
                <c:pt idx="27">
                  <c:v>0</c:v>
                </c:pt>
                <c:pt idx="28">
                  <c:v>0</c:v>
                </c:pt>
                <c:pt idx="29">
                  <c:v>0</c:v>
                </c:pt>
                <c:pt idx="30">
                  <c:v>0</c:v>
                </c:pt>
              </c:numCache>
            </c:numRef>
          </c:val>
          <c:extLst>
            <c:ext xmlns:c16="http://schemas.microsoft.com/office/drawing/2014/chart" uri="{C3380CC4-5D6E-409C-BE32-E72D297353CC}">
              <c16:uniqueId val="{00000004-F8B3-4590-9D0A-04E7482E3801}"/>
            </c:ext>
          </c:extLst>
        </c:ser>
        <c:ser>
          <c:idx val="3"/>
          <c:order val="5"/>
          <c:tx>
            <c:v>Water</c:v>
          </c:tx>
          <c:spPr>
            <a:solidFill>
              <a:schemeClr val="accent1"/>
            </a:solidFill>
            <a:ln>
              <a:solidFill>
                <a:schemeClr val="tx1"/>
              </a:solidFill>
            </a:ln>
            <a:effectLst/>
          </c:spPr>
          <c:invertIfNegative val="0"/>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Details'!plotrange_by_material_water_Y1_WATER</c:f>
              <c:numCache>
                <c:formatCode>General</c:formatCode>
                <c:ptCount val="31"/>
                <c:pt idx="0">
                  <c:v>0</c:v>
                </c:pt>
                <c:pt idx="1">
                  <c:v>0</c:v>
                </c:pt>
                <c:pt idx="2">
                  <c:v>0</c:v>
                </c:pt>
                <c:pt idx="3">
                  <c:v>0</c:v>
                </c:pt>
                <c:pt idx="4">
                  <c:v>0</c:v>
                </c:pt>
                <c:pt idx="5">
                  <c:v>50.820481437953482</c:v>
                </c:pt>
                <c:pt idx="6">
                  <c:v>0</c:v>
                </c:pt>
                <c:pt idx="7">
                  <c:v>0</c:v>
                </c:pt>
                <c:pt idx="8">
                  <c:v>3.4777457331620512</c:v>
                </c:pt>
                <c:pt idx="9">
                  <c:v>0</c:v>
                </c:pt>
                <c:pt idx="10">
                  <c:v>0</c:v>
                </c:pt>
                <c:pt idx="11">
                  <c:v>0</c:v>
                </c:pt>
                <c:pt idx="12">
                  <c:v>0</c:v>
                </c:pt>
                <c:pt idx="13">
                  <c:v>5.912167746375486</c:v>
                </c:pt>
                <c:pt idx="14">
                  <c:v>5.2747274771072918</c:v>
                </c:pt>
                <c:pt idx="15">
                  <c:v>4.3547424832637853</c:v>
                </c:pt>
                <c:pt idx="16">
                  <c:v>2.8135110505469632</c:v>
                </c:pt>
                <c:pt idx="17">
                  <c:v>0</c:v>
                </c:pt>
                <c:pt idx="18">
                  <c:v>0</c:v>
                </c:pt>
                <c:pt idx="19">
                  <c:v>0</c:v>
                </c:pt>
                <c:pt idx="20">
                  <c:v>0.13910982932648203</c:v>
                </c:pt>
                <c:pt idx="21">
                  <c:v>1.2716553272593039</c:v>
                </c:pt>
                <c:pt idx="22">
                  <c:v>1.2010078090782312</c:v>
                </c:pt>
                <c:pt idx="23">
                  <c:v>0</c:v>
                </c:pt>
                <c:pt idx="24">
                  <c:v>0.88132778930838263</c:v>
                </c:pt>
                <c:pt idx="25">
                  <c:v>0.6422501652821152</c:v>
                </c:pt>
                <c:pt idx="26">
                  <c:v>0</c:v>
                </c:pt>
                <c:pt idx="27">
                  <c:v>0.13246409658943625</c:v>
                </c:pt>
                <c:pt idx="28">
                  <c:v>0</c:v>
                </c:pt>
                <c:pt idx="29">
                  <c:v>0</c:v>
                </c:pt>
                <c:pt idx="30">
                  <c:v>0</c:v>
                </c:pt>
              </c:numCache>
            </c:numRef>
          </c:val>
          <c:extLst>
            <c:ext xmlns:c16="http://schemas.microsoft.com/office/drawing/2014/chart" uri="{C3380CC4-5D6E-409C-BE32-E72D297353CC}">
              <c16:uniqueId val="{00000005-F8B3-4590-9D0A-04E7482E3801}"/>
            </c:ext>
          </c:extLst>
        </c:ser>
        <c:dLbls>
          <c:showLegendKey val="0"/>
          <c:showVal val="0"/>
          <c:showCatName val="0"/>
          <c:showSerName val="0"/>
          <c:showPercent val="0"/>
          <c:showBubbleSize val="0"/>
        </c:dLbls>
        <c:gapWidth val="150"/>
        <c:overlap val="100"/>
        <c:axId val="1263727832"/>
        <c:axId val="1263728816"/>
      </c:barChart>
      <c:lineChart>
        <c:grouping val="standard"/>
        <c:varyColors val="0"/>
        <c:ser>
          <c:idx val="4"/>
          <c:order val="6"/>
          <c:tx>
            <c:v>Total (for Data Labels)</c:v>
          </c:tx>
          <c:spPr>
            <a:ln w="25400" cap="rnd">
              <a:noFill/>
              <a:round/>
            </a:ln>
            <a:effectLst/>
          </c:spPr>
          <c:marker>
            <c:symbol val="none"/>
          </c:marker>
          <c:dLbls>
            <c:dLbl>
              <c:idx val="0"/>
              <c:tx>
                <c:rich>
                  <a:bodyPr/>
                  <a:lstStyle/>
                  <a:p>
                    <a:fld id="{7CB935BD-CB4E-4D42-95DD-E87044167F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B3-4590-9D0A-04E7482E3801}"/>
                </c:ext>
              </c:extLst>
            </c:dLbl>
            <c:dLbl>
              <c:idx val="1"/>
              <c:tx>
                <c:rich>
                  <a:bodyPr/>
                  <a:lstStyle/>
                  <a:p>
                    <a:fld id="{28FC7DB7-633A-4CB0-8EF5-4DA630E4F8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70D-479A-8F29-E53EB7B9C3E2}"/>
                </c:ext>
              </c:extLst>
            </c:dLbl>
            <c:dLbl>
              <c:idx val="2"/>
              <c:tx>
                <c:rich>
                  <a:bodyPr/>
                  <a:lstStyle/>
                  <a:p>
                    <a:fld id="{97C8779B-BDDD-4C83-9ECC-51F62405F5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70D-479A-8F29-E53EB7B9C3E2}"/>
                </c:ext>
              </c:extLst>
            </c:dLbl>
            <c:dLbl>
              <c:idx val="3"/>
              <c:tx>
                <c:rich>
                  <a:bodyPr/>
                  <a:lstStyle/>
                  <a:p>
                    <a:fld id="{C6D0192A-1CBE-4D25-AA55-64A9552E79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0D-479A-8F29-E53EB7B9C3E2}"/>
                </c:ext>
              </c:extLst>
            </c:dLbl>
            <c:dLbl>
              <c:idx val="4"/>
              <c:tx>
                <c:rich>
                  <a:bodyPr/>
                  <a:lstStyle/>
                  <a:p>
                    <a:fld id="{3C574AA6-87A9-46F0-A1F0-E10B1A0AB1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0D-479A-8F29-E53EB7B9C3E2}"/>
                </c:ext>
              </c:extLst>
            </c:dLbl>
            <c:dLbl>
              <c:idx val="5"/>
              <c:tx>
                <c:rich>
                  <a:bodyPr/>
                  <a:lstStyle/>
                  <a:p>
                    <a:fld id="{2B4A96EC-6C2C-46B9-BC5D-55BDA77F4F2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0D-479A-8F29-E53EB7B9C3E2}"/>
                </c:ext>
              </c:extLst>
            </c:dLbl>
            <c:dLbl>
              <c:idx val="6"/>
              <c:tx>
                <c:rich>
                  <a:bodyPr/>
                  <a:lstStyle/>
                  <a:p>
                    <a:fld id="{A1E2E06D-5964-4359-8B05-F616B9E2404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0D-479A-8F29-E53EB7B9C3E2}"/>
                </c:ext>
              </c:extLst>
            </c:dLbl>
            <c:dLbl>
              <c:idx val="7"/>
              <c:tx>
                <c:rich>
                  <a:bodyPr/>
                  <a:lstStyle/>
                  <a:p>
                    <a:fld id="{6D39764B-7351-415D-A81C-14DBAF0966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0D-479A-8F29-E53EB7B9C3E2}"/>
                </c:ext>
              </c:extLst>
            </c:dLbl>
            <c:dLbl>
              <c:idx val="8"/>
              <c:tx>
                <c:rich>
                  <a:bodyPr/>
                  <a:lstStyle/>
                  <a:p>
                    <a:fld id="{9929CD7C-89A9-4267-9229-8D8C2DF907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0D-479A-8F29-E53EB7B9C3E2}"/>
                </c:ext>
              </c:extLst>
            </c:dLbl>
            <c:dLbl>
              <c:idx val="9"/>
              <c:tx>
                <c:rich>
                  <a:bodyPr/>
                  <a:lstStyle/>
                  <a:p>
                    <a:fld id="{1A05345A-EC31-40B9-A1FC-C6045B48E4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0D-479A-8F29-E53EB7B9C3E2}"/>
                </c:ext>
              </c:extLst>
            </c:dLbl>
            <c:dLbl>
              <c:idx val="10"/>
              <c:tx>
                <c:rich>
                  <a:bodyPr/>
                  <a:lstStyle/>
                  <a:p>
                    <a:fld id="{0946D0A6-BD2F-433E-A037-A34954FBD50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0D-479A-8F29-E53EB7B9C3E2}"/>
                </c:ext>
              </c:extLst>
            </c:dLbl>
            <c:dLbl>
              <c:idx val="11"/>
              <c:tx>
                <c:rich>
                  <a:bodyPr/>
                  <a:lstStyle/>
                  <a:p>
                    <a:fld id="{6AE18BBB-4505-4AE4-AEF0-951C680C64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0D-479A-8F29-E53EB7B9C3E2}"/>
                </c:ext>
              </c:extLst>
            </c:dLbl>
            <c:dLbl>
              <c:idx val="12"/>
              <c:tx>
                <c:rich>
                  <a:bodyPr/>
                  <a:lstStyle/>
                  <a:p>
                    <a:fld id="{4AFF8BD3-D281-4A50-8C84-9DAAB985AB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0D-479A-8F29-E53EB7B9C3E2}"/>
                </c:ext>
              </c:extLst>
            </c:dLbl>
            <c:dLbl>
              <c:idx val="13"/>
              <c:tx>
                <c:rich>
                  <a:bodyPr/>
                  <a:lstStyle/>
                  <a:p>
                    <a:fld id="{67ED35A7-65EB-440A-AFC2-5B7F4E46C9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0D-479A-8F29-E53EB7B9C3E2}"/>
                </c:ext>
              </c:extLst>
            </c:dLbl>
            <c:dLbl>
              <c:idx val="14"/>
              <c:tx>
                <c:rich>
                  <a:bodyPr/>
                  <a:lstStyle/>
                  <a:p>
                    <a:fld id="{C1A0A24F-ACD6-436C-82FB-6D45389EC36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0D-479A-8F29-E53EB7B9C3E2}"/>
                </c:ext>
              </c:extLst>
            </c:dLbl>
            <c:dLbl>
              <c:idx val="15"/>
              <c:tx>
                <c:rich>
                  <a:bodyPr/>
                  <a:lstStyle/>
                  <a:p>
                    <a:fld id="{90ACC41F-6047-44DA-B139-5A914E169F9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0D-479A-8F29-E53EB7B9C3E2}"/>
                </c:ext>
              </c:extLst>
            </c:dLbl>
            <c:dLbl>
              <c:idx val="16"/>
              <c:tx>
                <c:rich>
                  <a:bodyPr/>
                  <a:lstStyle/>
                  <a:p>
                    <a:fld id="{00827484-E1C0-4A0D-959D-0B753D2DE3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70D-479A-8F29-E53EB7B9C3E2}"/>
                </c:ext>
              </c:extLst>
            </c:dLbl>
            <c:dLbl>
              <c:idx val="17"/>
              <c:tx>
                <c:rich>
                  <a:bodyPr/>
                  <a:lstStyle/>
                  <a:p>
                    <a:fld id="{BD27421D-32F3-42C8-8C44-ED9C7A1E830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70D-479A-8F29-E53EB7B9C3E2}"/>
                </c:ext>
              </c:extLst>
            </c:dLbl>
            <c:dLbl>
              <c:idx val="18"/>
              <c:tx>
                <c:rich>
                  <a:bodyPr/>
                  <a:lstStyle/>
                  <a:p>
                    <a:fld id="{DF418492-C2F1-48F7-A120-2B594F7552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0D-479A-8F29-E53EB7B9C3E2}"/>
                </c:ext>
              </c:extLst>
            </c:dLbl>
            <c:dLbl>
              <c:idx val="19"/>
              <c:tx>
                <c:rich>
                  <a:bodyPr/>
                  <a:lstStyle/>
                  <a:p>
                    <a:fld id="{96DF7F5A-4477-444B-9DF5-6A76C34A4A8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0D-479A-8F29-E53EB7B9C3E2}"/>
                </c:ext>
              </c:extLst>
            </c:dLbl>
            <c:dLbl>
              <c:idx val="20"/>
              <c:tx>
                <c:rich>
                  <a:bodyPr/>
                  <a:lstStyle/>
                  <a:p>
                    <a:fld id="{B5060770-16B4-40D3-B3E4-EB754C967D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0D-479A-8F29-E53EB7B9C3E2}"/>
                </c:ext>
              </c:extLst>
            </c:dLbl>
            <c:dLbl>
              <c:idx val="21"/>
              <c:tx>
                <c:rich>
                  <a:bodyPr/>
                  <a:lstStyle/>
                  <a:p>
                    <a:fld id="{2A58A0E1-87F1-40B8-AD60-B4ED1CD16A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0D-479A-8F29-E53EB7B9C3E2}"/>
                </c:ext>
              </c:extLst>
            </c:dLbl>
            <c:dLbl>
              <c:idx val="22"/>
              <c:tx>
                <c:rich>
                  <a:bodyPr/>
                  <a:lstStyle/>
                  <a:p>
                    <a:fld id="{B47286AE-04A9-43FD-AA49-8CD24FF352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0D-479A-8F29-E53EB7B9C3E2}"/>
                </c:ext>
              </c:extLst>
            </c:dLbl>
            <c:dLbl>
              <c:idx val="23"/>
              <c:tx>
                <c:rich>
                  <a:bodyPr/>
                  <a:lstStyle/>
                  <a:p>
                    <a:fld id="{49924537-E08B-4E82-A1E4-4EE99353313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0D-479A-8F29-E53EB7B9C3E2}"/>
                </c:ext>
              </c:extLst>
            </c:dLbl>
            <c:dLbl>
              <c:idx val="24"/>
              <c:tx>
                <c:rich>
                  <a:bodyPr/>
                  <a:lstStyle/>
                  <a:p>
                    <a:fld id="{DA1B5F7F-8413-4C69-9247-CB4199FDEF7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0D-479A-8F29-E53EB7B9C3E2}"/>
                </c:ext>
              </c:extLst>
            </c:dLbl>
            <c:dLbl>
              <c:idx val="25"/>
              <c:tx>
                <c:rich>
                  <a:bodyPr/>
                  <a:lstStyle/>
                  <a:p>
                    <a:fld id="{E1F0D254-0171-4EB2-9D52-57710F9F08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0D-479A-8F29-E53EB7B9C3E2}"/>
                </c:ext>
              </c:extLst>
            </c:dLbl>
            <c:dLbl>
              <c:idx val="26"/>
              <c:tx>
                <c:rich>
                  <a:bodyPr/>
                  <a:lstStyle/>
                  <a:p>
                    <a:fld id="{9E9C8907-CBBD-4A3A-9115-5B1989D095F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0D-479A-8F29-E53EB7B9C3E2}"/>
                </c:ext>
              </c:extLst>
            </c:dLbl>
            <c:dLbl>
              <c:idx val="27"/>
              <c:tx>
                <c:rich>
                  <a:bodyPr/>
                  <a:lstStyle/>
                  <a:p>
                    <a:fld id="{6119309A-D15C-4C85-B800-E842FC7D013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0D-479A-8F29-E53EB7B9C3E2}"/>
                </c:ext>
              </c:extLst>
            </c:dLbl>
            <c:dLbl>
              <c:idx val="28"/>
              <c:tx>
                <c:rich>
                  <a:bodyPr/>
                  <a:lstStyle/>
                  <a:p>
                    <a:fld id="{9E5C538A-E228-4608-923C-D571CD0AF9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0D-479A-8F29-E53EB7B9C3E2}"/>
                </c:ext>
              </c:extLst>
            </c:dLbl>
            <c:dLbl>
              <c:idx val="29"/>
              <c:tx>
                <c:rich>
                  <a:bodyPr/>
                  <a:lstStyle/>
                  <a:p>
                    <a:fld id="{3BABD15B-B1DD-4B4E-BE0E-EF3894F8D7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0D-479A-8F29-E53EB7B9C3E2}"/>
                </c:ext>
              </c:extLst>
            </c:dLbl>
            <c:dLbl>
              <c:idx val="30"/>
              <c:tx>
                <c:rich>
                  <a:bodyPr/>
                  <a:lstStyle/>
                  <a:p>
                    <a:fld id="{3D2DAA55-9F8F-4EBD-886D-5577380853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70D-479A-8F29-E53EB7B9C3E2}"/>
                </c:ext>
              </c:extLst>
            </c:dLbl>
            <c:spPr>
              <a:solidFill>
                <a:sysClr val="window" lastClr="FFFFFF">
                  <a:alpha val="50000"/>
                </a:sysClr>
              </a:solid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Details'!plotrange_by_material_water_Y1</c:f>
              <c:numCache>
                <c:formatCode>General</c:formatCode>
                <c:ptCount val="31"/>
                <c:pt idx="0">
                  <c:v>346.3614</c:v>
                </c:pt>
                <c:pt idx="1">
                  <c:v>102.0169318081451</c:v>
                </c:pt>
                <c:pt idx="2">
                  <c:v>80.906510542627544</c:v>
                </c:pt>
                <c:pt idx="3">
                  <c:v>78.876665322746874</c:v>
                </c:pt>
                <c:pt idx="4">
                  <c:v>64.725208434102043</c:v>
                </c:pt>
                <c:pt idx="5">
                  <c:v>50.820481437953482</c:v>
                </c:pt>
                <c:pt idx="6">
                  <c:v>29.658127235736981</c:v>
                </c:pt>
                <c:pt idx="7">
                  <c:v>24.047755110052929</c:v>
                </c:pt>
                <c:pt idx="8">
                  <c:v>19.659047841687453</c:v>
                </c:pt>
                <c:pt idx="9">
                  <c:v>17.926524327890665</c:v>
                </c:pt>
                <c:pt idx="10">
                  <c:v>16.458757502012904</c:v>
                </c:pt>
                <c:pt idx="11">
                  <c:v>12.002072935065172</c:v>
                </c:pt>
                <c:pt idx="12">
                  <c:v>11.756255358580646</c:v>
                </c:pt>
                <c:pt idx="13">
                  <c:v>6.4830128555698332</c:v>
                </c:pt>
                <c:pt idx="14">
                  <c:v>5.2877693397403256</c:v>
                </c:pt>
                <c:pt idx="15">
                  <c:v>5.0165918852282481</c:v>
                </c:pt>
                <c:pt idx="16">
                  <c:v>3.2068314369275428</c:v>
                </c:pt>
                <c:pt idx="17">
                  <c:v>3.0816536485243486</c:v>
                </c:pt>
                <c:pt idx="18">
                  <c:v>2.0544357656828991</c:v>
                </c:pt>
                <c:pt idx="19">
                  <c:v>2.0544357656817427</c:v>
                </c:pt>
                <c:pt idx="20">
                  <c:v>1.5852507726188305</c:v>
                </c:pt>
                <c:pt idx="21">
                  <c:v>1.3489636246923771</c:v>
                </c:pt>
                <c:pt idx="22">
                  <c:v>1.3169702552278411</c:v>
                </c:pt>
                <c:pt idx="23">
                  <c:v>1.0272178828414495</c:v>
                </c:pt>
                <c:pt idx="24">
                  <c:v>0.8822941430262955</c:v>
                </c:pt>
                <c:pt idx="25">
                  <c:v>0.77402567227023411</c:v>
                </c:pt>
                <c:pt idx="26">
                  <c:v>0.67551279990262048</c:v>
                </c:pt>
                <c:pt idx="27">
                  <c:v>0.15662293953725806</c:v>
                </c:pt>
                <c:pt idx="28">
                  <c:v>7.8677459320125293E-2</c:v>
                </c:pt>
                <c:pt idx="29">
                  <c:v>1.0272178828414497E-2</c:v>
                </c:pt>
                <c:pt idx="30">
                  <c:v>5.1360894142072483E-3</c:v>
                </c:pt>
              </c:numCache>
            </c:numRef>
          </c:val>
          <c:smooth val="0"/>
          <c:extLst>
            <c:ext xmlns:c15="http://schemas.microsoft.com/office/drawing/2012/chart" uri="{02D57815-91ED-43cb-92C2-25804820EDAC}">
              <c15:datalabelsRange>
                <c15:f>'2. Enter Step Details'!plotrange_by_material_water_labels</c15:f>
                <c15:dlblRangeCache>
                  <c:ptCount val="31"/>
                  <c:pt idx="0">
                    <c:v>(39%)</c:v>
                  </c:pt>
                  <c:pt idx="1">
                    <c:v>(11%)</c:v>
                  </c:pt>
                  <c:pt idx="2">
                    <c:v>(9%)</c:v>
                  </c:pt>
                  <c:pt idx="3">
                    <c:v>(9%)</c:v>
                  </c:pt>
                  <c:pt idx="4">
                    <c:v>(7%)</c:v>
                  </c:pt>
                  <c:pt idx="5">
                    <c:v>(6%)</c:v>
                  </c:pt>
                  <c:pt idx="6">
                    <c:v>(3%)</c:v>
                  </c:pt>
                  <c:pt idx="7">
                    <c:v>(3%)</c:v>
                  </c:pt>
                  <c:pt idx="8">
                    <c:v>(2%)</c:v>
                  </c:pt>
                  <c:pt idx="9">
                    <c:v>(2%)</c:v>
                  </c:pt>
                  <c:pt idx="10">
                    <c:v>(2%)</c:v>
                  </c:pt>
                  <c:pt idx="11">
                    <c:v>(1%)</c:v>
                  </c:pt>
                  <c:pt idx="12">
                    <c:v>(1%)</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15:dlblRangeCache>
              </c15:datalabelsRange>
            </c:ext>
            <c:ext xmlns:c16="http://schemas.microsoft.com/office/drawing/2014/chart" uri="{C3380CC4-5D6E-409C-BE32-E72D297353CC}">
              <c16:uniqueId val="{00000029-F8B3-4590-9D0A-04E7482E3801}"/>
            </c:ext>
          </c:extLst>
        </c:ser>
        <c:dLbls>
          <c:showLegendKey val="0"/>
          <c:showVal val="0"/>
          <c:showCatName val="0"/>
          <c:showSerName val="0"/>
          <c:showPercent val="0"/>
          <c:showBubbleSize val="0"/>
        </c:dLbls>
        <c:marker val="1"/>
        <c:smooth val="0"/>
        <c:axId val="1263727832"/>
        <c:axId val="1263728816"/>
      </c:lineChart>
      <c:lineChart>
        <c:grouping val="standard"/>
        <c:varyColors val="0"/>
        <c:ser>
          <c:idx val="1"/>
          <c:order val="7"/>
          <c:tx>
            <c:v>Cumulative</c:v>
          </c:tx>
          <c:spPr>
            <a:ln w="25400" cap="rnd">
              <a:solidFill>
                <a:schemeClr val="tx1"/>
              </a:solidFill>
              <a:round/>
            </a:ln>
            <a:effectLst/>
          </c:spPr>
          <c:marker>
            <c:symbol val="circle"/>
            <c:size val="10"/>
            <c:spPr>
              <a:solidFill>
                <a:schemeClr val="bg1">
                  <a:alpha val="70000"/>
                </a:schemeClr>
              </a:solidFill>
              <a:ln w="25400">
                <a:solidFill>
                  <a:schemeClr val="tx1"/>
                </a:solidFill>
              </a:ln>
              <a:effectLst/>
            </c:spPr>
          </c:marker>
          <c:cat>
            <c:strRef>
              <c:f>'2. Enter Step Details'!plotrange_by_material_water_X</c:f>
              <c:strCache>
                <c:ptCount val="31"/>
                <c:pt idx="0">
                  <c:v>IPA</c:v>
                </c:pt>
                <c:pt idx="1">
                  <c:v>DMF</c:v>
                </c:pt>
                <c:pt idx="2">
                  <c:v>reagent U (organic)</c:v>
                </c:pt>
                <c:pt idx="3">
                  <c:v>acetonitrile</c:v>
                </c:pt>
                <c:pt idx="4">
                  <c:v>reagent T (organic)</c:v>
                </c:pt>
                <c:pt idx="5">
                  <c:v>water</c:v>
                </c:pt>
                <c:pt idx="6">
                  <c:v>methanol</c:v>
                </c:pt>
                <c:pt idx="7">
                  <c:v>25 wt% reagent I (organic) in DMF</c:v>
                </c:pt>
                <c:pt idx="8">
                  <c:v>0.3 M reagent L (organic) in water</c:v>
                </c:pt>
                <c:pt idx="9">
                  <c:v>reagent D (organic)</c:v>
                </c:pt>
                <c:pt idx="10">
                  <c:v>reagent M (organic)</c:v>
                </c:pt>
                <c:pt idx="11">
                  <c:v>toluene</c:v>
                </c:pt>
                <c:pt idx="12">
                  <c:v>reagent V (organic)</c:v>
                </c:pt>
                <c:pt idx="13">
                  <c:v>15 wt% reagent K (inorganic) in water</c:v>
                </c:pt>
                <c:pt idx="14">
                  <c:v>0.1 M reagent G (inorganic) in water</c:v>
                </c:pt>
                <c:pt idx="15">
                  <c:v>20 wt% reagent J (inorganic) in water</c:v>
                </c:pt>
                <c:pt idx="16">
                  <c:v>6 M HCl (aq)</c:v>
                </c:pt>
                <c:pt idx="17">
                  <c:v>reagent P (organic)</c:v>
                </c:pt>
                <c:pt idx="18">
                  <c:v>reagent O (organic)</c:v>
                </c:pt>
                <c:pt idx="19">
                  <c:v>reagent S (organic)</c:v>
                </c:pt>
                <c:pt idx="20">
                  <c:v>95 wt% reagent M (organic)</c:v>
                </c:pt>
                <c:pt idx="21">
                  <c:v>10 wt% reagent B (inorganic) in water</c:v>
                </c:pt>
                <c:pt idx="22">
                  <c:v>15 wt% reagent C (inorganic) in water</c:v>
                </c:pt>
                <c:pt idx="23">
                  <c:v>reagent N (organic)</c:v>
                </c:pt>
                <c:pt idx="24">
                  <c:v>0.2 M reagent H (inorganic) in water</c:v>
                </c:pt>
                <c:pt idx="25">
                  <c:v>30 wt% reagent F (inorganic) in water</c:v>
                </c:pt>
                <c:pt idx="26">
                  <c:v>5 wt% reagent A (organic) in acetonitrile</c:v>
                </c:pt>
                <c:pt idx="27">
                  <c:v>25 wt% reagent E (inorganic) in water</c:v>
                </c:pt>
                <c:pt idx="28">
                  <c:v>nickel salt</c:v>
                </c:pt>
                <c:pt idx="29">
                  <c:v>reagent Q (organic)</c:v>
                </c:pt>
                <c:pt idx="30">
                  <c:v>reagent R (organic)</c:v>
                </c:pt>
              </c:strCache>
            </c:strRef>
          </c:cat>
          <c:val>
            <c:numRef>
              <c:f>'2. Enter Step Details'!plotrange_by_material_water_Y2</c:f>
              <c:numCache>
                <c:formatCode>General</c:formatCode>
                <c:ptCount val="31"/>
                <c:pt idx="0">
                  <c:v>346.3614</c:v>
                </c:pt>
                <c:pt idx="1">
                  <c:v>448.37833180814511</c:v>
                </c:pt>
                <c:pt idx="2">
                  <c:v>529.28484235077269</c:v>
                </c:pt>
                <c:pt idx="3">
                  <c:v>608.16150767351951</c:v>
                </c:pt>
                <c:pt idx="4">
                  <c:v>672.88671610762151</c:v>
                </c:pt>
                <c:pt idx="5">
                  <c:v>723.70719754557501</c:v>
                </c:pt>
                <c:pt idx="6">
                  <c:v>753.36532478131198</c:v>
                </c:pt>
                <c:pt idx="7">
                  <c:v>777.41307989136487</c:v>
                </c:pt>
                <c:pt idx="8">
                  <c:v>797.0721277330523</c:v>
                </c:pt>
                <c:pt idx="9">
                  <c:v>814.99865206094296</c:v>
                </c:pt>
                <c:pt idx="10">
                  <c:v>831.45740956295583</c:v>
                </c:pt>
                <c:pt idx="11">
                  <c:v>843.45948249802098</c:v>
                </c:pt>
                <c:pt idx="12">
                  <c:v>855.21573785660166</c:v>
                </c:pt>
                <c:pt idx="13">
                  <c:v>861.69875071217155</c:v>
                </c:pt>
                <c:pt idx="14">
                  <c:v>866.98652005191184</c:v>
                </c:pt>
                <c:pt idx="15">
                  <c:v>872.00311193714003</c:v>
                </c:pt>
                <c:pt idx="16">
                  <c:v>875.20994337406762</c:v>
                </c:pt>
                <c:pt idx="17">
                  <c:v>878.29159702259199</c:v>
                </c:pt>
                <c:pt idx="18">
                  <c:v>880.3460327882749</c:v>
                </c:pt>
                <c:pt idx="19">
                  <c:v>882.40046855395667</c:v>
                </c:pt>
                <c:pt idx="20">
                  <c:v>883.98571932657546</c:v>
                </c:pt>
                <c:pt idx="21">
                  <c:v>885.33468295126784</c:v>
                </c:pt>
                <c:pt idx="22">
                  <c:v>886.65165320649567</c:v>
                </c:pt>
                <c:pt idx="23">
                  <c:v>887.67887108933712</c:v>
                </c:pt>
                <c:pt idx="24">
                  <c:v>888.56116523236346</c:v>
                </c:pt>
                <c:pt idx="25">
                  <c:v>889.33519090463369</c:v>
                </c:pt>
                <c:pt idx="26">
                  <c:v>890.01070370453635</c:v>
                </c:pt>
                <c:pt idx="27">
                  <c:v>890.16732664407357</c:v>
                </c:pt>
                <c:pt idx="28">
                  <c:v>890.24600410339372</c:v>
                </c:pt>
                <c:pt idx="29">
                  <c:v>890.25627628222207</c:v>
                </c:pt>
                <c:pt idx="30">
                  <c:v>890.26141237163631</c:v>
                </c:pt>
              </c:numCache>
            </c:numRef>
          </c:val>
          <c:smooth val="0"/>
          <c:extLst>
            <c:ext xmlns:c16="http://schemas.microsoft.com/office/drawing/2014/chart" uri="{C3380CC4-5D6E-409C-BE32-E72D297353CC}">
              <c16:uniqueId val="{0000002A-F8B3-4590-9D0A-04E7482E3801}"/>
            </c:ext>
          </c:extLst>
        </c:ser>
        <c:dLbls>
          <c:showLegendKey val="0"/>
          <c:showVal val="0"/>
          <c:showCatName val="0"/>
          <c:showSerName val="0"/>
          <c:showPercent val="0"/>
          <c:showBubbleSize val="0"/>
        </c:dLbls>
        <c:marker val="1"/>
        <c:smooth val="0"/>
        <c:axId val="610433336"/>
        <c:axId val="610424808"/>
      </c:lineChart>
      <c:catAx>
        <c:axId val="126372783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Process Material</a:t>
                </a:r>
                <a:r>
                  <a:rPr lang="en-US" baseline="0"/>
                  <a:t> Inputs</a:t>
                </a:r>
                <a:endParaRPr lang="en-US"/>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63728816"/>
        <c:crosses val="autoZero"/>
        <c:auto val="1"/>
        <c:lblAlgn val="ctr"/>
        <c:lblOffset val="100"/>
        <c:noMultiLvlLbl val="0"/>
      </c:catAx>
      <c:valAx>
        <c:axId val="126372881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Water (kg)</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3727832"/>
        <c:crosses val="autoZero"/>
        <c:crossBetween val="between"/>
      </c:valAx>
      <c:valAx>
        <c:axId val="61042480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a:t>Cumulative</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in"/>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610433336"/>
        <c:crosses val="max"/>
        <c:crossBetween val="between"/>
      </c:valAx>
      <c:catAx>
        <c:axId val="610433336"/>
        <c:scaling>
          <c:orientation val="minMax"/>
        </c:scaling>
        <c:delete val="1"/>
        <c:axPos val="b"/>
        <c:numFmt formatCode="General" sourceLinked="1"/>
        <c:majorTickMark val="out"/>
        <c:minorTickMark val="none"/>
        <c:tickLblPos val="nextTo"/>
        <c:crossAx val="610424808"/>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568627264616363"/>
          <c:y val="0.18014887722368042"/>
          <c:w val="0.15894484902120593"/>
          <c:h val="0.2657866724992709"/>
        </c:manualLayout>
      </c:layout>
      <c:overlay val="0"/>
      <c:spPr>
        <a:solidFill>
          <a:schemeClr val="bg1">
            <a:alpha val="5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rot="-5400000" vert="horz"/>
    <a:lstStyle/>
    <a:p>
      <a:pPr>
        <a:defRPr sz="1200" b="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63B4F.79EA1F1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63B4F.79EA1F10"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image" Target="../media/image6.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181436</xdr:colOff>
      <xdr:row>0</xdr:row>
      <xdr:rowOff>326571</xdr:rowOff>
    </xdr:from>
    <xdr:to>
      <xdr:col>8</xdr:col>
      <xdr:colOff>505289</xdr:colOff>
      <xdr:row>9</xdr:row>
      <xdr:rowOff>0</xdr:rowOff>
    </xdr:to>
    <xdr:grpSp>
      <xdr:nvGrpSpPr>
        <xdr:cNvPr id="9" name="Group 8">
          <a:extLst>
            <a:ext uri="{FF2B5EF4-FFF2-40B4-BE49-F238E27FC236}">
              <a16:creationId xmlns:a16="http://schemas.microsoft.com/office/drawing/2014/main" id="{F43F608D-F88D-4341-951D-288F0E2861D1}"/>
            </a:ext>
          </a:extLst>
        </xdr:cNvPr>
        <xdr:cNvGrpSpPr/>
      </xdr:nvGrpSpPr>
      <xdr:grpSpPr>
        <a:xfrm>
          <a:off x="9733650" y="326571"/>
          <a:ext cx="4610103" cy="6912429"/>
          <a:chOff x="9182101" y="9058276"/>
          <a:chExt cx="4400550" cy="4514849"/>
        </a:xfrm>
        <a:solidFill>
          <a:schemeClr val="bg1"/>
        </a:solidFill>
      </xdr:grpSpPr>
      <xdr:sp macro="" textlink="">
        <xdr:nvSpPr>
          <xdr:cNvPr id="10" name="Rectangle 9">
            <a:extLst>
              <a:ext uri="{FF2B5EF4-FFF2-40B4-BE49-F238E27FC236}">
                <a16:creationId xmlns:a16="http://schemas.microsoft.com/office/drawing/2014/main" id="{30DD5823-B7A8-4AF2-AFB7-4AE88447F61F}"/>
              </a:ext>
            </a:extLst>
          </xdr:cNvPr>
          <xdr:cNvSpPr/>
        </xdr:nvSpPr>
        <xdr:spPr>
          <a:xfrm>
            <a:off x="9182101" y="9058276"/>
            <a:ext cx="4400550" cy="4514849"/>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1" name="Content Placeholder 2">
            <a:extLst>
              <a:ext uri="{FF2B5EF4-FFF2-40B4-BE49-F238E27FC236}">
                <a16:creationId xmlns:a16="http://schemas.microsoft.com/office/drawing/2014/main" id="{08149ECA-2F8D-41E6-8161-4A42880E6012}"/>
              </a:ext>
            </a:extLst>
          </xdr:cNvPr>
          <xdr:cNvSpPr txBox="1">
            <a:spLocks/>
          </xdr:cNvSpPr>
        </xdr:nvSpPr>
        <xdr:spPr bwMode="auto">
          <a:xfrm>
            <a:off x="9312224" y="10160171"/>
            <a:ext cx="4238625" cy="3355287"/>
          </a:xfrm>
          <a:prstGeom prst="rect">
            <a:avLst/>
          </a:prstGeom>
          <a:grpFill/>
          <a:ln w="9525">
            <a:noFill/>
            <a:miter lim="800000"/>
            <a:headEnd/>
            <a:tailEnd/>
          </a:ln>
        </xdr:spPr>
        <xdr:txBody>
          <a:bodyPr vert="horz" wrap="square" lIns="0" tIns="0" rIns="0" bIns="0" numCol="1" anchor="t" anchorCtr="0" compatLnSpc="1">
            <a:prstTxWarp prst="textNoShape">
              <a:avLst/>
            </a:prstTxWarp>
            <a:noAutofit/>
          </a:bodyPr>
          <a:lstStyle>
            <a:defPPr>
              <a:defRPr lang="nl-NL"/>
            </a:defPPr>
            <a:lvl1pPr algn="ctr" rtl="0" fontAlgn="base">
              <a:spcBef>
                <a:spcPct val="0"/>
              </a:spcBef>
              <a:spcAft>
                <a:spcPct val="0"/>
              </a:spcAft>
              <a:defRPr sz="2000" b="1" kern="1200">
                <a:solidFill>
                  <a:schemeClr val="tx1"/>
                </a:solidFill>
                <a:latin typeface="Trebuchet MS" pitchFamily="34" charset="0"/>
                <a:ea typeface="+mn-ea"/>
                <a:cs typeface="Arial" charset="0"/>
              </a:defRPr>
            </a:lvl1pPr>
            <a:lvl2pPr marL="457200" algn="ctr" rtl="0" fontAlgn="base">
              <a:spcBef>
                <a:spcPct val="0"/>
              </a:spcBef>
              <a:spcAft>
                <a:spcPct val="0"/>
              </a:spcAft>
              <a:defRPr sz="2000" b="1" kern="1200">
                <a:solidFill>
                  <a:schemeClr val="tx1"/>
                </a:solidFill>
                <a:latin typeface="Trebuchet MS" pitchFamily="34" charset="0"/>
                <a:ea typeface="+mn-ea"/>
                <a:cs typeface="Arial" charset="0"/>
              </a:defRPr>
            </a:lvl2pPr>
            <a:lvl3pPr marL="914400" algn="ctr" rtl="0" fontAlgn="base">
              <a:spcBef>
                <a:spcPct val="0"/>
              </a:spcBef>
              <a:spcAft>
                <a:spcPct val="0"/>
              </a:spcAft>
              <a:defRPr sz="2000" b="1" kern="1200">
                <a:solidFill>
                  <a:schemeClr val="tx1"/>
                </a:solidFill>
                <a:latin typeface="Trebuchet MS" pitchFamily="34" charset="0"/>
                <a:ea typeface="+mn-ea"/>
                <a:cs typeface="Arial" charset="0"/>
              </a:defRPr>
            </a:lvl3pPr>
            <a:lvl4pPr marL="1371600" algn="ctr" rtl="0" fontAlgn="base">
              <a:spcBef>
                <a:spcPct val="0"/>
              </a:spcBef>
              <a:spcAft>
                <a:spcPct val="0"/>
              </a:spcAft>
              <a:defRPr sz="2000" b="1" kern="1200">
                <a:solidFill>
                  <a:schemeClr val="tx1"/>
                </a:solidFill>
                <a:latin typeface="Trebuchet MS" pitchFamily="34" charset="0"/>
                <a:ea typeface="+mn-ea"/>
                <a:cs typeface="Arial" charset="0"/>
              </a:defRPr>
            </a:lvl4pPr>
            <a:lvl5pPr marL="1828800" algn="ctr" rtl="0" fontAlgn="base">
              <a:spcBef>
                <a:spcPct val="0"/>
              </a:spcBef>
              <a:spcAft>
                <a:spcPct val="0"/>
              </a:spcAft>
              <a:defRPr sz="2000" b="1" kern="1200">
                <a:solidFill>
                  <a:schemeClr val="tx1"/>
                </a:solidFill>
                <a:latin typeface="Trebuchet MS" pitchFamily="34" charset="0"/>
                <a:ea typeface="+mn-ea"/>
                <a:cs typeface="Arial" charset="0"/>
              </a:defRPr>
            </a:lvl5pPr>
            <a:lvl6pPr marL="2286000" algn="l" defTabSz="914400" rtl="0" eaLnBrk="1" latinLnBrk="0" hangingPunct="1">
              <a:defRPr sz="2000" b="1" kern="1200">
                <a:solidFill>
                  <a:schemeClr val="tx1"/>
                </a:solidFill>
                <a:latin typeface="Trebuchet MS" pitchFamily="34" charset="0"/>
                <a:ea typeface="+mn-ea"/>
                <a:cs typeface="Arial" charset="0"/>
              </a:defRPr>
            </a:lvl6pPr>
            <a:lvl7pPr marL="2743200" algn="l" defTabSz="914400" rtl="0" eaLnBrk="1" latinLnBrk="0" hangingPunct="1">
              <a:defRPr sz="2000" b="1" kern="1200">
                <a:solidFill>
                  <a:schemeClr val="tx1"/>
                </a:solidFill>
                <a:latin typeface="Trebuchet MS" pitchFamily="34" charset="0"/>
                <a:ea typeface="+mn-ea"/>
                <a:cs typeface="Arial" charset="0"/>
              </a:defRPr>
            </a:lvl7pPr>
            <a:lvl8pPr marL="3200400" algn="l" defTabSz="914400" rtl="0" eaLnBrk="1" latinLnBrk="0" hangingPunct="1">
              <a:defRPr sz="2000" b="1" kern="1200">
                <a:solidFill>
                  <a:schemeClr val="tx1"/>
                </a:solidFill>
                <a:latin typeface="Trebuchet MS" pitchFamily="34" charset="0"/>
                <a:ea typeface="+mn-ea"/>
                <a:cs typeface="Arial" charset="0"/>
              </a:defRPr>
            </a:lvl8pPr>
            <a:lvl9pPr marL="3657600" algn="l" defTabSz="914400" rtl="0" eaLnBrk="1" latinLnBrk="0" hangingPunct="1">
              <a:defRPr sz="2000" b="1" kern="1200">
                <a:solidFill>
                  <a:schemeClr val="tx1"/>
                </a:solidFill>
                <a:latin typeface="Trebuchet MS" pitchFamily="34" charset="0"/>
                <a:ea typeface="+mn-ea"/>
                <a:cs typeface="Arial" charset="0"/>
              </a:defRPr>
            </a:lvl9pPr>
          </a:lstStyle>
          <a:p>
            <a:pPr algn="l"/>
            <a:endParaRPr lang="en-US" sz="1300" b="1" i="1" kern="1200">
              <a:solidFill>
                <a:srgbClr val="0066CC"/>
              </a:solidFill>
              <a:effectLst/>
              <a:latin typeface="+mn-lt"/>
              <a:ea typeface="+mn-ea"/>
              <a:cs typeface="Arial" charset="0"/>
            </a:endParaRPr>
          </a:p>
          <a:p>
            <a:pPr algn="l"/>
            <a:r>
              <a:rPr lang="en-US" sz="1300" b="1" i="1" kern="1200">
                <a:solidFill>
                  <a:srgbClr val="0066CC"/>
                </a:solidFill>
                <a:effectLst/>
                <a:latin typeface="+mn-lt"/>
                <a:ea typeface="+mn-ea"/>
                <a:cs typeface="Arial" charset="0"/>
              </a:rPr>
              <a:t>Mass Net:  </a:t>
            </a:r>
            <a:r>
              <a:rPr lang="en-US" sz="1300" b="0" i="0" kern="1200">
                <a:solidFill>
                  <a:srgbClr val="0066CC"/>
                </a:solidFill>
                <a:effectLst/>
                <a:latin typeface="+mn-lt"/>
                <a:ea typeface="+mn-ea"/>
                <a:cs typeface="Arial" charset="0"/>
              </a:rPr>
              <a:t>Measure of total mass of resources consumed in</a:t>
            </a:r>
            <a:r>
              <a:rPr lang="en-US" sz="1300" b="0" i="0" kern="1200" baseline="0">
                <a:solidFill>
                  <a:srgbClr val="0066CC"/>
                </a:solidFill>
                <a:effectLst/>
                <a:latin typeface="+mn-lt"/>
                <a:ea typeface="+mn-ea"/>
                <a:cs typeface="Arial" charset="0"/>
              </a:rPr>
              <a:t> </a:t>
            </a:r>
            <a:r>
              <a:rPr lang="en-US" sz="1300" b="0" i="0" kern="1200">
                <a:solidFill>
                  <a:srgbClr val="0066CC"/>
                </a:solidFill>
                <a:effectLst/>
                <a:latin typeface="+mn-lt"/>
                <a:ea typeface="+mn-ea"/>
                <a:cs typeface="Arial" charset="0"/>
              </a:rPr>
              <a:t>production of given product (section excludes all water) (kg/kg).</a:t>
            </a:r>
          </a:p>
          <a:p>
            <a:pPr algn="l"/>
            <a:r>
              <a:rPr lang="en-US" sz="1300" b="1" i="1" kern="1200">
                <a:solidFill>
                  <a:srgbClr val="0066CC"/>
                </a:solidFill>
                <a:effectLst/>
                <a:latin typeface="+mn-lt"/>
                <a:ea typeface="+mn-ea"/>
                <a:cs typeface="Arial" charset="0"/>
              </a:rPr>
              <a:t> </a:t>
            </a:r>
          </a:p>
          <a:p>
            <a:pPr algn="l"/>
            <a:r>
              <a:rPr lang="en-US" sz="1300" b="1" i="1" kern="1200">
                <a:solidFill>
                  <a:srgbClr val="0066CC"/>
                </a:solidFill>
                <a:effectLst/>
                <a:latin typeface="+mn-lt"/>
                <a:ea typeface="+mn-ea"/>
                <a:cs typeface="Arial" charset="0"/>
              </a:rPr>
              <a:t>Energy: </a:t>
            </a:r>
            <a:r>
              <a:rPr lang="en-US" sz="1300" b="0" i="0" kern="1200">
                <a:solidFill>
                  <a:srgbClr val="0066CC"/>
                </a:solidFill>
                <a:effectLst/>
                <a:latin typeface="+mn-lt"/>
                <a:ea typeface="+mn-ea"/>
                <a:cs typeface="Arial" charset="0"/>
              </a:rPr>
              <a:t>Measure of the total energy input required to produce the amount of product compound in question (MJ/kg).</a:t>
            </a:r>
          </a:p>
          <a:p>
            <a:pPr algn="l"/>
            <a:endParaRPr lang="en-US" sz="1300" b="1" i="1" kern="1200">
              <a:solidFill>
                <a:srgbClr val="0066CC"/>
              </a:solidFill>
              <a:effectLst/>
              <a:latin typeface="+mn-lt"/>
              <a:ea typeface="+mn-ea"/>
              <a:cs typeface="Arial" charset="0"/>
            </a:endParaRPr>
          </a:p>
          <a:p>
            <a:pPr algn="l"/>
            <a:r>
              <a:rPr lang="en-US" sz="1300" b="1" i="1" kern="1200">
                <a:solidFill>
                  <a:srgbClr val="0066CC"/>
                </a:solidFill>
                <a:effectLst/>
                <a:latin typeface="+mn-lt"/>
                <a:ea typeface="+mn-ea"/>
                <a:cs typeface="Arial" charset="0"/>
              </a:rPr>
              <a:t>Global Warming Potential (GWP): </a:t>
            </a:r>
            <a:r>
              <a:rPr lang="en-US" sz="1300" b="0" i="0" kern="1200">
                <a:solidFill>
                  <a:srgbClr val="0066CC"/>
                </a:solidFill>
                <a:effectLst/>
                <a:latin typeface="+mn-lt"/>
                <a:ea typeface="+mn-ea"/>
                <a:cs typeface="Arial" charset="0"/>
              </a:rPr>
              <a:t>Measure of carbon emissions associated with production of a given compound (kg CO2 equivalents).</a:t>
            </a:r>
          </a:p>
          <a:p>
            <a:pPr algn="l"/>
            <a:endParaRPr lang="en-US" sz="1300" b="0" i="1" kern="1200">
              <a:solidFill>
                <a:srgbClr val="0066CC"/>
              </a:solidFill>
              <a:effectLst/>
              <a:latin typeface="+mn-lt"/>
              <a:ea typeface="+mn-ea"/>
              <a:cs typeface="Arial"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300" b="1" i="1" u="none" strike="noStrike" kern="1200" cap="none" spc="0" normalizeH="0" baseline="0" noProof="0">
                <a:ln>
                  <a:noFill/>
                </a:ln>
                <a:solidFill>
                  <a:srgbClr val="0066CC"/>
                </a:solidFill>
                <a:effectLst/>
                <a:uLnTx/>
                <a:uFillTx/>
                <a:latin typeface="Calibri"/>
                <a:ea typeface="+mn-ea"/>
                <a:cs typeface="Arial" charset="0"/>
              </a:rPr>
              <a:t>Acidification</a:t>
            </a:r>
            <a:r>
              <a:rPr kumimoji="0" lang="en-US" sz="1300" b="1" i="0" u="none" strike="noStrike" kern="1200" cap="none" spc="0" normalizeH="0" baseline="0" noProof="0">
                <a:ln>
                  <a:noFill/>
                </a:ln>
                <a:solidFill>
                  <a:srgbClr val="0066CC"/>
                </a:solidFill>
                <a:effectLst/>
                <a:uLnTx/>
                <a:uFillTx/>
                <a:latin typeface="Calibri"/>
                <a:ea typeface="+mn-ea"/>
                <a:cs typeface="Arial" charset="0"/>
              </a:rPr>
              <a:t>: </a:t>
            </a:r>
            <a:r>
              <a:rPr kumimoji="0" lang="en-US" sz="1300" b="0" i="0" u="none" strike="noStrike" kern="1200" cap="none" spc="0" normalizeH="0" baseline="0" noProof="0">
                <a:ln>
                  <a:noFill/>
                </a:ln>
                <a:solidFill>
                  <a:srgbClr val="0066CC"/>
                </a:solidFill>
                <a:effectLst/>
                <a:uLnTx/>
                <a:uFillTx/>
                <a:latin typeface="Calibri"/>
                <a:ea typeface="+mn-ea"/>
                <a:cs typeface="Arial" charset="0"/>
              </a:rPr>
              <a:t>Measure of a compound's propensity to  release H+ protons (acidic) into the </a:t>
            </a:r>
            <a:r>
              <a:rPr kumimoji="0" lang="en-GB" sz="1300" b="0" i="0" u="none" strike="noStrike" kern="1200" cap="none" spc="0" normalizeH="0" baseline="0" noProof="0">
                <a:ln>
                  <a:noFill/>
                </a:ln>
                <a:solidFill>
                  <a:srgbClr val="0066CC"/>
                </a:solidFill>
                <a:effectLst/>
                <a:uLnTx/>
                <a:uFillTx/>
                <a:latin typeface="Calibri"/>
                <a:ea typeface="+mn-ea"/>
                <a:cs typeface="Arial" charset="0"/>
              </a:rPr>
              <a:t> </a:t>
            </a:r>
            <a:r>
              <a:rPr kumimoji="0" lang="en-US" sz="1300" b="0" i="0" u="none" strike="noStrike" kern="1200" cap="none" spc="0" normalizeH="0" baseline="0" noProof="0">
                <a:ln>
                  <a:noFill/>
                </a:ln>
                <a:solidFill>
                  <a:srgbClr val="0066CC"/>
                </a:solidFill>
                <a:effectLst/>
                <a:uLnTx/>
                <a:uFillTx/>
                <a:latin typeface="Calibri"/>
                <a:ea typeface="+mn-ea"/>
                <a:cs typeface="Arial" charset="0"/>
              </a:rPr>
              <a:t>environment (kg SO</a:t>
            </a:r>
            <a:r>
              <a:rPr kumimoji="0" lang="en-US" sz="1300" b="0" i="0" u="none" strike="noStrike" kern="1200" cap="none" spc="0" normalizeH="0" baseline="-25000" noProof="0">
                <a:ln>
                  <a:noFill/>
                </a:ln>
                <a:solidFill>
                  <a:srgbClr val="0066CC"/>
                </a:solidFill>
                <a:effectLst/>
                <a:uLnTx/>
                <a:uFillTx/>
                <a:latin typeface="Calibri"/>
                <a:ea typeface="+mn-ea"/>
                <a:cs typeface="Arial" charset="0"/>
              </a:rPr>
              <a:t>2</a:t>
            </a:r>
            <a:r>
              <a:rPr kumimoji="0" lang="en-US" sz="1300" b="0" i="0" u="none" strike="noStrike" kern="1200" cap="none" spc="0" normalizeH="0" baseline="0" noProof="0">
                <a:ln>
                  <a:noFill/>
                </a:ln>
                <a:solidFill>
                  <a:srgbClr val="0066CC"/>
                </a:solidFill>
                <a:effectLst/>
                <a:uLnTx/>
                <a:uFillTx/>
                <a:latin typeface="Calibri"/>
                <a:ea typeface="+mn-ea"/>
                <a:cs typeface="Arial" charset="0"/>
              </a:rPr>
              <a:t> equivalents).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300" b="0" i="0" u="none" strike="noStrike" kern="1200" cap="none" spc="0" normalizeH="0" baseline="0" noProof="0">
              <a:ln>
                <a:noFill/>
              </a:ln>
              <a:solidFill>
                <a:srgbClr val="0066CC"/>
              </a:solidFill>
              <a:effectLst/>
              <a:uLnTx/>
              <a:uFillTx/>
              <a:latin typeface="Calibri"/>
              <a:ea typeface="+mn-ea"/>
              <a:cs typeface="Arial"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300" b="1" i="1" u="none" strike="noStrike" kern="1200" cap="none" spc="0" normalizeH="0" baseline="0" noProof="0">
                <a:ln>
                  <a:noFill/>
                </a:ln>
                <a:solidFill>
                  <a:srgbClr val="0066CC"/>
                </a:solidFill>
                <a:effectLst/>
                <a:uLnTx/>
                <a:uFillTx/>
                <a:latin typeface="Calibri"/>
                <a:ea typeface="+mn-ea"/>
                <a:cs typeface="Arial" charset="0"/>
              </a:rPr>
              <a:t>Eutrophication: </a:t>
            </a:r>
            <a:r>
              <a:rPr kumimoji="0" lang="en-US" sz="1300" b="0" i="0" u="none" strike="noStrike" kern="1200" cap="none" spc="0" normalizeH="0" baseline="0" noProof="0">
                <a:ln>
                  <a:noFill/>
                </a:ln>
                <a:solidFill>
                  <a:srgbClr val="0066CC"/>
                </a:solidFill>
                <a:effectLst/>
                <a:uLnTx/>
                <a:uFillTx/>
                <a:latin typeface="Calibri"/>
                <a:ea typeface="+mn-ea"/>
                <a:cs typeface="Arial" charset="0"/>
              </a:rPr>
              <a:t>Measure of a compound's potential to add nutrients (nitrates, phosphates) to the natural environment. Excessive eutrophication can cause hypoxia, algal blooms, and other negative environmental shifts (kg phosphate equivalents).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300" b="0" i="0" u="none" strike="noStrike" kern="1200" cap="none" spc="0" normalizeH="0" baseline="0" noProof="0">
              <a:ln>
                <a:noFill/>
              </a:ln>
              <a:solidFill>
                <a:srgbClr val="0066CC"/>
              </a:solidFill>
              <a:effectLst/>
              <a:uLnTx/>
              <a:uFillTx/>
              <a:latin typeface="Calibri"/>
              <a:ea typeface="+mn-ea"/>
              <a:cs typeface="Arial" charset="0"/>
            </a:endParaRPr>
          </a:p>
          <a:p>
            <a:pPr marL="0" marR="0" lvl="0" indent="0" algn="l" defTabSz="914400" eaLnBrk="1" fontAlgn="auto" latinLnBrk="0" hangingPunct="1">
              <a:lnSpc>
                <a:spcPct val="110000"/>
              </a:lnSpc>
              <a:spcBef>
                <a:spcPts val="0"/>
              </a:spcBef>
              <a:spcAft>
                <a:spcPts val="0"/>
              </a:spcAft>
              <a:buClrTx/>
              <a:buSzTx/>
              <a:buFontTx/>
              <a:buNone/>
              <a:tabLst/>
              <a:defRPr/>
            </a:pPr>
            <a:r>
              <a:rPr kumimoji="0" lang="en-US" sz="1300" b="1" i="1" u="none" strike="noStrike" kern="0" cap="none" spc="0" normalizeH="0" baseline="0" noProof="0">
                <a:ln>
                  <a:noFill/>
                </a:ln>
                <a:solidFill>
                  <a:srgbClr val="0066CC"/>
                </a:solidFill>
                <a:effectLst/>
                <a:uLnTx/>
                <a:uFillTx/>
                <a:latin typeface="Calibri"/>
                <a:ea typeface="+mn-ea"/>
                <a:cs typeface="+mn-cs"/>
              </a:rPr>
              <a:t>Water: </a:t>
            </a:r>
            <a:r>
              <a:rPr kumimoji="0" lang="en-US" sz="1300" b="0" i="0" u="none" strike="noStrike" kern="0" cap="none" spc="0" normalizeH="0" baseline="0" noProof="0">
                <a:ln>
                  <a:noFill/>
                </a:ln>
                <a:solidFill>
                  <a:srgbClr val="0066CC"/>
                </a:solidFill>
                <a:effectLst/>
                <a:uLnTx/>
                <a:uFillTx/>
                <a:latin typeface="Calibri"/>
                <a:ea typeface="+mn-ea"/>
                <a:cs typeface="+mn-cs"/>
              </a:rPr>
              <a:t>Measure of the amount of water used in production of a given compound (section has been updated to include water use inherent to the stepwise synthesis being evaluated) (kg/kg).</a:t>
            </a:r>
          </a:p>
          <a:p>
            <a:pPr algn="l"/>
            <a:endParaRPr lang="en-US" sz="1300" b="1" i="1" kern="1200">
              <a:solidFill>
                <a:schemeClr val="accent1"/>
              </a:solidFill>
              <a:effectLst/>
              <a:latin typeface="+mn-lt"/>
              <a:ea typeface="+mn-ea"/>
              <a:cs typeface="Arial" charset="0"/>
            </a:endParaRPr>
          </a:p>
        </xdr:txBody>
      </xdr:sp>
    </xdr:grpSp>
    <xdr:clientData/>
  </xdr:twoCellAnchor>
  <xdr:twoCellAnchor>
    <xdr:from>
      <xdr:col>0</xdr:col>
      <xdr:colOff>76200</xdr:colOff>
      <xdr:row>0</xdr:row>
      <xdr:rowOff>546100</xdr:rowOff>
    </xdr:from>
    <xdr:to>
      <xdr:col>0</xdr:col>
      <xdr:colOff>4953000</xdr:colOff>
      <xdr:row>0</xdr:row>
      <xdr:rowOff>1263650</xdr:rowOff>
    </xdr:to>
    <xdr:pic>
      <xdr:nvPicPr>
        <xdr:cNvPr id="2" name="Picture 1" descr="cid:image001.png@01D63B4F.79EA1F10">
          <a:extLst>
            <a:ext uri="{FF2B5EF4-FFF2-40B4-BE49-F238E27FC236}">
              <a16:creationId xmlns:a16="http://schemas.microsoft.com/office/drawing/2014/main" id="{3133C78C-4323-4A97-84EE-9FBF9E74229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6200" y="546100"/>
          <a:ext cx="4876800"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254000</xdr:colOff>
      <xdr:row>0</xdr:row>
      <xdr:rowOff>553357</xdr:rowOff>
    </xdr:from>
    <xdr:to>
      <xdr:col>8</xdr:col>
      <xdr:colOff>379654</xdr:colOff>
      <xdr:row>0</xdr:row>
      <xdr:rowOff>1416763</xdr:rowOff>
    </xdr:to>
    <xdr:sp macro="" textlink="">
      <xdr:nvSpPr>
        <xdr:cNvPr id="13" name="TextBox 12">
          <a:extLst>
            <a:ext uri="{FF2B5EF4-FFF2-40B4-BE49-F238E27FC236}">
              <a16:creationId xmlns:a16="http://schemas.microsoft.com/office/drawing/2014/main" id="{3CC939A1-C5DF-4492-84A4-51A311F466D3}"/>
            </a:ext>
          </a:extLst>
        </xdr:cNvPr>
        <xdr:cNvSpPr txBox="1"/>
      </xdr:nvSpPr>
      <xdr:spPr>
        <a:xfrm>
          <a:off x="10259786" y="553357"/>
          <a:ext cx="4380154" cy="8634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1" u="none" strike="noStrike" kern="1200" cap="none" spc="0" normalizeH="0" baseline="0" noProof="0">
              <a:ln>
                <a:noFill/>
              </a:ln>
              <a:solidFill>
                <a:srgbClr val="0066CC"/>
              </a:solidFill>
              <a:effectLst/>
              <a:uLnTx/>
              <a:uFillTx/>
              <a:latin typeface="+mn-lt"/>
              <a:ea typeface="+mn-ea"/>
              <a:cs typeface="Arial" charset="0"/>
            </a:rPr>
            <a:t>LCA Categories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1" u="none" strike="noStrike" kern="1200" cap="none" spc="0" normalizeH="0" baseline="0" noProof="0">
              <a:ln>
                <a:noFill/>
              </a:ln>
              <a:solidFill>
                <a:srgbClr val="0066CC"/>
              </a:solidFill>
              <a:effectLst/>
              <a:uLnTx/>
              <a:uFillTx/>
              <a:latin typeface="+mn-lt"/>
              <a:ea typeface="+mn-ea"/>
              <a:cs typeface="Arial" charset="0"/>
            </a:rPr>
            <a:t> for Sustainability Assessment</a:t>
          </a:r>
        </a:p>
      </xdr:txBody>
    </xdr:sp>
    <xdr:clientData/>
  </xdr:twoCellAnchor>
  <xdr:twoCellAnchor editAs="oneCell">
    <xdr:from>
      <xdr:col>0</xdr:col>
      <xdr:colOff>409575</xdr:colOff>
      <xdr:row>1</xdr:row>
      <xdr:rowOff>533399</xdr:rowOff>
    </xdr:from>
    <xdr:to>
      <xdr:col>2</xdr:col>
      <xdr:colOff>114220</xdr:colOff>
      <xdr:row>7</xdr:row>
      <xdr:rowOff>51053</xdr:rowOff>
    </xdr:to>
    <xdr:pic>
      <xdr:nvPicPr>
        <xdr:cNvPr id="8" name="Picture 7">
          <a:extLst>
            <a:ext uri="{FF2B5EF4-FFF2-40B4-BE49-F238E27FC236}">
              <a16:creationId xmlns:a16="http://schemas.microsoft.com/office/drawing/2014/main" id="{1AC0E90F-25D1-4372-BC67-0CF8FDA7C40A}"/>
            </a:ext>
          </a:extLst>
        </xdr:cNvPr>
        <xdr:cNvPicPr>
          <a:picLocks noChangeAspect="1"/>
        </xdr:cNvPicPr>
      </xdr:nvPicPr>
      <xdr:blipFill>
        <a:blip xmlns:r="http://schemas.openxmlformats.org/officeDocument/2006/relationships" r:embed="rId3"/>
        <a:stretch>
          <a:fillRect/>
        </a:stretch>
      </xdr:blipFill>
      <xdr:spPr>
        <a:xfrm>
          <a:off x="409575" y="1948542"/>
          <a:ext cx="9869181" cy="4252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546100</xdr:rowOff>
    </xdr:from>
    <xdr:to>
      <xdr:col>0</xdr:col>
      <xdr:colOff>4635500</xdr:colOff>
      <xdr:row>0</xdr:row>
      <xdr:rowOff>1263650</xdr:rowOff>
    </xdr:to>
    <xdr:pic>
      <xdr:nvPicPr>
        <xdr:cNvPr id="5" name="Picture 1" descr="cid:image001.png@01D63B4F.79EA1F10">
          <a:extLst>
            <a:ext uri="{FF2B5EF4-FFF2-40B4-BE49-F238E27FC236}">
              <a16:creationId xmlns:a16="http://schemas.microsoft.com/office/drawing/2014/main" id="{926A4CCA-8CD6-43E0-976F-B64FACC953D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6200" y="546100"/>
          <a:ext cx="4559300"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927652</xdr:colOff>
      <xdr:row>105</xdr:row>
      <xdr:rowOff>165652</xdr:rowOff>
    </xdr:from>
    <xdr:to>
      <xdr:col>6</xdr:col>
      <xdr:colOff>1325060</xdr:colOff>
      <xdr:row>156</xdr:row>
      <xdr:rowOff>187423</xdr:rowOff>
    </xdr:to>
    <xdr:grpSp>
      <xdr:nvGrpSpPr>
        <xdr:cNvPr id="25" name="Group 24">
          <a:extLst>
            <a:ext uri="{FF2B5EF4-FFF2-40B4-BE49-F238E27FC236}">
              <a16:creationId xmlns:a16="http://schemas.microsoft.com/office/drawing/2014/main" id="{1839DA5C-CE8B-494C-BC50-7665BC11D976}"/>
            </a:ext>
          </a:extLst>
        </xdr:cNvPr>
        <xdr:cNvGrpSpPr/>
      </xdr:nvGrpSpPr>
      <xdr:grpSpPr>
        <a:xfrm>
          <a:off x="927652" y="20815852"/>
          <a:ext cx="8836558" cy="9737271"/>
          <a:chOff x="190500" y="-166101"/>
          <a:chExt cx="11769271" cy="12967701"/>
        </a:xfrm>
      </xdr:grpSpPr>
      <xdr:sp macro="" textlink="">
        <xdr:nvSpPr>
          <xdr:cNvPr id="26" name="Rectangle 25">
            <a:extLst>
              <a:ext uri="{FF2B5EF4-FFF2-40B4-BE49-F238E27FC236}">
                <a16:creationId xmlns:a16="http://schemas.microsoft.com/office/drawing/2014/main" id="{AD017836-5FE5-4C2D-8E2B-1AB55A9C0FD2}"/>
              </a:ext>
            </a:extLst>
          </xdr:cNvPr>
          <xdr:cNvSpPr/>
        </xdr:nvSpPr>
        <xdr:spPr>
          <a:xfrm>
            <a:off x="190500" y="-166101"/>
            <a:ext cx="11277600" cy="12967701"/>
          </a:xfrm>
          <a:prstGeom prst="rect">
            <a:avLst/>
          </a:prstGeom>
          <a:solidFill>
            <a:srgbClr val="E7E6E6"/>
          </a:solid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pic>
        <xdr:nvPicPr>
          <xdr:cNvPr id="27" name="Picture 26">
            <a:extLst>
              <a:ext uri="{FF2B5EF4-FFF2-40B4-BE49-F238E27FC236}">
                <a16:creationId xmlns:a16="http://schemas.microsoft.com/office/drawing/2014/main" id="{F87C48CE-BFEF-48A9-89EB-3DE607BC97D5}"/>
              </a:ext>
            </a:extLst>
          </xdr:cNvPr>
          <xdr:cNvPicPr>
            <a:picLocks noChangeAspect="1"/>
          </xdr:cNvPicPr>
        </xdr:nvPicPr>
        <xdr:blipFill>
          <a:blip xmlns:r="http://schemas.openxmlformats.org/officeDocument/2006/relationships" r:embed="rId1"/>
          <a:stretch>
            <a:fillRect/>
          </a:stretch>
        </xdr:blipFill>
        <xdr:spPr>
          <a:xfrm>
            <a:off x="1045870" y="2865533"/>
            <a:ext cx="9422104" cy="1194588"/>
          </a:xfrm>
          <a:prstGeom prst="rect">
            <a:avLst/>
          </a:prstGeom>
          <a:solidFill>
            <a:schemeClr val="bg1"/>
          </a:solidFill>
          <a:ln w="38100">
            <a:solidFill>
              <a:schemeClr val="tx1"/>
            </a:solidFill>
          </a:ln>
        </xdr:spPr>
      </xdr:pic>
      <mc:AlternateContent xmlns:mc="http://schemas.openxmlformats.org/markup-compatibility/2006" xmlns:a14="http://schemas.microsoft.com/office/drawing/2010/main">
        <mc:Choice Requires="a14">
          <xdr:sp macro="" textlink="">
            <xdr:nvSpPr>
              <xdr:cNvPr id="28" name="Rectangle 27">
                <a:extLst>
                  <a:ext uri="{FF2B5EF4-FFF2-40B4-BE49-F238E27FC236}">
                    <a16:creationId xmlns:a16="http://schemas.microsoft.com/office/drawing/2014/main" id="{448A196B-66C7-4A32-BC95-41853902BEAC}"/>
                  </a:ext>
                </a:extLst>
              </xdr:cNvPr>
              <xdr:cNvSpPr/>
            </xdr:nvSpPr>
            <xdr:spPr>
              <a:xfrm>
                <a:off x="1045870" y="996405"/>
                <a:ext cx="8155278" cy="189776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14:m>
                  <m:oMath xmlns:m="http://schemas.openxmlformats.org/officeDocument/2006/math">
                    <m:r>
                      <a:rPr lang="en-US" sz="1400" i="1">
                        <a:latin typeface="Cambria Math" panose="02040503050406030204" pitchFamily="18" charset="0"/>
                      </a:rPr>
                      <m:t>𝑀𝑒𝑡𝑎𝑙𝑠</m:t>
                    </m:r>
                    <m:r>
                      <a:rPr lang="en-US" sz="140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f>
                      <m:fPr>
                        <m:ctrlPr>
                          <a:rPr lang="en-US" sz="1400" i="1">
                            <a:latin typeface="Cambria Math" panose="02040503050406030204" pitchFamily="18" charset="0"/>
                          </a:rPr>
                        </m:ctrlPr>
                      </m:fPr>
                      <m:num>
                        <m:d>
                          <m:dPr>
                            <m:ctrlPr>
                              <a:rPr lang="en-US" sz="1400" i="1">
                                <a:latin typeface="Cambria Math" panose="02040503050406030204" pitchFamily="18" charset="0"/>
                              </a:rPr>
                            </m:ctrlPr>
                          </m:dPr>
                          <m:e>
                            <m:r>
                              <a:rPr lang="en-US" sz="1400" i="1">
                                <a:latin typeface="Cambria Math" panose="02040503050406030204" pitchFamily="18" charset="0"/>
                              </a:rPr>
                              <m:t>𝑂𝑣𝑒𝑟𝑎𝑙𝑙</m:t>
                            </m:r>
                            <m:r>
                              <a:rPr lang="en-US" sz="140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r>
                              <a:rPr lang="en-US" sz="1400" i="0">
                                <a:latin typeface="Cambria Math" panose="02040503050406030204" pitchFamily="18" charset="0"/>
                              </a:rPr>
                              <m:t>[</m:t>
                            </m:r>
                            <m:r>
                              <m:rPr>
                                <m:sty m:val="p"/>
                              </m:rPr>
                              <a:rPr lang="en-US" sz="1400" i="0">
                                <a:latin typeface="Cambria Math" panose="02040503050406030204" pitchFamily="18" charset="0"/>
                              </a:rPr>
                              <m:t>kg</m:t>
                            </m:r>
                            <m:r>
                              <a:rPr lang="en-US" sz="1400" i="0">
                                <a:latin typeface="Cambria Math" panose="02040503050406030204" pitchFamily="18" charset="0"/>
                              </a:rPr>
                              <m:t>]</m:t>
                            </m:r>
                          </m:e>
                        </m:d>
                      </m:num>
                      <m:den>
                        <m:d>
                          <m:dPr>
                            <m:ctrlPr>
                              <a:rPr lang="en-US" sz="1400" i="1">
                                <a:latin typeface="Cambria Math" panose="02040503050406030204" pitchFamily="18" charset="0"/>
                              </a:rPr>
                            </m:ctrlPr>
                          </m:dPr>
                          <m:e>
                            <m:r>
                              <a:rPr lang="en-US" sz="1400" i="1">
                                <a:latin typeface="Cambria Math" panose="02040503050406030204" pitchFamily="18" charset="0"/>
                              </a:rPr>
                              <m:t>𝑂𝑣𝑒𝑟𝑎𝑙𝑙</m:t>
                            </m:r>
                            <m:r>
                              <a:rPr lang="en-US" sz="1400" i="1">
                                <a:latin typeface="Cambria Math" panose="02040503050406030204" pitchFamily="18" charset="0"/>
                              </a:rPr>
                              <m:t> </m:t>
                            </m:r>
                            <m:r>
                              <a:rPr lang="en-US" sz="1400" i="1">
                                <a:latin typeface="Cambria Math" panose="02040503050406030204" pitchFamily="18" charset="0"/>
                              </a:rPr>
                              <m:t>𝑀𝑊</m:t>
                            </m:r>
                          </m:e>
                        </m:d>
                      </m:den>
                    </m:f>
                    <m:r>
                      <a:rPr lang="en-US" sz="1400" i="1">
                        <a:latin typeface="Cambria Math" panose="02040503050406030204" pitchFamily="18" charset="0"/>
                      </a:rPr>
                      <m:t>×</m:t>
                    </m:r>
                    <m:nary>
                      <m:naryPr>
                        <m:chr m:val="∑"/>
                        <m:subHide m:val="on"/>
                        <m:supHide m:val="on"/>
                        <m:ctrlPr>
                          <a:rPr lang="en-US" sz="1400" i="1">
                            <a:latin typeface="Cambria Math" panose="02040503050406030204" pitchFamily="18" charset="0"/>
                          </a:rPr>
                        </m:ctrlPr>
                      </m:naryPr>
                      <m:sub/>
                      <m:sup/>
                      <m:e>
                        <m:d>
                          <m:dPr>
                            <m:ctrlPr>
                              <a:rPr lang="en-US" sz="1400" i="1">
                                <a:latin typeface="Cambria Math" panose="02040503050406030204" pitchFamily="18" charset="0"/>
                              </a:rPr>
                            </m:ctrlPr>
                          </m:dPr>
                          <m:e>
                            <m:r>
                              <a:rPr lang="en-US" sz="1400" i="1">
                                <a:latin typeface="Cambria Math" panose="02040503050406030204" pitchFamily="18" charset="0"/>
                              </a:rPr>
                              <m:t>𝑀𝑒𝑡𝑎𝑙𝑠</m:t>
                            </m:r>
                            <m:r>
                              <a:rPr lang="en-US" sz="1400" i="1">
                                <a:latin typeface="Cambria Math" panose="02040503050406030204" pitchFamily="18" charset="0"/>
                              </a:rPr>
                              <m:t> </m:t>
                            </m:r>
                            <m:r>
                              <a:rPr lang="en-US" sz="1400" i="1">
                                <a:latin typeface="Cambria Math" panose="02040503050406030204" pitchFamily="18" charset="0"/>
                              </a:rPr>
                              <m:t>𝑀𝑊</m:t>
                            </m:r>
                          </m:e>
                        </m:d>
                      </m:e>
                    </m:nary>
                  </m:oMath>
                </a14:m>
                <a:r>
                  <a:rPr lang="en-US" sz="1400" i="1">
                    <a:latin typeface="Cambria Math" panose="02040503050406030204" pitchFamily="18" charset="0"/>
                  </a:rPr>
                  <a:t> </a:t>
                </a:r>
              </a:p>
              <a:p>
                <a:r>
                  <a:rPr lang="en-US" sz="1400"/>
                  <a:t>	</a:t>
                </a:r>
                <a14:m>
                  <m:oMath xmlns:m="http://schemas.openxmlformats.org/officeDocument/2006/math">
                    <m:r>
                      <a:rPr lang="en-US" sz="1400" i="1">
                        <a:latin typeface="Cambria Math" panose="02040503050406030204" pitchFamily="18" charset="0"/>
                      </a:rPr>
                      <m:t>𝑁𝑜𝑛𝑚𝑒𝑡𝑎𝑙𝑠</m:t>
                    </m:r>
                    <m:r>
                      <a:rPr lang="en-US" sz="140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f>
                      <m:fPr>
                        <m:ctrlPr>
                          <a:rPr lang="en-US" sz="1400" i="1">
                            <a:latin typeface="Cambria Math" panose="02040503050406030204" pitchFamily="18" charset="0"/>
                          </a:rPr>
                        </m:ctrlPr>
                      </m:fPr>
                      <m:num>
                        <m:d>
                          <m:dPr>
                            <m:ctrlPr>
                              <a:rPr lang="en-US" sz="1400" i="1">
                                <a:latin typeface="Cambria Math" panose="02040503050406030204" pitchFamily="18" charset="0"/>
                              </a:rPr>
                            </m:ctrlPr>
                          </m:dPr>
                          <m:e>
                            <m:r>
                              <a:rPr lang="en-US" sz="1400" i="1">
                                <a:latin typeface="Cambria Math" panose="02040503050406030204" pitchFamily="18" charset="0"/>
                              </a:rPr>
                              <m:t>𝑂𝑣𝑒𝑟𝑎𝑙𝑙</m:t>
                            </m:r>
                            <m:r>
                              <a:rPr lang="en-US" sz="140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r>
                              <a:rPr lang="en-US" sz="1400" i="0">
                                <a:latin typeface="Cambria Math" panose="02040503050406030204" pitchFamily="18" charset="0"/>
                              </a:rPr>
                              <m:t>[</m:t>
                            </m:r>
                            <m:r>
                              <m:rPr>
                                <m:sty m:val="p"/>
                              </m:rPr>
                              <a:rPr lang="en-US" sz="1400" i="0">
                                <a:latin typeface="Cambria Math" panose="02040503050406030204" pitchFamily="18" charset="0"/>
                              </a:rPr>
                              <m:t>kg</m:t>
                            </m:r>
                            <m:r>
                              <a:rPr lang="en-US" sz="1400" i="0">
                                <a:latin typeface="Cambria Math" panose="02040503050406030204" pitchFamily="18" charset="0"/>
                              </a:rPr>
                              <m:t>]</m:t>
                            </m:r>
                          </m:e>
                        </m:d>
                      </m:num>
                      <m:den>
                        <m:d>
                          <m:dPr>
                            <m:ctrlPr>
                              <a:rPr lang="en-US" sz="1400" i="1">
                                <a:latin typeface="Cambria Math" panose="02040503050406030204" pitchFamily="18" charset="0"/>
                              </a:rPr>
                            </m:ctrlPr>
                          </m:dPr>
                          <m:e>
                            <m:r>
                              <a:rPr lang="en-US" sz="1400" i="1">
                                <a:latin typeface="Cambria Math" panose="02040503050406030204" pitchFamily="18" charset="0"/>
                              </a:rPr>
                              <m:t>𝑂𝑣𝑒𝑟𝑎𝑙𝑙</m:t>
                            </m:r>
                            <m:r>
                              <a:rPr lang="en-US" sz="1400" i="1">
                                <a:latin typeface="Cambria Math" panose="02040503050406030204" pitchFamily="18" charset="0"/>
                              </a:rPr>
                              <m:t> </m:t>
                            </m:r>
                            <m:r>
                              <a:rPr lang="en-US" sz="1400" i="1">
                                <a:latin typeface="Cambria Math" panose="02040503050406030204" pitchFamily="18" charset="0"/>
                              </a:rPr>
                              <m:t>𝑀𝑊</m:t>
                            </m:r>
                          </m:e>
                        </m:d>
                      </m:den>
                    </m:f>
                    <m:r>
                      <a:rPr lang="en-US" sz="1400" i="1">
                        <a:latin typeface="Cambria Math" panose="02040503050406030204" pitchFamily="18" charset="0"/>
                      </a:rPr>
                      <m:t>×</m:t>
                    </m:r>
                    <m:nary>
                      <m:naryPr>
                        <m:chr m:val="∑"/>
                        <m:subHide m:val="on"/>
                        <m:supHide m:val="on"/>
                        <m:ctrlPr>
                          <a:rPr lang="en-US" sz="1400" i="1">
                            <a:latin typeface="Cambria Math" panose="02040503050406030204" pitchFamily="18" charset="0"/>
                          </a:rPr>
                        </m:ctrlPr>
                      </m:naryPr>
                      <m:sub/>
                      <m:sup/>
                      <m:e>
                        <m:d>
                          <m:dPr>
                            <m:ctrlPr>
                              <a:rPr lang="en-US" sz="1400" i="1">
                                <a:latin typeface="Cambria Math" panose="02040503050406030204" pitchFamily="18" charset="0"/>
                              </a:rPr>
                            </m:ctrlPr>
                          </m:dPr>
                          <m:e>
                            <m:r>
                              <a:rPr lang="en-US" sz="1400" i="1">
                                <a:latin typeface="Cambria Math" panose="02040503050406030204" pitchFamily="18" charset="0"/>
                              </a:rPr>
                              <m:t>𝑁𝑜𝑛𝑚𝑒𝑡𝑎𝑙𝑠</m:t>
                            </m:r>
                            <m:r>
                              <a:rPr lang="en-US" sz="1400" i="1">
                                <a:latin typeface="Cambria Math" panose="02040503050406030204" pitchFamily="18" charset="0"/>
                              </a:rPr>
                              <m:t> </m:t>
                            </m:r>
                            <m:r>
                              <a:rPr lang="en-US" sz="1400" i="1">
                                <a:latin typeface="Cambria Math" panose="02040503050406030204" pitchFamily="18" charset="0"/>
                              </a:rPr>
                              <m:t>𝑀𝑊</m:t>
                            </m:r>
                          </m:e>
                        </m:d>
                      </m:e>
                    </m:nary>
                  </m:oMath>
                </a14:m>
                <a:r>
                  <a:rPr lang="en-US" sz="1400"/>
                  <a:t>  </a:t>
                </a:r>
              </a:p>
              <a:p>
                <a:endParaRPr lang="en-US" sz="1400" b="1">
                  <a:latin typeface="Cambria Math" panose="02040503050406030204" pitchFamily="18" charset="0"/>
                </a:endParaRPr>
              </a:p>
              <a:p>
                <a:r>
                  <a:rPr lang="en-US" sz="1400" b="1">
                    <a:latin typeface="Cambria Math" panose="02040503050406030204" pitchFamily="18" charset="0"/>
                  </a:rPr>
                  <a:t>Example: </a:t>
                </a:r>
                <a:r>
                  <a:rPr lang="en-US" sz="1400">
                    <a:latin typeface="Cambria Math" panose="02040503050406030204" pitchFamily="18" charset="0"/>
                  </a:rPr>
                  <a:t>Charge 1.5kg of lithium bis(trimethylsilyl)amide.</a:t>
                </a:r>
              </a:p>
            </xdr:txBody>
          </xdr:sp>
        </mc:Choice>
        <mc:Fallback xmlns="">
          <xdr:sp macro="" textlink="">
            <xdr:nvSpPr>
              <xdr:cNvPr id="28" name="Rectangle 27">
                <a:extLst>
                  <a:ext uri="{FF2B5EF4-FFF2-40B4-BE49-F238E27FC236}">
                    <a16:creationId xmlns:a16="http://schemas.microsoft.com/office/drawing/2014/main" id="{448A196B-66C7-4A32-BC95-41853902BEAC}"/>
                  </a:ext>
                </a:extLst>
              </xdr:cNvPr>
              <xdr:cNvSpPr/>
            </xdr:nvSpPr>
            <xdr:spPr>
              <a:xfrm>
                <a:off x="1045870" y="996405"/>
                <a:ext cx="8155278" cy="189776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r>
                  <a:rPr lang="en-US" sz="1400" i="0">
                    <a:latin typeface="Cambria Math" panose="02040503050406030204" pitchFamily="18" charset="0"/>
                  </a:rPr>
                  <a:t>𝑀𝑒𝑡𝑎𝑙𝑠 𝑀𝑎𝑠𝑠 [𝑘𝑔]=((𝑂𝑣𝑒𝑟𝑎𝑙𝑙 𝑀𝑎𝑠𝑠 [kg]))/((𝑂𝑣𝑒𝑟𝑎𝑙𝑙 𝑀𝑊) )×∑▒(𝑀𝑒𝑡𝑎𝑙𝑠 𝑀𝑊) </a:t>
                </a:r>
                <a:r>
                  <a:rPr lang="en-US" sz="1400" i="1">
                    <a:latin typeface="Cambria Math" panose="02040503050406030204" pitchFamily="18" charset="0"/>
                  </a:rPr>
                  <a:t> </a:t>
                </a:r>
              </a:p>
              <a:p>
                <a:r>
                  <a:rPr lang="en-US" sz="1400"/>
                  <a:t>	</a:t>
                </a:r>
                <a:r>
                  <a:rPr lang="en-US" sz="1400" i="0">
                    <a:latin typeface="Cambria Math" panose="02040503050406030204" pitchFamily="18" charset="0"/>
                  </a:rPr>
                  <a:t>𝑁𝑜𝑛𝑚𝑒𝑡𝑎𝑙𝑠 𝑀𝑎𝑠𝑠 [𝑘𝑔]=((𝑂𝑣𝑒𝑟𝑎𝑙𝑙 𝑀𝑎𝑠𝑠 [kg]))/((𝑂𝑣𝑒𝑟𝑎𝑙𝑙 𝑀𝑊) )×∑▒(𝑁𝑜𝑛𝑚𝑒𝑡𝑎𝑙𝑠 𝑀𝑊) </a:t>
                </a:r>
                <a:r>
                  <a:rPr lang="en-US" sz="1400"/>
                  <a:t>  </a:t>
                </a:r>
              </a:p>
              <a:p>
                <a:endParaRPr lang="en-US" sz="1400" b="1">
                  <a:latin typeface="Cambria Math" panose="02040503050406030204" pitchFamily="18" charset="0"/>
                </a:endParaRPr>
              </a:p>
              <a:p>
                <a:r>
                  <a:rPr lang="en-US" sz="1400" b="1">
                    <a:latin typeface="Cambria Math" panose="02040503050406030204" pitchFamily="18" charset="0"/>
                  </a:rPr>
                  <a:t>Example: </a:t>
                </a:r>
                <a:r>
                  <a:rPr lang="en-US" sz="1400">
                    <a:latin typeface="Cambria Math" panose="02040503050406030204" pitchFamily="18" charset="0"/>
                  </a:rPr>
                  <a:t>Charge 1.5kg of lithium bis(trimethylsilyl)amide.</a:t>
                </a:r>
              </a:p>
            </xdr:txBody>
          </xdr:sp>
        </mc:Fallback>
      </mc:AlternateContent>
      <xdr:sp macro="" textlink="">
        <xdr:nvSpPr>
          <xdr:cNvPr id="29" name="Rectangle 28">
            <a:extLst>
              <a:ext uri="{FF2B5EF4-FFF2-40B4-BE49-F238E27FC236}">
                <a16:creationId xmlns:a16="http://schemas.microsoft.com/office/drawing/2014/main" id="{6C080F7E-A770-46C8-9ECB-11E07F494891}"/>
              </a:ext>
            </a:extLst>
          </xdr:cNvPr>
          <xdr:cNvSpPr/>
        </xdr:nvSpPr>
        <xdr:spPr>
          <a:xfrm>
            <a:off x="331496" y="558505"/>
            <a:ext cx="7029450" cy="45087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atin typeface="Cambria Math" panose="02040503050406030204" pitchFamily="18" charset="0"/>
              </a:rPr>
              <a:t>Charging a complex reagent with a special metal:</a:t>
            </a:r>
            <a:endParaRPr lang="en-US" sz="1600" b="1"/>
          </a:p>
        </xdr:txBody>
      </xdr:sp>
      <mc:AlternateContent xmlns:mc="http://schemas.openxmlformats.org/markup-compatibility/2006" xmlns:a14="http://schemas.microsoft.com/office/drawing/2010/main">
        <mc:Choice Requires="a14">
          <xdr:sp macro="" textlink="">
            <xdr:nvSpPr>
              <xdr:cNvPr id="30" name="Rectangle 29">
                <a:extLst>
                  <a:ext uri="{FF2B5EF4-FFF2-40B4-BE49-F238E27FC236}">
                    <a16:creationId xmlns:a16="http://schemas.microsoft.com/office/drawing/2014/main" id="{241825E3-47D5-45EE-8D1C-0380FD716F8C}"/>
                  </a:ext>
                </a:extLst>
              </xdr:cNvPr>
              <xdr:cNvSpPr/>
            </xdr:nvSpPr>
            <xdr:spPr>
              <a:xfrm>
                <a:off x="1045870" y="4794371"/>
                <a:ext cx="8155278" cy="21313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14:m>
                  <m:oMath xmlns:m="http://schemas.openxmlformats.org/officeDocument/2006/math">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𝐴</m:t>
                    </m:r>
                    <m:r>
                      <a:rPr lang="en-US" sz="140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𝐴</m:t>
                        </m:r>
                        <m:r>
                          <a:rPr lang="en-US" sz="1400" b="0" i="1">
                            <a:latin typeface="Cambria Math" panose="02040503050406030204" pitchFamily="18" charset="0"/>
                          </a:rPr>
                          <m:t> </m:t>
                        </m:r>
                        <m:r>
                          <a:rPr lang="en-US" sz="1400" b="0" i="1">
                            <a:latin typeface="Cambria Math" panose="02040503050406030204" pitchFamily="18" charset="0"/>
                          </a:rPr>
                          <m:t>𝑤𝑒𝑖𝑔h𝑡</m:t>
                        </m:r>
                        <m:r>
                          <a:rPr lang="en-US" sz="1400" b="0" i="1">
                            <a:latin typeface="Cambria Math" panose="02040503050406030204" pitchFamily="18" charset="0"/>
                          </a:rPr>
                          <m:t> %</m:t>
                        </m:r>
                      </m:e>
                    </m:d>
                  </m:oMath>
                </a14:m>
                <a:r>
                  <a:rPr lang="en-US" sz="1400" i="1">
                    <a:latin typeface="Cambria Math" panose="02040503050406030204" pitchFamily="18" charset="0"/>
                  </a:rPr>
                  <a:t> </a:t>
                </a:r>
              </a:p>
              <a:p>
                <a:r>
                  <a:rPr lang="en-US" sz="1400"/>
                  <a:t>	</a:t>
                </a:r>
                <a14:m>
                  <m:oMath xmlns:m="http://schemas.openxmlformats.org/officeDocument/2006/math">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𝐵</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𝐵</m:t>
                        </m:r>
                        <m:r>
                          <a:rPr lang="en-US" sz="1400" b="0" i="1">
                            <a:latin typeface="Cambria Math" panose="02040503050406030204" pitchFamily="18" charset="0"/>
                          </a:rPr>
                          <m:t> </m:t>
                        </m:r>
                        <m:r>
                          <a:rPr lang="en-US" sz="1400" b="0" i="1">
                            <a:latin typeface="Cambria Math" panose="02040503050406030204" pitchFamily="18" charset="0"/>
                          </a:rPr>
                          <m:t>𝑤𝑒𝑖𝑔h𝑡</m:t>
                        </m:r>
                        <m:r>
                          <a:rPr lang="en-US" sz="1400" b="0" i="1">
                            <a:latin typeface="Cambria Math" panose="02040503050406030204" pitchFamily="18" charset="0"/>
                          </a:rPr>
                          <m:t> %</m:t>
                        </m:r>
                      </m:e>
                    </m:d>
                  </m:oMath>
                </a14:m>
                <a:r>
                  <a:rPr lang="en-US" sz="1400" i="1">
                    <a:latin typeface="Cambria Math" panose="02040503050406030204" pitchFamily="18" charset="0"/>
                  </a:rPr>
                  <a:t> </a:t>
                </a:r>
                <a:endParaRPr lang="en-US" sz="1400"/>
              </a:p>
              <a:p>
                <a:r>
                  <a:rPr lang="en-US" sz="1400"/>
                  <a:t>	</a:t>
                </a:r>
                <a14:m>
                  <m:oMath xmlns:m="http://schemas.openxmlformats.org/officeDocument/2006/math">
                    <m:r>
                      <a:rPr lang="en-US" sz="1400" b="0" i="1">
                        <a:latin typeface="Cambria Math" panose="02040503050406030204" pitchFamily="18" charset="0"/>
                      </a:rPr>
                      <m:t>𝑆𝑜𝑙𝑣𝑒𝑛𝑡</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100−</m:t>
                        </m:r>
                        <m:nary>
                          <m:naryPr>
                            <m:chr m:val="∑"/>
                            <m:subHide m:val="on"/>
                            <m:supHide m:val="on"/>
                            <m:ctrlPr>
                              <a:rPr lang="en-US" sz="1400" b="0" i="1">
                                <a:latin typeface="Cambria Math" panose="02040503050406030204" pitchFamily="18" charset="0"/>
                              </a:rPr>
                            </m:ctrlPr>
                          </m:naryPr>
                          <m:sub/>
                          <m:sup/>
                          <m:e>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𝑤𝑡</m:t>
                            </m:r>
                            <m:r>
                              <a:rPr lang="en-US" sz="1400" b="0" i="1">
                                <a:latin typeface="Cambria Math" panose="02040503050406030204" pitchFamily="18" charset="0"/>
                              </a:rPr>
                              <m:t> %</m:t>
                            </m:r>
                          </m:e>
                        </m:nary>
                      </m:e>
                    </m:d>
                  </m:oMath>
                </a14:m>
                <a:r>
                  <a:rPr lang="en-US" sz="1400"/>
                  <a:t>  </a:t>
                </a:r>
              </a:p>
              <a:p>
                <a:r>
                  <a:rPr lang="en-US" sz="1400"/>
                  <a:t>	</a:t>
                </a:r>
                <a14:m>
                  <m:oMath xmlns:m="http://schemas.openxmlformats.org/officeDocument/2006/math">
                    <m:r>
                      <a:rPr lang="en-US" sz="1400" b="0" i="1">
                        <a:latin typeface="Cambria Math" panose="02040503050406030204" pitchFamily="18" charset="0"/>
                      </a:rPr>
                      <m:t>𝑂𝑢𝑡𝑝𝑢𝑡</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r>
                      <a:rPr lang="en-US" sz="1400" b="0" i="1">
                        <a:latin typeface="Cambria Math" panose="02040503050406030204" pitchFamily="18" charset="0"/>
                      </a:rPr>
                      <m:t>1</m:t>
                    </m:r>
                  </m:oMath>
                </a14:m>
                <a:r>
                  <a:rPr lang="en-US" sz="1400" b="0"/>
                  <a:t>00 (or </a:t>
                </a:r>
                <a14:m>
                  <m:oMath xmlns:m="http://schemas.openxmlformats.org/officeDocument/2006/math">
                    <m:nary>
                      <m:naryPr>
                        <m:chr m:val="∑"/>
                        <m:subHide m:val="on"/>
                        <m:supHide m:val="on"/>
                        <m:ctrlPr>
                          <a:rPr lang="en-US" sz="1400" b="0" i="1">
                            <a:latin typeface="Cambria Math" panose="02040503050406030204" pitchFamily="18" charset="0"/>
                          </a:rPr>
                        </m:ctrlPr>
                      </m:naryPr>
                      <m:sub/>
                      <m:sup/>
                      <m:e>
                        <m:r>
                          <a:rPr lang="en-US" sz="1400" b="0" i="1">
                            <a:latin typeface="Cambria Math" panose="02040503050406030204" pitchFamily="18" charset="0"/>
                          </a:rPr>
                          <m:t>𝑆𝑜𝑙𝑣𝑒𝑛𝑡</m:t>
                        </m:r>
                        <m:r>
                          <a:rPr lang="en-US" sz="1400" b="0" i="1">
                            <a:latin typeface="Cambria Math" panose="02040503050406030204" pitchFamily="18" charset="0"/>
                          </a:rPr>
                          <m:t>+</m:t>
                        </m:r>
                        <m:r>
                          <a:rPr lang="en-US" sz="1400" b="0" i="1">
                            <a:latin typeface="Cambria Math" panose="02040503050406030204" pitchFamily="18" charset="0"/>
                          </a:rPr>
                          <m:t>𝑆𝑜𝑙𝑢𝑡𝑒</m:t>
                        </m:r>
                      </m:e>
                    </m:nary>
                  </m:oMath>
                </a14:m>
                <a:r>
                  <a:rPr lang="en-US" sz="1400" b="0"/>
                  <a:t>)</a:t>
                </a:r>
              </a:p>
              <a:p>
                <a:br>
                  <a:rPr lang="en-US" sz="1400" b="1">
                    <a:latin typeface="Cambria Math" panose="02040503050406030204" pitchFamily="18" charset="0"/>
                  </a:rPr>
                </a:br>
                <a:r>
                  <a:rPr lang="en-US" sz="1400" b="1">
                    <a:latin typeface="Cambria Math" panose="02040503050406030204" pitchFamily="18" charset="0"/>
                  </a:rPr>
                  <a:t>Example: </a:t>
                </a:r>
                <a:r>
                  <a:rPr lang="en-US" sz="1400">
                    <a:latin typeface="Cambria Math" panose="02040503050406030204" pitchFamily="18" charset="0"/>
                  </a:rPr>
                  <a:t>Aqueous solution with 10 wt% NaCl and 5 wt% MgCl</a:t>
                </a:r>
                <a:r>
                  <a:rPr lang="en-US" sz="1400" baseline="-25000">
                    <a:latin typeface="Cambria Math" panose="02040503050406030204" pitchFamily="18" charset="0"/>
                  </a:rPr>
                  <a:t>2</a:t>
                </a:r>
              </a:p>
            </xdr:txBody>
          </xdr:sp>
        </mc:Choice>
        <mc:Fallback xmlns="">
          <xdr:sp macro="" textlink="">
            <xdr:nvSpPr>
              <xdr:cNvPr id="30" name="Rectangle 29">
                <a:extLst>
                  <a:ext uri="{FF2B5EF4-FFF2-40B4-BE49-F238E27FC236}">
                    <a16:creationId xmlns:a16="http://schemas.microsoft.com/office/drawing/2014/main" id="{241825E3-47D5-45EE-8D1C-0380FD716F8C}"/>
                  </a:ext>
                </a:extLst>
              </xdr:cNvPr>
              <xdr:cNvSpPr/>
            </xdr:nvSpPr>
            <xdr:spPr>
              <a:xfrm>
                <a:off x="1045870" y="4794371"/>
                <a:ext cx="8155278" cy="21313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r>
                  <a:rPr lang="en-US" sz="1400" b="0" i="0">
                    <a:latin typeface="Cambria Math" panose="02040503050406030204" pitchFamily="18" charset="0"/>
                  </a:rPr>
                  <a:t>𝑆𝑜𝑙𝑢𝑡𝑒 𝐴</a:t>
                </a:r>
                <a:r>
                  <a:rPr lang="en-US" sz="1400" i="0">
                    <a:latin typeface="Cambria Math" panose="02040503050406030204" pitchFamily="18" charset="0"/>
                  </a:rPr>
                  <a:t> 𝑀𝑎𝑠𝑠 [𝑘𝑔]=</a:t>
                </a:r>
                <a:r>
                  <a:rPr lang="en-US" sz="1400" b="0" i="0">
                    <a:latin typeface="Cambria Math" panose="02040503050406030204" pitchFamily="18" charset="0"/>
                  </a:rPr>
                  <a:t>(𝑆𝑜𝑙𝑢𝑡𝑒 𝐴 𝑤𝑒𝑖𝑔ℎ𝑡 %)</a:t>
                </a:r>
                <a:r>
                  <a:rPr lang="en-US" sz="1400" i="1">
                    <a:latin typeface="Cambria Math" panose="02040503050406030204" pitchFamily="18" charset="0"/>
                  </a:rPr>
                  <a:t> </a:t>
                </a:r>
              </a:p>
              <a:p>
                <a:r>
                  <a:rPr lang="en-US" sz="1400"/>
                  <a:t>	</a:t>
                </a:r>
                <a:r>
                  <a:rPr lang="en-US" sz="1400" b="0" i="0">
                    <a:latin typeface="Cambria Math" panose="02040503050406030204" pitchFamily="18" charset="0"/>
                  </a:rPr>
                  <a:t>𝑆𝑜𝑙𝑢𝑡𝑒 𝐵 </a:t>
                </a:r>
                <a:r>
                  <a:rPr lang="en-US" sz="1400" i="0">
                    <a:latin typeface="Cambria Math" panose="02040503050406030204" pitchFamily="18" charset="0"/>
                  </a:rPr>
                  <a:t>𝑀𝑎𝑠𝑠 [𝑘𝑔]=</a:t>
                </a:r>
                <a:r>
                  <a:rPr lang="en-US" sz="1400" b="0" i="0">
                    <a:latin typeface="Cambria Math" panose="02040503050406030204" pitchFamily="18" charset="0"/>
                  </a:rPr>
                  <a:t>(𝑆𝑜𝑙𝑢𝑡𝑒 𝐵 𝑤𝑒𝑖𝑔ℎ𝑡 %)</a:t>
                </a:r>
                <a:r>
                  <a:rPr lang="en-US" sz="1400" i="1">
                    <a:latin typeface="Cambria Math" panose="02040503050406030204" pitchFamily="18" charset="0"/>
                  </a:rPr>
                  <a:t> </a:t>
                </a:r>
                <a:endParaRPr lang="en-US" sz="1400"/>
              </a:p>
              <a:p>
                <a:r>
                  <a:rPr lang="en-US" sz="1400"/>
                  <a:t>	</a:t>
                </a:r>
                <a:r>
                  <a:rPr lang="en-US" sz="1400" b="0" i="0">
                    <a:latin typeface="Cambria Math" panose="02040503050406030204" pitchFamily="18" charset="0"/>
                  </a:rPr>
                  <a:t>𝑆𝑜𝑙𝑣𝑒𝑛𝑡 </a:t>
                </a:r>
                <a:r>
                  <a:rPr lang="en-US" sz="1400" i="0">
                    <a:latin typeface="Cambria Math" panose="02040503050406030204" pitchFamily="18" charset="0"/>
                  </a:rPr>
                  <a:t>𝑀𝑎𝑠𝑠 [𝑘𝑔]=</a:t>
                </a:r>
                <a:r>
                  <a:rPr lang="en-US" sz="1400" b="0" i="0">
                    <a:latin typeface="Cambria Math" panose="02040503050406030204" pitchFamily="18" charset="0"/>
                  </a:rPr>
                  <a:t>(100−∑▒〖𝑆𝑜𝑙𝑢𝑡𝑒 𝑤𝑡 %〗)</a:t>
                </a:r>
                <a:r>
                  <a:rPr lang="en-US" sz="1400"/>
                  <a:t>  </a:t>
                </a:r>
              </a:p>
              <a:p>
                <a:r>
                  <a:rPr lang="en-US" sz="1400"/>
                  <a:t>	</a:t>
                </a:r>
                <a:r>
                  <a:rPr lang="en-US" sz="1400" b="0" i="0">
                    <a:latin typeface="Cambria Math" panose="02040503050406030204" pitchFamily="18" charset="0"/>
                  </a:rPr>
                  <a:t>𝑂𝑢𝑡𝑝𝑢𝑡 </a:t>
                </a:r>
                <a:r>
                  <a:rPr lang="en-US" sz="1400" i="0">
                    <a:latin typeface="Cambria Math" panose="02040503050406030204" pitchFamily="18" charset="0"/>
                  </a:rPr>
                  <a:t>𝑀𝑎𝑠𝑠 [𝑘𝑔]=</a:t>
                </a:r>
                <a:r>
                  <a:rPr lang="en-US" sz="1400" b="0" i="0">
                    <a:latin typeface="Cambria Math" panose="02040503050406030204" pitchFamily="18" charset="0"/>
                  </a:rPr>
                  <a:t>1</a:t>
                </a:r>
                <a:r>
                  <a:rPr lang="en-US" sz="1400" b="0"/>
                  <a:t>00 (or </a:t>
                </a:r>
                <a:r>
                  <a:rPr lang="en-US" sz="1400" b="0" i="0">
                    <a:latin typeface="Cambria Math" panose="02040503050406030204" pitchFamily="18" charset="0"/>
                  </a:rPr>
                  <a:t>∑▒〖𝑆𝑜𝑙𝑣𝑒𝑛𝑡+𝑆𝑜𝑙𝑢𝑡𝑒〗</a:t>
                </a:r>
                <a:r>
                  <a:rPr lang="en-US" sz="1400" b="0"/>
                  <a:t>)</a:t>
                </a:r>
              </a:p>
              <a:p>
                <a:br>
                  <a:rPr lang="en-US" sz="1400" b="1">
                    <a:latin typeface="Cambria Math" panose="02040503050406030204" pitchFamily="18" charset="0"/>
                  </a:rPr>
                </a:br>
                <a:r>
                  <a:rPr lang="en-US" sz="1400" b="1">
                    <a:latin typeface="Cambria Math" panose="02040503050406030204" pitchFamily="18" charset="0"/>
                  </a:rPr>
                  <a:t>Example: </a:t>
                </a:r>
                <a:r>
                  <a:rPr lang="en-US" sz="1400">
                    <a:latin typeface="Cambria Math" panose="02040503050406030204" pitchFamily="18" charset="0"/>
                  </a:rPr>
                  <a:t>Aqueous solution with 10 wt% NaCl and 5 wt% MgCl</a:t>
                </a:r>
                <a:r>
                  <a:rPr lang="en-US" sz="1400" baseline="-25000">
                    <a:latin typeface="Cambria Math" panose="02040503050406030204" pitchFamily="18" charset="0"/>
                  </a:rPr>
                  <a:t>2</a:t>
                </a:r>
              </a:p>
            </xdr:txBody>
          </xdr:sp>
        </mc:Fallback>
      </mc:AlternateContent>
      <xdr:sp macro="" textlink="">
        <xdr:nvSpPr>
          <xdr:cNvPr id="31" name="Rectangle 30">
            <a:extLst>
              <a:ext uri="{FF2B5EF4-FFF2-40B4-BE49-F238E27FC236}">
                <a16:creationId xmlns:a16="http://schemas.microsoft.com/office/drawing/2014/main" id="{CCE8B9AB-7917-45FA-845D-7BD8018B8605}"/>
              </a:ext>
            </a:extLst>
          </xdr:cNvPr>
          <xdr:cNvSpPr/>
        </xdr:nvSpPr>
        <xdr:spPr>
          <a:xfrm>
            <a:off x="331496" y="4356471"/>
            <a:ext cx="7029450" cy="45087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atin typeface="Cambria Math" panose="02040503050406030204" pitchFamily="18" charset="0"/>
              </a:rPr>
              <a:t>Define a solution by weight percent or mass fraction</a:t>
            </a:r>
            <a:endParaRPr lang="en-US" sz="1600" b="1"/>
          </a:p>
        </xdr:txBody>
      </xdr:sp>
      <xdr:pic>
        <xdr:nvPicPr>
          <xdr:cNvPr id="32" name="Picture 31">
            <a:extLst>
              <a:ext uri="{FF2B5EF4-FFF2-40B4-BE49-F238E27FC236}">
                <a16:creationId xmlns:a16="http://schemas.microsoft.com/office/drawing/2014/main" id="{0AF3841B-DFF3-400D-9DE1-B9601621CCD3}"/>
              </a:ext>
            </a:extLst>
          </xdr:cNvPr>
          <xdr:cNvPicPr>
            <a:picLocks noChangeAspect="1"/>
          </xdr:cNvPicPr>
        </xdr:nvPicPr>
        <xdr:blipFill>
          <a:blip xmlns:r="http://schemas.openxmlformats.org/officeDocument/2006/relationships" r:embed="rId2"/>
          <a:stretch>
            <a:fillRect/>
          </a:stretch>
        </xdr:blipFill>
        <xdr:spPr>
          <a:xfrm>
            <a:off x="1045870" y="6909529"/>
            <a:ext cx="10164454" cy="1553220"/>
          </a:xfrm>
          <a:prstGeom prst="rect">
            <a:avLst/>
          </a:prstGeom>
          <a:ln w="38100">
            <a:solidFill>
              <a:schemeClr val="tx1"/>
            </a:solidFill>
          </a:ln>
        </xdr:spPr>
      </xdr:pic>
      <mc:AlternateContent xmlns:mc="http://schemas.openxmlformats.org/markup-compatibility/2006" xmlns:a14="http://schemas.microsoft.com/office/drawing/2010/main">
        <mc:Choice Requires="a14">
          <xdr:sp macro="" textlink="">
            <xdr:nvSpPr>
              <xdr:cNvPr id="33" name="Rectangle 32">
                <a:extLst>
                  <a:ext uri="{FF2B5EF4-FFF2-40B4-BE49-F238E27FC236}">
                    <a16:creationId xmlns:a16="http://schemas.microsoft.com/office/drawing/2014/main" id="{7B4C6D2B-8B86-4596-8454-D2A867E9B05A}"/>
                  </a:ext>
                </a:extLst>
              </xdr:cNvPr>
              <xdr:cNvSpPr/>
            </xdr:nvSpPr>
            <xdr:spPr>
              <a:xfrm>
                <a:off x="1045870" y="9146993"/>
                <a:ext cx="10913901" cy="216538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14:m>
                  <m:oMath xmlns:m="http://schemas.openxmlformats.org/officeDocument/2006/math">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d>
                      <m:dPr>
                        <m:ctrlPr>
                          <a:rPr lang="en-US" sz="1400" i="1">
                            <a:latin typeface="Cambria Math" panose="02040503050406030204" pitchFamily="18" charset="0"/>
                          </a:rPr>
                        </m:ctrlPr>
                      </m:dPr>
                      <m:e>
                        <m:r>
                          <a:rPr lang="en-US" sz="1400" b="0" i="1">
                            <a:latin typeface="Cambria Math" panose="02040503050406030204" pitchFamily="18" charset="0"/>
                          </a:rPr>
                          <m:t>𝑀𝑜𝑙𝑎𝑟𝑖𝑡𝑦</m:t>
                        </m:r>
                        <m:r>
                          <a:rPr lang="en-US" sz="1400" b="0" i="1">
                            <a:latin typeface="Cambria Math" panose="02040503050406030204" pitchFamily="18" charset="0"/>
                          </a:rPr>
                          <m:t>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𝑆𝑜𝑙𝑢𝑡𝑖𝑜𝑛</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𝑆𝑜𝑙𝑢𝑡𝑒</m:t>
                        </m:r>
                        <m:r>
                          <a:rPr lang="en-US" sz="1400" b="0" i="1">
                            <a:latin typeface="Cambria Math" panose="02040503050406030204" pitchFamily="18" charset="0"/>
                          </a:rPr>
                          <m:t> </m:t>
                        </m:r>
                        <m:r>
                          <a:rPr lang="en-US" sz="1400" b="0" i="1">
                            <a:latin typeface="Cambria Math" panose="02040503050406030204" pitchFamily="18" charset="0"/>
                          </a:rPr>
                          <m:t>𝑀𝑊</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m:rPr>
                                    <m:sty m:val="p"/>
                                  </m:rPr>
                                  <a:rPr lang="en-US" sz="1400" b="0" i="0">
                                    <a:latin typeface="Cambria Math" panose="02040503050406030204" pitchFamily="18" charset="0"/>
                                  </a:rPr>
                                  <m:t>g</m:t>
                                </m:r>
                              </m:num>
                              <m:den>
                                <m:r>
                                  <m:rPr>
                                    <m:sty m:val="p"/>
                                  </m:rPr>
                                  <a:rPr lang="en-US" sz="1400" b="0" i="0">
                                    <a:latin typeface="Cambria Math" panose="02040503050406030204" pitchFamily="18" charset="0"/>
                                  </a:rPr>
                                  <m:t>mol</m:t>
                                </m:r>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1 </m:t>
                            </m:r>
                            <m:d>
                              <m:dPr>
                                <m:begChr m:val="["/>
                                <m:endChr m:val="]"/>
                                <m:ctrlPr>
                                  <a:rPr lang="en-US" sz="1400" b="0" i="1">
                                    <a:latin typeface="Cambria Math" panose="02040503050406030204" pitchFamily="18" charset="0"/>
                                  </a:rPr>
                                </m:ctrlPr>
                              </m:dPr>
                              <m:e>
                                <m:r>
                                  <m:rPr>
                                    <m:sty m:val="p"/>
                                  </m:rPr>
                                  <a:rPr lang="en-US" sz="1400" b="0" i="0">
                                    <a:latin typeface="Cambria Math" panose="02040503050406030204" pitchFamily="18" charset="0"/>
                                  </a:rPr>
                                  <m:t>kg</m:t>
                                </m:r>
                              </m:e>
                            </m:d>
                          </m:num>
                          <m:den>
                            <m:r>
                              <a:rPr lang="en-US" sz="1400" b="0" i="1">
                                <a:latin typeface="Cambria Math" panose="02040503050406030204" pitchFamily="18" charset="0"/>
                              </a:rPr>
                              <m:t>1000</m:t>
                            </m:r>
                            <m:r>
                              <a:rPr lang="en-US" sz="1400" b="0" i="0">
                                <a:latin typeface="Cambria Math" panose="02040503050406030204" pitchFamily="18" charset="0"/>
                              </a:rPr>
                              <m:t> </m:t>
                            </m:r>
                            <m:r>
                              <a:rPr lang="en-US" sz="1400">
                                <a:latin typeface="Cambria Math" panose="02040503050406030204" pitchFamily="18" charset="0"/>
                              </a:rPr>
                              <m:t>[</m:t>
                            </m:r>
                            <m:r>
                              <m:rPr>
                                <m:sty m:val="p"/>
                              </m:rPr>
                              <a:rPr lang="en-US" sz="1400">
                                <a:latin typeface="Cambria Math" panose="02040503050406030204" pitchFamily="18" charset="0"/>
                              </a:rPr>
                              <m:t>g</m:t>
                            </m:r>
                            <m:r>
                              <a:rPr lang="en-US" sz="1400">
                                <a:latin typeface="Cambria Math" panose="02040503050406030204" pitchFamily="18" charset="0"/>
                              </a:rPr>
                              <m:t>]</m:t>
                            </m:r>
                          </m:den>
                        </m:f>
                      </m:e>
                    </m:d>
                  </m:oMath>
                </a14:m>
                <a:endParaRPr lang="en-US" sz="1400" i="1">
                  <a:latin typeface="Cambria Math" panose="02040503050406030204" pitchFamily="18" charset="0"/>
                </a:endParaRPr>
              </a:p>
              <a:p>
                <a:r>
                  <a:rPr lang="en-US" sz="1400"/>
                  <a:t>	</a:t>
                </a:r>
                <a14:m>
                  <m:oMath xmlns:m="http://schemas.openxmlformats.org/officeDocument/2006/math">
                    <m:r>
                      <a:rPr lang="en-US" sz="1400" b="0" i="1">
                        <a:latin typeface="Cambria Math" panose="02040503050406030204" pitchFamily="18" charset="0"/>
                      </a:rPr>
                      <m:t>𝑆𝑜𝑙𝑣𝑒𝑛𝑡</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1 </m:t>
                        </m:r>
                        <m:r>
                          <a:rPr lang="en-US" sz="1400" b="0" i="0">
                            <a:latin typeface="Cambria Math" panose="02040503050406030204" pitchFamily="18" charset="0"/>
                          </a:rPr>
                          <m:t>[</m:t>
                        </m:r>
                        <m:r>
                          <m:rPr>
                            <m:sty m:val="p"/>
                          </m:rPr>
                          <a:rPr lang="en-US" sz="1400" b="0" i="0">
                            <a:latin typeface="Cambria Math" panose="02040503050406030204" pitchFamily="18" charset="0"/>
                          </a:rPr>
                          <m:t>L</m:t>
                        </m:r>
                        <m:r>
                          <a:rPr lang="en-US" sz="1400" b="0" i="0">
                            <a:latin typeface="Cambria Math" panose="02040503050406030204" pitchFamily="18" charset="0"/>
                          </a:rPr>
                          <m:t>]</m:t>
                        </m:r>
                      </m:e>
                    </m:d>
                    <m:d>
                      <m:dPr>
                        <m:ctrlPr>
                          <a:rPr lang="en-US" sz="1400" b="0" i="1">
                            <a:latin typeface="Cambria Math" panose="02040503050406030204" pitchFamily="18" charset="0"/>
                          </a:rPr>
                        </m:ctrlPr>
                      </m:dPr>
                      <m:e>
                        <m:r>
                          <a:rPr lang="en-US" sz="1400" i="1">
                            <a:latin typeface="Cambria Math" panose="02040503050406030204" pitchFamily="18" charset="0"/>
                          </a:rPr>
                          <m:t>𝑠𝑜𝑙𝑢𝑡𝑖𝑜𝑛</m:t>
                        </m:r>
                        <m:r>
                          <a:rPr lang="en-US" sz="1400" i="1">
                            <a:latin typeface="Cambria Math" panose="02040503050406030204" pitchFamily="18" charset="0"/>
                          </a:rPr>
                          <m:t> </m:t>
                        </m:r>
                        <m:r>
                          <a:rPr lang="en-US" sz="1400" i="1">
                            <a:latin typeface="Cambria Math" panose="02040503050406030204" pitchFamily="18" charset="0"/>
                          </a:rPr>
                          <m:t>𝑑𝑒𝑛𝑠𝑖𝑡𝑦</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f>
                              <m:fPr>
                                <m:ctrlPr>
                                  <a:rPr lang="en-US" sz="1400" i="1">
                                    <a:latin typeface="Cambria Math" panose="02040503050406030204" pitchFamily="18" charset="0"/>
                                  </a:rPr>
                                </m:ctrlPr>
                              </m:fPr>
                              <m:num>
                                <m:r>
                                  <m:rPr>
                                    <m:sty m:val="p"/>
                                  </m:rPr>
                                  <a:rPr lang="en-US" sz="1400">
                                    <a:latin typeface="Cambria Math" panose="02040503050406030204" pitchFamily="18" charset="0"/>
                                  </a:rPr>
                                  <m:t>kg</m:t>
                                </m:r>
                              </m:num>
                              <m:den>
                                <m:r>
                                  <m:rPr>
                                    <m:sty m:val="p"/>
                                  </m:rPr>
                                  <a:rPr lang="en-US" sz="1400">
                                    <a:latin typeface="Cambria Math" panose="02040503050406030204" pitchFamily="18" charset="0"/>
                                  </a:rPr>
                                  <m:t>L</m:t>
                                </m:r>
                              </m:den>
                            </m:f>
                          </m:e>
                        </m:d>
                      </m:e>
                    </m:d>
                  </m:oMath>
                </a14:m>
                <a:r>
                  <a:rPr lang="en-US" sz="1400"/>
                  <a:t>  </a:t>
                </a:r>
              </a:p>
              <a:p>
                <a:r>
                  <a:rPr lang="en-US" sz="1400"/>
                  <a:t>	</a:t>
                </a:r>
                <a14:m>
                  <m:oMath xmlns:m="http://schemas.openxmlformats.org/officeDocument/2006/math">
                    <m:r>
                      <a:rPr lang="en-US" sz="1400" b="0" i="1">
                        <a:latin typeface="Cambria Math" panose="02040503050406030204" pitchFamily="18" charset="0"/>
                      </a:rPr>
                      <m:t>𝑂𝑢𝑡𝑝𝑢𝑡</m:t>
                    </m:r>
                    <m:r>
                      <a:rPr lang="en-US" sz="1400" b="0" i="1">
                        <a:latin typeface="Cambria Math" panose="02040503050406030204" pitchFamily="18" charset="0"/>
                      </a:rPr>
                      <m:t> </m:t>
                    </m:r>
                    <m:r>
                      <a:rPr lang="en-US" sz="1400" i="1">
                        <a:latin typeface="Cambria Math" panose="02040503050406030204" pitchFamily="18" charset="0"/>
                      </a:rPr>
                      <m:t>𝑀𝑎𝑠𝑠</m:t>
                    </m:r>
                    <m:r>
                      <a:rPr lang="en-US" sz="1400" i="1">
                        <a:latin typeface="Cambria Math" panose="02040503050406030204" pitchFamily="18" charset="0"/>
                      </a:rPr>
                      <m:t> </m:t>
                    </m:r>
                    <m:d>
                      <m:dPr>
                        <m:begChr m:val="["/>
                        <m:endChr m:val="]"/>
                        <m:ctrlPr>
                          <a:rPr lang="en-US" sz="1400" i="1">
                            <a:latin typeface="Cambria Math" panose="02040503050406030204" pitchFamily="18" charset="0"/>
                          </a:rPr>
                        </m:ctrlPr>
                      </m:dPr>
                      <m:e>
                        <m:r>
                          <a:rPr lang="en-US" sz="1400" i="1">
                            <a:latin typeface="Cambria Math" panose="02040503050406030204" pitchFamily="18" charset="0"/>
                          </a:rPr>
                          <m:t>𝑘𝑔</m:t>
                        </m:r>
                      </m:e>
                    </m:d>
                    <m:r>
                      <a:rPr lang="en-US" sz="1400" i="1">
                        <a:latin typeface="Cambria Math" panose="02040503050406030204" pitchFamily="18" charset="0"/>
                      </a:rPr>
                      <m:t>=</m:t>
                    </m:r>
                    <m:r>
                      <a:rPr lang="en-US" sz="1400" b="0" i="1">
                        <a:latin typeface="Cambria Math" panose="02040503050406030204" pitchFamily="18" charset="0"/>
                      </a:rPr>
                      <m:t> </m:t>
                    </m:r>
                  </m:oMath>
                </a14:m>
                <a:r>
                  <a:rPr lang="en-US" sz="1400" b="0"/>
                  <a:t>(</a:t>
                </a:r>
                <a14:m>
                  <m:oMath xmlns:m="http://schemas.openxmlformats.org/officeDocument/2006/math">
                    <m:nary>
                      <m:naryPr>
                        <m:chr m:val="∑"/>
                        <m:subHide m:val="on"/>
                        <m:supHide m:val="on"/>
                        <m:ctrlPr>
                          <a:rPr lang="en-US" sz="1400" b="0" i="1">
                            <a:latin typeface="Cambria Math" panose="02040503050406030204" pitchFamily="18" charset="0"/>
                          </a:rPr>
                        </m:ctrlPr>
                      </m:naryPr>
                      <m:sub/>
                      <m:sup/>
                      <m:e>
                        <m:r>
                          <a:rPr lang="en-US" sz="1400" b="0" i="1">
                            <a:latin typeface="Cambria Math" panose="02040503050406030204" pitchFamily="18" charset="0"/>
                          </a:rPr>
                          <m:t>𝑠𝑜𝑙𝑣𝑒𝑛𝑡</m:t>
                        </m:r>
                        <m:r>
                          <a:rPr lang="en-US" sz="1400" b="0" i="1">
                            <a:latin typeface="Cambria Math" panose="02040503050406030204" pitchFamily="18" charset="0"/>
                          </a:rPr>
                          <m:t>+</m:t>
                        </m:r>
                        <m:r>
                          <a:rPr lang="en-US" sz="1400" b="0" i="1">
                            <a:latin typeface="Cambria Math" panose="02040503050406030204" pitchFamily="18" charset="0"/>
                          </a:rPr>
                          <m:t>𝑠𝑜𝑙𝑢𝑡𝑒</m:t>
                        </m:r>
                      </m:e>
                    </m:nary>
                  </m:oMath>
                </a14:m>
                <a:r>
                  <a:rPr lang="en-US" sz="1400" b="0"/>
                  <a:t>)</a:t>
                </a:r>
              </a:p>
              <a:p>
                <a:endParaRPr lang="en-US" sz="1400" b="0"/>
              </a:p>
              <a:p>
                <a:r>
                  <a:rPr lang="en-US" sz="1400" b="1">
                    <a:latin typeface="Cambria Math" panose="02040503050406030204" pitchFamily="18" charset="0"/>
                  </a:rPr>
                  <a:t>Example: </a:t>
                </a:r>
                <a:r>
                  <a:rPr lang="en-US" sz="1400">
                    <a:latin typeface="Cambria Math" panose="02040503050406030204" pitchFamily="18" charset="0"/>
                  </a:rPr>
                  <a:t>2M KOH in water (neglecting solvent density change)</a:t>
                </a:r>
                <a:endParaRPr lang="en-US" sz="1400" baseline="-25000">
                  <a:latin typeface="Cambria Math" panose="02040503050406030204" pitchFamily="18" charset="0"/>
                </a:endParaRPr>
              </a:p>
            </xdr:txBody>
          </xdr:sp>
        </mc:Choice>
        <mc:Fallback xmlns="">
          <xdr:sp macro="" textlink="">
            <xdr:nvSpPr>
              <xdr:cNvPr id="33" name="Rectangle 32">
                <a:extLst>
                  <a:ext uri="{FF2B5EF4-FFF2-40B4-BE49-F238E27FC236}">
                    <a16:creationId xmlns:a16="http://schemas.microsoft.com/office/drawing/2014/main" id="{7B4C6D2B-8B86-4596-8454-D2A867E9B05A}"/>
                  </a:ext>
                </a:extLst>
              </xdr:cNvPr>
              <xdr:cNvSpPr/>
            </xdr:nvSpPr>
            <xdr:spPr>
              <a:xfrm>
                <a:off x="1045870" y="9146993"/>
                <a:ext cx="10913901" cy="216538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latin typeface="Cambria Math" panose="02040503050406030204" pitchFamily="18" charset="0"/>
                  </a:rPr>
                  <a:t>Template:</a:t>
                </a:r>
              </a:p>
              <a:p>
                <a:r>
                  <a:rPr lang="en-US" sz="1400"/>
                  <a:t>	</a:t>
                </a:r>
                <a:r>
                  <a:rPr lang="en-US" sz="1400" b="0" i="0">
                    <a:latin typeface="Cambria Math" panose="02040503050406030204" pitchFamily="18" charset="0"/>
                  </a:rPr>
                  <a:t>𝑆𝑜𝑙𝑢𝑡𝑒 </a:t>
                </a:r>
                <a:r>
                  <a:rPr lang="en-US" sz="1400" i="0">
                    <a:latin typeface="Cambria Math" panose="02040503050406030204" pitchFamily="18" charset="0"/>
                  </a:rPr>
                  <a:t>𝑀𝑎𝑠𝑠 [𝑘𝑔]=(</a:t>
                </a:r>
                <a:r>
                  <a:rPr lang="en-US" sz="1400" b="0" i="0">
                    <a:latin typeface="Cambria Math" panose="02040503050406030204" pitchFamily="18" charset="0"/>
                  </a:rPr>
                  <a:t>𝑀𝑜𝑙𝑎𝑟𝑖𝑡𝑦 𝑜𝑓 𝑆𝑜𝑙𝑢𝑡𝑖𝑜𝑛)×(𝑆𝑜𝑙𝑢𝑡𝑒 𝑀𝑊 [g/mol])×((1 [kg])/(1000 </a:t>
                </a:r>
                <a:r>
                  <a:rPr lang="en-US" sz="1400" i="0">
                    <a:latin typeface="Cambria Math" panose="02040503050406030204" pitchFamily="18" charset="0"/>
                  </a:rPr>
                  <a:t>[g]</a:t>
                </a:r>
                <a:r>
                  <a:rPr lang="en-US" sz="1400" b="0" i="0">
                    <a:latin typeface="Cambria Math" panose="02040503050406030204" pitchFamily="18" charset="0"/>
                  </a:rPr>
                  <a:t>))</a:t>
                </a:r>
                <a:endParaRPr lang="en-US" sz="1400" i="1">
                  <a:latin typeface="Cambria Math" panose="02040503050406030204" pitchFamily="18" charset="0"/>
                </a:endParaRPr>
              </a:p>
              <a:p>
                <a:r>
                  <a:rPr lang="en-US" sz="1400"/>
                  <a:t>	</a:t>
                </a:r>
                <a:r>
                  <a:rPr lang="en-US" sz="1400" b="0" i="0">
                    <a:latin typeface="Cambria Math" panose="02040503050406030204" pitchFamily="18" charset="0"/>
                  </a:rPr>
                  <a:t>𝑆𝑜𝑙𝑣𝑒𝑛𝑡 </a:t>
                </a:r>
                <a:r>
                  <a:rPr lang="en-US" sz="1400" i="0">
                    <a:latin typeface="Cambria Math" panose="02040503050406030204" pitchFamily="18" charset="0"/>
                  </a:rPr>
                  <a:t>𝑀𝑎𝑠𝑠 [𝑘𝑔]=</a:t>
                </a:r>
                <a:r>
                  <a:rPr lang="en-US" sz="1400" b="0" i="0">
                    <a:latin typeface="Cambria Math" panose="02040503050406030204" pitchFamily="18" charset="0"/>
                  </a:rPr>
                  <a:t>(1 [L])(</a:t>
                </a:r>
                <a:r>
                  <a:rPr lang="en-US" sz="1400" i="0">
                    <a:latin typeface="Cambria Math" panose="02040503050406030204" pitchFamily="18" charset="0"/>
                  </a:rPr>
                  <a:t>𝑠𝑜𝑙𝑢𝑡𝑖𝑜𝑛 𝑑𝑒𝑛𝑠𝑖𝑡𝑦 [kg/L])</a:t>
                </a:r>
                <a:r>
                  <a:rPr lang="en-US" sz="1400"/>
                  <a:t>  </a:t>
                </a:r>
              </a:p>
              <a:p>
                <a:r>
                  <a:rPr lang="en-US" sz="1400"/>
                  <a:t>	</a:t>
                </a:r>
                <a:r>
                  <a:rPr lang="en-US" sz="1400" b="0" i="0">
                    <a:latin typeface="Cambria Math" panose="02040503050406030204" pitchFamily="18" charset="0"/>
                  </a:rPr>
                  <a:t>𝑂𝑢𝑡𝑝𝑢𝑡 </a:t>
                </a:r>
                <a:r>
                  <a:rPr lang="en-US" sz="1400" i="0">
                    <a:latin typeface="Cambria Math" panose="02040503050406030204" pitchFamily="18" charset="0"/>
                  </a:rPr>
                  <a:t>𝑀𝑎𝑠𝑠 [𝑘𝑔]=</a:t>
                </a:r>
                <a:r>
                  <a:rPr lang="en-US" sz="1400" b="0" i="0">
                    <a:latin typeface="Cambria Math" panose="02040503050406030204" pitchFamily="18" charset="0"/>
                  </a:rPr>
                  <a:t> </a:t>
                </a:r>
                <a:r>
                  <a:rPr lang="en-US" sz="1400" b="0"/>
                  <a:t>(</a:t>
                </a:r>
                <a:r>
                  <a:rPr lang="en-US" sz="1400" b="0" i="0">
                    <a:latin typeface="Cambria Math" panose="02040503050406030204" pitchFamily="18" charset="0"/>
                  </a:rPr>
                  <a:t>∑▒〖𝑠𝑜𝑙𝑣𝑒𝑛𝑡+𝑠𝑜𝑙𝑢𝑡𝑒〗</a:t>
                </a:r>
                <a:r>
                  <a:rPr lang="en-US" sz="1400" b="0"/>
                  <a:t>)</a:t>
                </a:r>
              </a:p>
              <a:p>
                <a:endParaRPr lang="en-US" sz="1400" b="0"/>
              </a:p>
              <a:p>
                <a:r>
                  <a:rPr lang="en-US" sz="1400" b="1">
                    <a:latin typeface="Cambria Math" panose="02040503050406030204" pitchFamily="18" charset="0"/>
                  </a:rPr>
                  <a:t>Example: </a:t>
                </a:r>
                <a:r>
                  <a:rPr lang="en-US" sz="1400">
                    <a:latin typeface="Cambria Math" panose="02040503050406030204" pitchFamily="18" charset="0"/>
                  </a:rPr>
                  <a:t>2M KOH in water (neglecting solvent density change)</a:t>
                </a:r>
                <a:endParaRPr lang="en-US" sz="1400" baseline="-25000">
                  <a:latin typeface="Cambria Math" panose="02040503050406030204" pitchFamily="18" charset="0"/>
                </a:endParaRPr>
              </a:p>
            </xdr:txBody>
          </xdr:sp>
        </mc:Fallback>
      </mc:AlternateContent>
      <xdr:sp macro="" textlink="">
        <xdr:nvSpPr>
          <xdr:cNvPr id="34" name="Rectangle 33">
            <a:extLst>
              <a:ext uri="{FF2B5EF4-FFF2-40B4-BE49-F238E27FC236}">
                <a16:creationId xmlns:a16="http://schemas.microsoft.com/office/drawing/2014/main" id="{868E2EF4-0B71-4984-BEEC-98BC49398941}"/>
              </a:ext>
            </a:extLst>
          </xdr:cNvPr>
          <xdr:cNvSpPr/>
        </xdr:nvSpPr>
        <xdr:spPr>
          <a:xfrm>
            <a:off x="331496" y="8709093"/>
            <a:ext cx="7029450" cy="45087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atin typeface="Cambria Math" panose="02040503050406030204" pitchFamily="18" charset="0"/>
              </a:rPr>
              <a:t>Define a solution by molarity</a:t>
            </a:r>
            <a:endParaRPr lang="en-US" sz="1600" b="1"/>
          </a:p>
        </xdr:txBody>
      </xdr:sp>
      <xdr:pic>
        <xdr:nvPicPr>
          <xdr:cNvPr id="35" name="Picture 34">
            <a:extLst>
              <a:ext uri="{FF2B5EF4-FFF2-40B4-BE49-F238E27FC236}">
                <a16:creationId xmlns:a16="http://schemas.microsoft.com/office/drawing/2014/main" id="{82709CEC-3C06-44AA-81C0-A2AF6493906D}"/>
              </a:ext>
            </a:extLst>
          </xdr:cNvPr>
          <xdr:cNvPicPr>
            <a:picLocks noChangeAspect="1"/>
          </xdr:cNvPicPr>
        </xdr:nvPicPr>
        <xdr:blipFill>
          <a:blip xmlns:r="http://schemas.openxmlformats.org/officeDocument/2006/relationships" r:embed="rId3"/>
          <a:stretch>
            <a:fillRect/>
          </a:stretch>
        </xdr:blipFill>
        <xdr:spPr>
          <a:xfrm>
            <a:off x="981676" y="11292998"/>
            <a:ext cx="10228648" cy="1380496"/>
          </a:xfrm>
          <a:prstGeom prst="rect">
            <a:avLst/>
          </a:prstGeom>
          <a:ln w="38100">
            <a:solidFill>
              <a:schemeClr val="tx1"/>
            </a:solidFill>
          </a:ln>
        </xdr:spPr>
      </xdr:pic>
      <xdr:sp macro="" textlink="">
        <xdr:nvSpPr>
          <xdr:cNvPr id="36" name="Rectangle 35">
            <a:extLst>
              <a:ext uri="{FF2B5EF4-FFF2-40B4-BE49-F238E27FC236}">
                <a16:creationId xmlns:a16="http://schemas.microsoft.com/office/drawing/2014/main" id="{092AE6E0-A3D8-4F70-B822-082FC3D75E99}"/>
              </a:ext>
            </a:extLst>
          </xdr:cNvPr>
          <xdr:cNvSpPr/>
        </xdr:nvSpPr>
        <xdr:spPr>
          <a:xfrm>
            <a:off x="2556996" y="8125"/>
            <a:ext cx="6544605" cy="53285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a:latin typeface="Cambria Math" panose="02040503050406030204" pitchFamily="18" charset="0"/>
              </a:rPr>
              <a:t>Examples of Common Calculations</a:t>
            </a:r>
            <a:endParaRPr lang="en-US" sz="2000" b="1"/>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46</xdr:row>
      <xdr:rowOff>0</xdr:rowOff>
    </xdr:from>
    <xdr:to>
      <xdr:col>12</xdr:col>
      <xdr:colOff>21433</xdr:colOff>
      <xdr:row>65</xdr:row>
      <xdr:rowOff>51707</xdr:rowOff>
    </xdr:to>
    <xdr:graphicFrame macro="">
      <xdr:nvGraphicFramePr>
        <xdr:cNvPr id="54" name="Chart 53">
          <a:extLst>
            <a:ext uri="{FF2B5EF4-FFF2-40B4-BE49-F238E27FC236}">
              <a16:creationId xmlns:a16="http://schemas.microsoft.com/office/drawing/2014/main" id="{91C923A9-07D9-4D8C-BB85-182CC7B5E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46</xdr:row>
      <xdr:rowOff>0</xdr:rowOff>
    </xdr:from>
    <xdr:to>
      <xdr:col>21</xdr:col>
      <xdr:colOff>388823</xdr:colOff>
      <xdr:row>65</xdr:row>
      <xdr:rowOff>51707</xdr:rowOff>
    </xdr:to>
    <xdr:graphicFrame macro="">
      <xdr:nvGraphicFramePr>
        <xdr:cNvPr id="55" name="Chart 54">
          <a:extLst>
            <a:ext uri="{FF2B5EF4-FFF2-40B4-BE49-F238E27FC236}">
              <a16:creationId xmlns:a16="http://schemas.microsoft.com/office/drawing/2014/main" id="{E4A28715-8143-4E31-8B46-1D5E9B911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97</xdr:row>
      <xdr:rowOff>0</xdr:rowOff>
    </xdr:from>
    <xdr:to>
      <xdr:col>22</xdr:col>
      <xdr:colOff>98386</xdr:colOff>
      <xdr:row>133</xdr:row>
      <xdr:rowOff>0</xdr:rowOff>
    </xdr:to>
    <xdr:graphicFrame macro="">
      <xdr:nvGraphicFramePr>
        <xdr:cNvPr id="23" name="Chart 22">
          <a:extLst>
            <a:ext uri="{FF2B5EF4-FFF2-40B4-BE49-F238E27FC236}">
              <a16:creationId xmlns:a16="http://schemas.microsoft.com/office/drawing/2014/main" id="{0E1DC2BF-1C99-4D60-8903-FD697918D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134</xdr:row>
      <xdr:rowOff>0</xdr:rowOff>
    </xdr:from>
    <xdr:to>
      <xdr:col>22</xdr:col>
      <xdr:colOff>98386</xdr:colOff>
      <xdr:row>170</xdr:row>
      <xdr:rowOff>0</xdr:rowOff>
    </xdr:to>
    <xdr:graphicFrame macro="">
      <xdr:nvGraphicFramePr>
        <xdr:cNvPr id="22" name="Chart 21">
          <a:extLst>
            <a:ext uri="{FF2B5EF4-FFF2-40B4-BE49-F238E27FC236}">
              <a16:creationId xmlns:a16="http://schemas.microsoft.com/office/drawing/2014/main" id="{655E6174-6584-4FC3-82C1-09D2BC26E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171</xdr:row>
      <xdr:rowOff>0</xdr:rowOff>
    </xdr:from>
    <xdr:to>
      <xdr:col>22</xdr:col>
      <xdr:colOff>98386</xdr:colOff>
      <xdr:row>207</xdr:row>
      <xdr:rowOff>0</xdr:rowOff>
    </xdr:to>
    <xdr:graphicFrame macro="">
      <xdr:nvGraphicFramePr>
        <xdr:cNvPr id="27" name="Chart 26">
          <a:extLst>
            <a:ext uri="{FF2B5EF4-FFF2-40B4-BE49-F238E27FC236}">
              <a16:creationId xmlns:a16="http://schemas.microsoft.com/office/drawing/2014/main" id="{349915E8-8C31-4FD1-A8AB-A1AEC86A1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208</xdr:row>
      <xdr:rowOff>0</xdr:rowOff>
    </xdr:from>
    <xdr:to>
      <xdr:col>22</xdr:col>
      <xdr:colOff>98386</xdr:colOff>
      <xdr:row>244</xdr:row>
      <xdr:rowOff>0</xdr:rowOff>
    </xdr:to>
    <xdr:graphicFrame macro="">
      <xdr:nvGraphicFramePr>
        <xdr:cNvPr id="30" name="Chart 29">
          <a:extLst>
            <a:ext uri="{FF2B5EF4-FFF2-40B4-BE49-F238E27FC236}">
              <a16:creationId xmlns:a16="http://schemas.microsoft.com/office/drawing/2014/main" id="{4F8DD0E4-E8BD-4031-9230-88E07A9F6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245</xdr:row>
      <xdr:rowOff>0</xdr:rowOff>
    </xdr:from>
    <xdr:to>
      <xdr:col>22</xdr:col>
      <xdr:colOff>98386</xdr:colOff>
      <xdr:row>281</xdr:row>
      <xdr:rowOff>0</xdr:rowOff>
    </xdr:to>
    <xdr:graphicFrame macro="">
      <xdr:nvGraphicFramePr>
        <xdr:cNvPr id="20" name="Chart 19">
          <a:extLst>
            <a:ext uri="{FF2B5EF4-FFF2-40B4-BE49-F238E27FC236}">
              <a16:creationId xmlns:a16="http://schemas.microsoft.com/office/drawing/2014/main" id="{1F77E91D-262E-428B-A5E0-EB59CF985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282</xdr:row>
      <xdr:rowOff>0</xdr:rowOff>
    </xdr:from>
    <xdr:to>
      <xdr:col>22</xdr:col>
      <xdr:colOff>98386</xdr:colOff>
      <xdr:row>318</xdr:row>
      <xdr:rowOff>0</xdr:rowOff>
    </xdr:to>
    <xdr:graphicFrame macro="">
      <xdr:nvGraphicFramePr>
        <xdr:cNvPr id="24" name="Chart 23">
          <a:extLst>
            <a:ext uri="{FF2B5EF4-FFF2-40B4-BE49-F238E27FC236}">
              <a16:creationId xmlns:a16="http://schemas.microsoft.com/office/drawing/2014/main" id="{59423859-8526-458E-AF21-F21E13D1C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319</xdr:row>
      <xdr:rowOff>0</xdr:rowOff>
    </xdr:from>
    <xdr:to>
      <xdr:col>22</xdr:col>
      <xdr:colOff>98386</xdr:colOff>
      <xdr:row>355</xdr:row>
      <xdr:rowOff>0</xdr:rowOff>
    </xdr:to>
    <xdr:graphicFrame macro="">
      <xdr:nvGraphicFramePr>
        <xdr:cNvPr id="26" name="Chart 25">
          <a:extLst>
            <a:ext uri="{FF2B5EF4-FFF2-40B4-BE49-F238E27FC236}">
              <a16:creationId xmlns:a16="http://schemas.microsoft.com/office/drawing/2014/main" id="{C0E05CCA-728D-478B-928A-44B77E9D8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0</xdr:colOff>
      <xdr:row>97</xdr:row>
      <xdr:rowOff>0</xdr:rowOff>
    </xdr:from>
    <xdr:to>
      <xdr:col>29</xdr:col>
      <xdr:colOff>605766</xdr:colOff>
      <xdr:row>125</xdr:row>
      <xdr:rowOff>152400</xdr:rowOff>
    </xdr:to>
    <xdr:graphicFrame macro="">
      <xdr:nvGraphicFramePr>
        <xdr:cNvPr id="25" name="Chart 24">
          <a:extLst>
            <a:ext uri="{FF2B5EF4-FFF2-40B4-BE49-F238E27FC236}">
              <a16:creationId xmlns:a16="http://schemas.microsoft.com/office/drawing/2014/main" id="{FFA46D9C-7161-4041-B368-AEE07B705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0</xdr:colOff>
      <xdr:row>134</xdr:row>
      <xdr:rowOff>0</xdr:rowOff>
    </xdr:from>
    <xdr:to>
      <xdr:col>29</xdr:col>
      <xdr:colOff>605766</xdr:colOff>
      <xdr:row>162</xdr:row>
      <xdr:rowOff>152400</xdr:rowOff>
    </xdr:to>
    <xdr:graphicFrame macro="">
      <xdr:nvGraphicFramePr>
        <xdr:cNvPr id="29" name="Chart 28">
          <a:extLst>
            <a:ext uri="{FF2B5EF4-FFF2-40B4-BE49-F238E27FC236}">
              <a16:creationId xmlns:a16="http://schemas.microsoft.com/office/drawing/2014/main" id="{B135B13A-DD23-428F-8667-49B04363B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171</xdr:row>
      <xdr:rowOff>0</xdr:rowOff>
    </xdr:from>
    <xdr:to>
      <xdr:col>29</xdr:col>
      <xdr:colOff>605766</xdr:colOff>
      <xdr:row>199</xdr:row>
      <xdr:rowOff>152400</xdr:rowOff>
    </xdr:to>
    <xdr:graphicFrame macro="">
      <xdr:nvGraphicFramePr>
        <xdr:cNvPr id="33" name="Chart 32">
          <a:extLst>
            <a:ext uri="{FF2B5EF4-FFF2-40B4-BE49-F238E27FC236}">
              <a16:creationId xmlns:a16="http://schemas.microsoft.com/office/drawing/2014/main" id="{06B938AD-D397-420B-8A6E-9AD7690B5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0</xdr:colOff>
      <xdr:row>208</xdr:row>
      <xdr:rowOff>0</xdr:rowOff>
    </xdr:from>
    <xdr:to>
      <xdr:col>29</xdr:col>
      <xdr:colOff>605766</xdr:colOff>
      <xdr:row>236</xdr:row>
      <xdr:rowOff>152400</xdr:rowOff>
    </xdr:to>
    <xdr:graphicFrame macro="">
      <xdr:nvGraphicFramePr>
        <xdr:cNvPr id="35" name="Chart 34">
          <a:extLst>
            <a:ext uri="{FF2B5EF4-FFF2-40B4-BE49-F238E27FC236}">
              <a16:creationId xmlns:a16="http://schemas.microsoft.com/office/drawing/2014/main" id="{332109E5-F0C8-4C44-8A17-A2F0720F8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0</xdr:colOff>
      <xdr:row>245</xdr:row>
      <xdr:rowOff>0</xdr:rowOff>
    </xdr:from>
    <xdr:to>
      <xdr:col>29</xdr:col>
      <xdr:colOff>605766</xdr:colOff>
      <xdr:row>273</xdr:row>
      <xdr:rowOff>152400</xdr:rowOff>
    </xdr:to>
    <xdr:graphicFrame macro="">
      <xdr:nvGraphicFramePr>
        <xdr:cNvPr id="37" name="Chart 36">
          <a:extLst>
            <a:ext uri="{FF2B5EF4-FFF2-40B4-BE49-F238E27FC236}">
              <a16:creationId xmlns:a16="http://schemas.microsoft.com/office/drawing/2014/main" id="{1DEFD1F4-ECEE-4A29-9EE0-7A73CD020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0</xdr:colOff>
      <xdr:row>282</xdr:row>
      <xdr:rowOff>0</xdr:rowOff>
    </xdr:from>
    <xdr:to>
      <xdr:col>29</xdr:col>
      <xdr:colOff>605766</xdr:colOff>
      <xdr:row>310</xdr:row>
      <xdr:rowOff>152400</xdr:rowOff>
    </xdr:to>
    <xdr:graphicFrame macro="">
      <xdr:nvGraphicFramePr>
        <xdr:cNvPr id="39" name="Chart 38">
          <a:extLst>
            <a:ext uri="{FF2B5EF4-FFF2-40B4-BE49-F238E27FC236}">
              <a16:creationId xmlns:a16="http://schemas.microsoft.com/office/drawing/2014/main" id="{49E6793A-3D55-46D0-A2F9-2DDD7BBFD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319</xdr:row>
      <xdr:rowOff>0</xdr:rowOff>
    </xdr:from>
    <xdr:to>
      <xdr:col>29</xdr:col>
      <xdr:colOff>605766</xdr:colOff>
      <xdr:row>347</xdr:row>
      <xdr:rowOff>152400</xdr:rowOff>
    </xdr:to>
    <xdr:graphicFrame macro="">
      <xdr:nvGraphicFramePr>
        <xdr:cNvPr id="41" name="Chart 40">
          <a:extLst>
            <a:ext uri="{FF2B5EF4-FFF2-40B4-BE49-F238E27FC236}">
              <a16:creationId xmlns:a16="http://schemas.microsoft.com/office/drawing/2014/main" id="{4AD8BFE3-08E8-4BE2-8FEF-72F992F8A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0</xdr:colOff>
      <xdr:row>70</xdr:row>
      <xdr:rowOff>0</xdr:rowOff>
    </xdr:from>
    <xdr:to>
      <xdr:col>7</xdr:col>
      <xdr:colOff>369793</xdr:colOff>
      <xdr:row>79</xdr:row>
      <xdr:rowOff>114300</xdr:rowOff>
    </xdr:to>
    <xdr:graphicFrame macro="">
      <xdr:nvGraphicFramePr>
        <xdr:cNvPr id="64" name="Chart 63">
          <a:extLst>
            <a:ext uri="{FF2B5EF4-FFF2-40B4-BE49-F238E27FC236}">
              <a16:creationId xmlns:a16="http://schemas.microsoft.com/office/drawing/2014/main" id="{A06A7987-A8BF-4351-9381-9010F3250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70</xdr:row>
      <xdr:rowOff>0</xdr:rowOff>
    </xdr:from>
    <xdr:to>
      <xdr:col>12</xdr:col>
      <xdr:colOff>369793</xdr:colOff>
      <xdr:row>79</xdr:row>
      <xdr:rowOff>114300</xdr:rowOff>
    </xdr:to>
    <xdr:graphicFrame macro="">
      <xdr:nvGraphicFramePr>
        <xdr:cNvPr id="65" name="Chart 64">
          <a:extLst>
            <a:ext uri="{FF2B5EF4-FFF2-40B4-BE49-F238E27FC236}">
              <a16:creationId xmlns:a16="http://schemas.microsoft.com/office/drawing/2014/main" id="{86496E7A-C67B-46FF-B6B7-8BDB84100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70</xdr:row>
      <xdr:rowOff>0</xdr:rowOff>
    </xdr:from>
    <xdr:to>
      <xdr:col>17</xdr:col>
      <xdr:colOff>369793</xdr:colOff>
      <xdr:row>79</xdr:row>
      <xdr:rowOff>114300</xdr:rowOff>
    </xdr:to>
    <xdr:graphicFrame macro="">
      <xdr:nvGraphicFramePr>
        <xdr:cNvPr id="66" name="Chart 65">
          <a:extLst>
            <a:ext uri="{FF2B5EF4-FFF2-40B4-BE49-F238E27FC236}">
              <a16:creationId xmlns:a16="http://schemas.microsoft.com/office/drawing/2014/main" id="{66CE1B63-C73F-4EF5-A4A4-00EEE084D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0</xdr:colOff>
      <xdr:row>70</xdr:row>
      <xdr:rowOff>0</xdr:rowOff>
    </xdr:from>
    <xdr:to>
      <xdr:col>21</xdr:col>
      <xdr:colOff>717176</xdr:colOff>
      <xdr:row>79</xdr:row>
      <xdr:rowOff>114300</xdr:rowOff>
    </xdr:to>
    <xdr:graphicFrame macro="">
      <xdr:nvGraphicFramePr>
        <xdr:cNvPr id="67" name="Chart 66">
          <a:extLst>
            <a:ext uri="{FF2B5EF4-FFF2-40B4-BE49-F238E27FC236}">
              <a16:creationId xmlns:a16="http://schemas.microsoft.com/office/drawing/2014/main" id="{20643FA3-BC59-4481-BD8C-239AD3B78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0</xdr:colOff>
      <xdr:row>80</xdr:row>
      <xdr:rowOff>0</xdr:rowOff>
    </xdr:from>
    <xdr:to>
      <xdr:col>7</xdr:col>
      <xdr:colOff>369793</xdr:colOff>
      <xdr:row>89</xdr:row>
      <xdr:rowOff>114300</xdr:rowOff>
    </xdr:to>
    <xdr:graphicFrame macro="">
      <xdr:nvGraphicFramePr>
        <xdr:cNvPr id="71" name="Chart 70">
          <a:extLst>
            <a:ext uri="{FF2B5EF4-FFF2-40B4-BE49-F238E27FC236}">
              <a16:creationId xmlns:a16="http://schemas.microsoft.com/office/drawing/2014/main" id="{456C1D5B-9DC4-4D45-A14B-7B07A484D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80</xdr:row>
      <xdr:rowOff>0</xdr:rowOff>
    </xdr:from>
    <xdr:to>
      <xdr:col>12</xdr:col>
      <xdr:colOff>369793</xdr:colOff>
      <xdr:row>89</xdr:row>
      <xdr:rowOff>114300</xdr:rowOff>
    </xdr:to>
    <xdr:graphicFrame macro="">
      <xdr:nvGraphicFramePr>
        <xdr:cNvPr id="72" name="Chart 71">
          <a:extLst>
            <a:ext uri="{FF2B5EF4-FFF2-40B4-BE49-F238E27FC236}">
              <a16:creationId xmlns:a16="http://schemas.microsoft.com/office/drawing/2014/main" id="{22564EB7-53EC-4F6F-86DD-C2464E612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80</xdr:row>
      <xdr:rowOff>0</xdr:rowOff>
    </xdr:from>
    <xdr:to>
      <xdr:col>17</xdr:col>
      <xdr:colOff>369793</xdr:colOff>
      <xdr:row>89</xdr:row>
      <xdr:rowOff>114300</xdr:rowOff>
    </xdr:to>
    <xdr:graphicFrame macro="">
      <xdr:nvGraphicFramePr>
        <xdr:cNvPr id="73" name="Chart 72">
          <a:extLst>
            <a:ext uri="{FF2B5EF4-FFF2-40B4-BE49-F238E27FC236}">
              <a16:creationId xmlns:a16="http://schemas.microsoft.com/office/drawing/2014/main" id="{D7525597-E29B-4DF1-8BCE-FC4C785DF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612321</xdr:colOff>
      <xdr:row>5</xdr:row>
      <xdr:rowOff>816427</xdr:rowOff>
    </xdr:from>
    <xdr:to>
      <xdr:col>12</xdr:col>
      <xdr:colOff>162928</xdr:colOff>
      <xdr:row>41</xdr:row>
      <xdr:rowOff>149677</xdr:rowOff>
    </xdr:to>
    <xdr:graphicFrame macro="">
      <xdr:nvGraphicFramePr>
        <xdr:cNvPr id="28" name="Chart 27">
          <a:extLst>
            <a:ext uri="{FF2B5EF4-FFF2-40B4-BE49-F238E27FC236}">
              <a16:creationId xmlns:a16="http://schemas.microsoft.com/office/drawing/2014/main" id="{A65B6851-9A83-4CF4-ADBB-18C5F36E1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13</xdr:col>
      <xdr:colOff>435428</xdr:colOff>
      <xdr:row>6</xdr:row>
      <xdr:rowOff>68036</xdr:rowOff>
    </xdr:from>
    <xdr:ext cx="3415393" cy="1986826"/>
    <xdr:sp macro="" textlink="">
      <xdr:nvSpPr>
        <xdr:cNvPr id="2" name="TextBox 1">
          <a:extLst>
            <a:ext uri="{FF2B5EF4-FFF2-40B4-BE49-F238E27FC236}">
              <a16:creationId xmlns:a16="http://schemas.microsoft.com/office/drawing/2014/main" id="{4536EB57-E6F1-4E18-8BB2-46760423023E}"/>
            </a:ext>
          </a:extLst>
        </xdr:cNvPr>
        <xdr:cNvSpPr txBox="1"/>
      </xdr:nvSpPr>
      <xdr:spPr>
        <a:xfrm>
          <a:off x="8346470" y="3229807"/>
          <a:ext cx="3415393" cy="198682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NOTE:</a:t>
          </a:r>
        </a:p>
        <a:p>
          <a:endParaRPr lang="en-US" sz="1100" b="1"/>
        </a:p>
        <a:p>
          <a:r>
            <a:rPr lang="en-US" sz="1100"/>
            <a:t>Producing a legible plot of a large process will require the user to adjust:</a:t>
          </a:r>
        </a:p>
        <a:p>
          <a:r>
            <a:rPr lang="en-US" sz="1100" baseline="0"/>
            <a:t>&gt; "Raw Materials" marker size</a:t>
          </a:r>
        </a:p>
        <a:p>
          <a:r>
            <a:rPr lang="en-US" sz="1100" baseline="0"/>
            <a:t>&gt; "Process Steps" marker size</a:t>
          </a:r>
        </a:p>
        <a:p>
          <a:r>
            <a:rPr lang="en-US" sz="1100" baseline="0"/>
            <a:t>&gt;  "Arrows" line width</a:t>
          </a:r>
        </a:p>
        <a:p>
          <a:r>
            <a:rPr lang="en-US" sz="1100" baseline="0"/>
            <a:t>&gt; "'Steps and RMs for Labeling' Data Labels" font size</a:t>
          </a:r>
        </a:p>
        <a:p>
          <a:r>
            <a:rPr lang="en-US" sz="1100" baseline="0"/>
            <a:t>&gt; Label position (click and drag)</a:t>
          </a:r>
        </a:p>
        <a:p>
          <a:endParaRPr lang="en-US" sz="1100" baseline="0"/>
        </a:p>
        <a:p>
          <a:r>
            <a:rPr lang="en-US" sz="1100" baseline="0"/>
            <a:t>Enlarge the plot or 'zoom in' to view it. </a:t>
          </a:r>
          <a:endParaRPr lang="en-US" sz="1100"/>
        </a:p>
      </xdr:txBody>
    </xdr:sp>
    <xdr:clientData/>
  </xdr:oneCellAnchor>
  <xdr:twoCellAnchor editAs="oneCell">
    <xdr:from>
      <xdr:col>13</xdr:col>
      <xdr:colOff>423333</xdr:colOff>
      <xdr:row>16</xdr:row>
      <xdr:rowOff>105833</xdr:rowOff>
    </xdr:from>
    <xdr:to>
      <xdr:col>23</xdr:col>
      <xdr:colOff>1372665</xdr:colOff>
      <xdr:row>41</xdr:row>
      <xdr:rowOff>17539</xdr:rowOff>
    </xdr:to>
    <xdr:pic>
      <xdr:nvPicPr>
        <xdr:cNvPr id="31" name="Picture 30">
          <a:extLst>
            <a:ext uri="{FF2B5EF4-FFF2-40B4-BE49-F238E27FC236}">
              <a16:creationId xmlns:a16="http://schemas.microsoft.com/office/drawing/2014/main" id="{7BECBC78-6E5A-47FE-A94D-2E5138620D50}"/>
            </a:ext>
          </a:extLst>
        </xdr:cNvPr>
        <xdr:cNvPicPr>
          <a:picLocks noChangeAspect="1"/>
        </xdr:cNvPicPr>
      </xdr:nvPicPr>
      <xdr:blipFill>
        <a:blip xmlns:r="http://schemas.openxmlformats.org/officeDocument/2006/relationships" r:embed="rId25"/>
        <a:stretch>
          <a:fillRect/>
        </a:stretch>
      </xdr:blipFill>
      <xdr:spPr>
        <a:xfrm>
          <a:off x="8334375" y="5344583"/>
          <a:ext cx="8132769" cy="4541914"/>
        </a:xfrm>
        <a:prstGeom prst="rect">
          <a:avLst/>
        </a:prstGeom>
      </xdr:spPr>
    </xdr:pic>
    <xdr:clientData/>
  </xdr:twoCellAnchor>
  <xdr:twoCellAnchor>
    <xdr:from>
      <xdr:col>18</xdr:col>
      <xdr:colOff>0</xdr:colOff>
      <xdr:row>80</xdr:row>
      <xdr:rowOff>0</xdr:rowOff>
    </xdr:from>
    <xdr:to>
      <xdr:col>21</xdr:col>
      <xdr:colOff>726980</xdr:colOff>
      <xdr:row>89</xdr:row>
      <xdr:rowOff>114300</xdr:rowOff>
    </xdr:to>
    <xdr:graphicFrame macro="">
      <xdr:nvGraphicFramePr>
        <xdr:cNvPr id="36" name="Chart 35">
          <a:extLst>
            <a:ext uri="{FF2B5EF4-FFF2-40B4-BE49-F238E27FC236}">
              <a16:creationId xmlns:a16="http://schemas.microsoft.com/office/drawing/2014/main" id="{FB15DDCA-A0BA-45A6-AF31-79BCD507D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258533</xdr:colOff>
      <xdr:row>18</xdr:row>
      <xdr:rowOff>149679</xdr:rowOff>
    </xdr:from>
    <xdr:to>
      <xdr:col>20</xdr:col>
      <xdr:colOff>13606</xdr:colOff>
      <xdr:row>42</xdr:row>
      <xdr:rowOff>332537</xdr:rowOff>
    </xdr:to>
    <xdr:graphicFrame macro="">
      <xdr:nvGraphicFramePr>
        <xdr:cNvPr id="4" name="Chart 3">
          <a:extLst>
            <a:ext uri="{FF2B5EF4-FFF2-40B4-BE49-F238E27FC236}">
              <a16:creationId xmlns:a16="http://schemas.microsoft.com/office/drawing/2014/main" id="{6900825C-719C-4629-7E4E-A4E87F396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Rose, Harrison Bellow" id="{089DC662-5C7F-4294-891A-230055CB1CB4}" userId="S::rosehar@merck.com::d6dcdae0-b997-46f4-8b26-b3a4cee49a8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5622CC-E9C7-4122-9A64-7DC183C04C04}" name="Process_Steps" displayName="Process_Steps" ref="A6:DZ27" totalsRowShown="0" headerRowDxfId="423">
  <autoFilter ref="A6:DZ27" xr:uid="{42B395FF-74A1-4EB8-A5EF-7FE6314A56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autoFilter>
  <tableColumns count="130">
    <tableColumn id="2" xr3:uid="{F6204C39-4D62-4CD8-99BF-4EAC9CDD39AD}" name="Name"/>
    <tableColumn id="10" xr3:uid="{86965A87-DE5E-4984-ACA8-D386CBF9C7BD}" name="Real or Virtual?"/>
    <tableColumn id="3" xr3:uid="{3D3A825C-F604-4DE4-A050-8BD7D6620FBD}" name="Product Display Name"/>
    <tableColumn id="4" xr3:uid="{940E1DC6-F7BD-4010-8D7D-188F75F59D5A}" name="Reference"/>
    <tableColumn id="6" xr3:uid="{CD006323-BB76-4AC3-890C-1F4D68343EAD}" name="Scheme"/>
    <tableColumn id="176" xr3:uid="{EC4328D7-3F7C-4814-A585-66B5E849A792}" name="Unscaled Step Product Mass" dataDxfId="422">
      <calculatedColumnFormula>INDEX(Table_Process_Details[Physical Mass (kg)],MATCH(1,INDEX((Process_Steps[[#This Row],[Name]]=Table_Process_Details[Step Name])*(Table_Process_Details[Input or Output]="Output"),0),0))</calculatedColumnFormula>
    </tableColumn>
    <tableColumn id="173" xr3:uid="{EA284491-9D19-4E65-92C5-F8F1CA21B771}" name="Total Mass that must be produced" dataDxfId="421">
      <calculatedColumnFormula array="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calculatedColumnFormula>
    </tableColumn>
    <tableColumn id="15" xr3:uid="{6AAD4CD8-640C-419B-8351-902E4647AC9F}" name="Step Scale Factor for 1kg Packaged API" dataDxfId="420">
      <calculatedColumnFormula>Process_Steps[[#This Row],[Total Mass that must be produced]]/Process_Steps[[#This Row],[Unscaled Step Product Mass]]</calculatedColumnFormula>
    </tableColumn>
    <tableColumn id="65" xr3:uid="{D5F113A8-08B2-4627-A3AC-F4DA8F850690}" name="Name if Real" dataDxfId="419">
      <calculatedColumnFormula>IF(Process_Steps[[#This Row],[Real or Virtual?]]="Real",Process_Steps[[#This Row],[Name]],NA())</calculatedColumnFormula>
    </tableColumn>
    <tableColumn id="53" xr3:uid="{83AFEBB1-9F74-4D7B-BEB5-8236B297588C}" name="Table Row" dataDxfId="418">
      <calculatedColumnFormula>ROW()-ROW(Process_Steps[[#Headers],[Table Row]])</calculatedColumnFormula>
    </tableColumn>
    <tableColumn id="5" xr3:uid="{05EF2AB3-A27A-4400-89D9-837E8122AF0A}" name="RV Step PMI" dataDxfId="417">
      <calculatedColumnFormula>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calculatedColumnFormula>
    </tableColumn>
    <tableColumn id="54" xr3:uid="{AD126CA9-FC57-4C0B-938B-43F2235949B5}" name="RV Step PMI per kg API" dataDxfId="416">
      <calculatedColumnFormula>IF(Process_Steps[[#This Row],[Real or Virtual?]]="Real",SUMIFS(Table_Process_Details[RV Physical Mass per kg API],Table_Process_Details[Input or Output],"Input",Table_Process_Details[Step Name],Process_Steps[[#This Row],[Name]]),NA())</calculatedColumnFormula>
    </tableColumn>
    <tableColumn id="1" xr3:uid="{C06ADB0C-2046-467E-8901-EA40321C34E3}" name="RV Step PMI per kg API (REAGENT)" dataDxfId="415">
      <calculatedColumnFormula>IF(Process_Steps[[#This Row],[Real or Virtual?]]="Real",SUMIFS(Table_Process_Details[RV Physical Mass per kg API (REAGENT)],Table_Process_Details[Input or Output],"Input",Table_Process_Details[Step Name],Process_Steps[[#This Row],[Name]]),NA())</calculatedColumnFormula>
    </tableColumn>
    <tableColumn id="13" xr3:uid="{58ADD41B-8DAC-47C7-B855-ED7AB8F6394A}" name="RV Step PMI per kg API (METAL)" dataDxfId="414">
      <calculatedColumnFormula>IF(Process_Steps[[#This Row],[Real or Virtual?]]="Real",SUMIFS(Table_Process_Details[RV Physical Mass per kg API (METAL)],Table_Process_Details[Input or Output],"Input",Table_Process_Details[Step Name],Process_Steps[[#This Row],[Name]]),NA())</calculatedColumnFormula>
    </tableColumn>
    <tableColumn id="42" xr3:uid="{91F367D4-4825-44EB-B1D9-BC552F00A62D}" name="RV Step PMI per kg API (SOLVENT)" dataDxfId="413">
      <calculatedColumnFormula>IF(Process_Steps[[#This Row],[Real or Virtual?]]="Real",SUMIFS(Table_Process_Details[RV Physical Mass per kg API (SOLVENT)],Table_Process_Details[Input or Output],"Input",Table_Process_Details[Step Name],Process_Steps[[#This Row],[Name]]),NA())</calculatedColumnFormula>
    </tableColumn>
    <tableColumn id="43" xr3:uid="{AB0B1186-9808-4034-875A-56FB6ED793CC}" name="RV Step PMI per kg API (WATER)" dataDxfId="412">
      <calculatedColumnFormula>IF(Process_Steps[[#This Row],[Real or Virtual?]]="Real",SUMIFS(Table_Process_Details[RV Physical Mass per kg API (WATER)],Table_Process_Details[Input or Output],"Input",Table_Process_Details[Step Name],Process_Steps[[#This Row],[Name]]),NA())</calculatedColumnFormula>
    </tableColumn>
    <tableColumn id="50" xr3:uid="{5C7F4048-EA73-4E02-9114-04E7933D56FD}" name="RV Step PMI per kg API (ENZ&amp;PLNT)" dataDxfId="411">
      <calculatedColumnFormula>IF(Process_Steps[[#This Row],[Real or Virtual?]]="Real",SUMIFS(Table_Process_Details[RV Physical Mass per kg API (ENZ&amp;PLNT)],Table_Process_Details[Input or Output],"Input",Table_Process_Details[Step Name],Process_Steps[[#This Row],[Name]]),NA())</calculatedColumnFormula>
    </tableColumn>
    <tableColumn id="51" xr3:uid="{0B3A383C-B5A0-4CEB-9E86-D895A063CB3B}" name="RV Step PMI per kg API (OTHER)" dataDxfId="410">
      <calculatedColumnFormula>IF(Process_Steps[[#This Row],[Real or Virtual?]]="Real",SUMIFS(Table_Process_Details[RV Physical Mass per kg API (OTHER)],Table_Process_Details[Input or Output],"Input",Table_Process_Details[Step Name],Process_Steps[[#This Row],[Name]]),NA())</calculatedColumnFormula>
    </tableColumn>
    <tableColumn id="68" xr3:uid="{26BA35E3-D956-4C9F-8704-29E5A28EE2B3}" name="Steps Sorted by [RV Step PMI per kg API]" dataDxfId="409">
      <calculatedColumnFormula>INDEX(Process_Steps[Name if Real],MATCH(Process_Steps[[#This Row],['[RV Step PMI per kg API'] of Each Step Sorted by '[RV Step PMI per kg API']]],Process_Steps[RV Step PMI per kg API],0))</calculatedColumnFormula>
    </tableColumn>
    <tableColumn id="66" xr3:uid="{9E494ACC-031A-48D4-8D43-A1AC0806A79F}" name="[RV Step PMI per kg API] of Each Step Sorted by [RV Step PMI per kg API]" dataDxfId="408">
      <calculatedColumnFormula array="1">IF(LARGE(_xlfn.IFNA(Process_Steps[RV Step PMI per kg API],0),Process_Steps[[#This Row],[Table Row]])=0,NA(),LARGE(_xlfn.IFNA(Process_Steps[RV Step PMI per kg API],0),Process_Steps[[#This Row],[Table Row]]))</calculatedColumnFormula>
    </tableColumn>
    <tableColumn id="75" xr3:uid="{E1495A75-0B6A-4E8F-BDF1-086D4552B079}" name="Cumulative Sum of [RV Step PMI per kg API] " dataDxfId="407">
      <calculatedColumnFormula>SUM(OFFSET(Process_Steps['[RV Step PMI per kg API'] of Each Step Sorted by '[RV Step PMI per kg API']],0,0,Process_Steps[[#This Row],[Table Row]]))</calculatedColumnFormula>
    </tableColumn>
    <tableColumn id="76" xr3:uid="{854CC709-D36A-48C3-B480-CB23AE5DE43C}" name="Labels for [RV Step PMI per kg API]" dataDxfId="406">
      <calculatedColumnFormula>"("&amp;TEXT(Process_Steps[[#This Row],['[RV Step PMI per kg API'] of Each Step Sorted by '[RV Step PMI per kg API']]]/SUMIF(Process_Steps['[RV Step PMI per kg API'] of Each Step Sorted by '[RV Step PMI per kg API']],"&lt;&gt;#N/A"),"0%")&amp;")"</calculatedColumnFormula>
    </tableColumn>
    <tableColumn id="52" xr3:uid="{4A9EEC23-35CC-477E-B6EC-99F315D85DC3}" name="[RV Step PMI per kg API] of Each Step Sorted by [RV Step PMI per kg API] (REAGENT)" dataDxfId="405">
      <calculatedColumnFormula>INDEX(Process_Steps[RV Step PMI per kg API (REAGENT)],MATCH(Process_Steps[[#This Row],[Steps Sorted by '[RV Step PMI per kg API']]],Process_Steps[Name],0))</calculatedColumnFormula>
    </tableColumn>
    <tableColumn id="55" xr3:uid="{2B0E2E9D-36AD-46C6-9A50-05CC1685AC54}" name="[RV Step PMI per kg API] of Each Step Sorted by [RV Step PMI per kg API] (METAL)" dataDxfId="404">
      <calculatedColumnFormula>INDEX(Process_Steps[RV Step PMI per kg API (METAL)],MATCH(Process_Steps[[#This Row],[Steps Sorted by '[RV Step PMI per kg API']]],Process_Steps[Name],0))</calculatedColumnFormula>
    </tableColumn>
    <tableColumn id="58" xr3:uid="{34A753B9-78E2-4449-BE5B-195336489230}" name="[RV Step PMI per kg API] of Each Step Sorted by [RV Step PMI per kg API] (SOLVENT)" dataDxfId="403">
      <calculatedColumnFormula>INDEX(Process_Steps[RV Step PMI per kg API (SOLVENT)],MATCH(Process_Steps[[#This Row],[Steps Sorted by '[RV Step PMI per kg API']]],Process_Steps[Name],0))</calculatedColumnFormula>
    </tableColumn>
    <tableColumn id="59" xr3:uid="{1D5142B4-5499-4800-AB01-C76B0D515FDB}" name="[RV Step PMI per kg API] of Each Step Sorted by [RV Step PMI per kg API] (WATER)" dataDxfId="402">
      <calculatedColumnFormula>INDEX(Process_Steps[RV Step PMI per kg API (WATER)],MATCH(Process_Steps[[#This Row],[Steps Sorted by '[RV Step PMI per kg API']]],Process_Steps[Name],0))</calculatedColumnFormula>
    </tableColumn>
    <tableColumn id="60" xr3:uid="{0CAE4A83-A2D8-44AE-8D77-6DF93919CC16}" name="[RV Step PMI per kg API] of Each Step Sorted by [RV Step PMI per kg API] (ENZ&amp;PLNT)" dataDxfId="401">
      <calculatedColumnFormula>INDEX(Process_Steps[RV Step PMI per kg API (ENZ&amp;PLNT)],MATCH(Process_Steps[[#This Row],[Steps Sorted by '[RV Step PMI per kg API']]],Process_Steps[Name],0))</calculatedColumnFormula>
    </tableColumn>
    <tableColumn id="61" xr3:uid="{134A5D94-84C6-4A3E-AA4A-04533F06DBAF}" name="[RV Step PMI per kg API] of Each Step Sorted by [RV Step PMI per kg API] (OTHER)" dataDxfId="400">
      <calculatedColumnFormula>INDEX(Process_Steps[RV Step PMI per kg API (OTHER)],MATCH(Process_Steps[[#This Row],[Steps Sorted by '[RV Step PMI per kg API']]],Process_Steps[Name],0))</calculatedColumnFormula>
    </tableColumn>
    <tableColumn id="44" xr3:uid="{C9E8BA8F-B7C3-4675-8E40-1E36883E8AAD}" name="RV Step Mass Net (kg) per kg API" dataDxfId="399">
      <calculatedColumnFormula>IF(Process_Steps[[#This Row],[Real or Virtual?]]="Real",SUMIFS(Table_Process_Details[RV Mass Net (kg) per kg API],Table_Process_Details[Step Name],Process_Steps[[#This Row],[Name]]),NA())</calculatedColumnFormula>
    </tableColumn>
    <tableColumn id="62" xr3:uid="{7AFF1DD1-C42B-4F52-A044-07147381ED8A}" name="RV Step Mass Net (kg) per kg API (REAGENT)" dataDxfId="398">
      <calculatedColumnFormula>IF(Process_Steps[[#This Row],[Real or Virtual?]]="Real",SUMIFS(Table_Process_Details[RV Mass Net (kg) per kg API (REAGENT)],Table_Process_Details[Step Name],Process_Steps[[#This Row],[Name]]),NA())</calculatedColumnFormula>
    </tableColumn>
    <tableColumn id="63" xr3:uid="{3CB7D666-3275-4E43-8136-1F1536706876}" name="RV Step Mass Net (kg) per kg API (METAL)" dataDxfId="397">
      <calculatedColumnFormula>IF(Process_Steps[[#This Row],[Real or Virtual?]]="Real",SUMIFS(Table_Process_Details[RV Mass Net (kg) per kg API (METAL)],Table_Process_Details[Step Name],Process_Steps[[#This Row],[Name]]),NA())</calculatedColumnFormula>
    </tableColumn>
    <tableColumn id="64" xr3:uid="{4E559145-5ACD-4E97-81A1-E21CB97B0505}" name="RV Step Mass Net (kg) per kg API (SOLVENT)" dataDxfId="396">
      <calculatedColumnFormula>IF(Process_Steps[[#This Row],[Real or Virtual?]]="Real",SUMIFS(Table_Process_Details[RV Mass Net (kg) per kg API (SOLVENT)],Table_Process_Details[Step Name],Process_Steps[[#This Row],[Name]]),NA())</calculatedColumnFormula>
    </tableColumn>
    <tableColumn id="67" xr3:uid="{AF5E3303-BFF4-4B83-96AD-6CF428AAC2A8}" name="RV Step Mass Net (kg) per kg API (WATER)" dataDxfId="395">
      <calculatedColumnFormula>IF(Process_Steps[[#This Row],[Real or Virtual?]]="Real",SUMIFS(Table_Process_Details[RV Mass Net (kg) per kg API (WATER)],Table_Process_Details[Step Name],Process_Steps[[#This Row],[Name]]),NA())</calculatedColumnFormula>
    </tableColumn>
    <tableColumn id="69" xr3:uid="{C181448E-7149-45A9-9AF3-A6A81E7B6D2C}" name="RV Step Mass Net (kg) per kg API (ENZ&amp;PLNT)" dataDxfId="394">
      <calculatedColumnFormula>IF(Process_Steps[[#This Row],[Real or Virtual?]]="Real",SUMIFS(Table_Process_Details[RV Mass Net (kg) per kg API (ENZ&amp;PLNT)],Table_Process_Details[Step Name],Process_Steps[[#This Row],[Name]]),NA())</calculatedColumnFormula>
    </tableColumn>
    <tableColumn id="70" xr3:uid="{321D6233-B228-4D97-8C6B-4C2FA24DF3D7}" name="RV Step Mass Net (kg) per kg API (OTHER)" dataDxfId="393">
      <calculatedColumnFormula>IF(Process_Steps[[#This Row],[Real or Virtual?]]="Real",SUMIFS(Table_Process_Details[RV Mass Net (kg) per kg API (OTHER)],Table_Process_Details[Step Name],Process_Steps[[#This Row],[Name]]),NA())</calculatedColumnFormula>
    </tableColumn>
    <tableColumn id="77" xr3:uid="{6EDDB4E6-1C24-402A-843B-195271653CDE}" name="Steps Sorted by [RV Step Mass Net (kg) per kg API]" dataDxfId="392">
      <calculatedColumnFormula>INDEX(Process_Steps[Name if Real],MATCH(Process_Steps[[#This Row],['[RV Step Mass Net (kg) per kg API'] of Each Step Sorted by '[RV Step Mass Net (kg) per kg API']]],Process_Steps[RV Step Mass Net (kg) per kg API],0))</calculatedColumnFormula>
    </tableColumn>
    <tableColumn id="78" xr3:uid="{5759EFD1-4713-4F16-B62C-28013E2E14CF}" name="[RV Step Mass Net (kg) per kg API] of Each Step Sorted by [RV Step Mass Net (kg) per kg API]" dataDxfId="391">
      <calculatedColumnFormula array="1">IF(LARGE(_xlfn.IFNA(Process_Steps[RV Step Mass Net (kg) per kg API],0),Process_Steps[[#This Row],[Table Row]])=0,NA(),LARGE(_xlfn.IFNA(Process_Steps[RV Step Mass Net (kg) per kg API],0),Process_Steps[[#This Row],[Table Row]]))</calculatedColumnFormula>
    </tableColumn>
    <tableColumn id="79" xr3:uid="{0AF3585A-D45F-4E9E-AE0E-13EB5848A386}" name="Cumulative Sum of [RV Step Mass Net (kg) per kg API]" dataDxfId="390">
      <calculatedColumnFormula>SUM(OFFSET(Process_Steps['[RV Step Mass Net (kg) per kg API'] of Each Step Sorted by '[RV Step Mass Net (kg) per kg API']],0,0,Process_Steps[[#This Row],[Table Row]]))</calculatedColumnFormula>
    </tableColumn>
    <tableColumn id="80" xr3:uid="{FB452B53-F57D-4292-BD07-F8B402C0D520}" name="Labels for [RV Step Mass Net (kg) per kg API]" dataDxfId="389">
      <calculatedColumnFormula>"("&amp;TEXT(Process_Steps[[#This Row],['[RV Step Mass Net (kg) per kg API'] of Each Step Sorted by '[RV Step Mass Net (kg) per kg API']]]/SUMIF(Process_Steps['[RV Step Mass Net (kg) per kg API'] of Each Step Sorted by '[RV Step Mass Net (kg) per kg API']],"&lt;&gt;#N/A"),"0%")&amp;")"</calculatedColumnFormula>
    </tableColumn>
    <tableColumn id="71" xr3:uid="{D2FF8152-E591-4600-81F5-8FD610F4F09E}" name="[RV Step Mass Net (kg) per kg API] of Each Step Sorted by [RV Step Mass Net (kg) per kg API] (REAGENT)" dataDxfId="388">
      <calculatedColumnFormula>INDEX(Process_Steps[RV Step Mass Net (kg) per kg API (REAGENT)],MATCH(Process_Steps[[#This Row],[Steps Sorted by '[RV Step Mass Net (kg) per kg API']]],Process_Steps[Name],0))</calculatedColumnFormula>
    </tableColumn>
    <tableColumn id="72" xr3:uid="{0420F4A2-E55A-4025-B2D6-AD24B0D530DD}" name="[RV Step Mass Net (kg) per kg API] of Each Step Sorted by [RV Step Mass Net (kg) per kg API] (METAL)" dataDxfId="387">
      <calculatedColumnFormula>INDEX(Process_Steps[RV Step Mass Net (kg) per kg API (METAL)],MATCH(Process_Steps[[#This Row],[Steps Sorted by '[RV Step Mass Net (kg) per kg API']]],Process_Steps[Name],0))</calculatedColumnFormula>
    </tableColumn>
    <tableColumn id="73" xr3:uid="{7F74D081-1514-41E7-A6BC-522942EE20EA}" name="[RV Step Mass Net (kg) per kg API] of Each Step Sorted by [RV Step Mass Net (kg) per kg API] (SOLVENT)" dataDxfId="386">
      <calculatedColumnFormula>INDEX(Process_Steps[RV Step Mass Net (kg) per kg API (SOLVENT)],MATCH(Process_Steps[[#This Row],[Steps Sorted by '[RV Step Mass Net (kg) per kg API']]],Process_Steps[Name],0))</calculatedColumnFormula>
    </tableColumn>
    <tableColumn id="74" xr3:uid="{98DFB1DD-0A77-4D82-B56E-4A843C52B94B}" name="[RV Step Mass Net (kg) per kg API] of Each Step Sorted by [RV Step Mass Net (kg) per kg API] (WATER)" dataDxfId="385">
      <calculatedColumnFormula>INDEX(Process_Steps[RV Step Mass Net (kg) per kg API (WATER)],MATCH(Process_Steps[[#This Row],[Steps Sorted by '[RV Step Mass Net (kg) per kg API']]],Process_Steps[Name],0))</calculatedColumnFormula>
    </tableColumn>
    <tableColumn id="101" xr3:uid="{A0D5E073-7F53-4C1D-8D46-5EFF7DF4C286}" name="[RV Step Mass Net (kg) per kg API] of Each Step Sorted by [RV Step Mass Net (kg) per kg API] (ENZ&amp;PLNT)" dataDxfId="384">
      <calculatedColumnFormula>INDEX(Process_Steps[RV Step Mass Net (kg) per kg API (ENZ&amp;PLNT)],MATCH(Process_Steps[[#This Row],[Steps Sorted by '[RV Step Mass Net (kg) per kg API']]],Process_Steps[Name],0))</calculatedColumnFormula>
    </tableColumn>
    <tableColumn id="102" xr3:uid="{45C5B566-E7CE-49AB-AE1A-1B0D0646F2D3}" name="[RV Step Mass Net (kg) per kg API] of Each Step Sorted by [RV Step Mass Net (kg) per kg API] (OTHER)" dataDxfId="383">
      <calculatedColumnFormula>INDEX(Process_Steps[RV Step Mass Net (kg) per kg API (OTHER)],MATCH(Process_Steps[[#This Row],[Steps Sorted by '[RV Step Mass Net (kg) per kg API']]],Process_Steps[Name],0))</calculatedColumnFormula>
    </tableColumn>
    <tableColumn id="45" xr3:uid="{0C1F9FA9-E928-4F02-966E-1F4017F2EF9C}" name="RV Step Energy (MJ) per kg API" dataDxfId="382">
      <calculatedColumnFormula>IF(Process_Steps[[#This Row],[Real or Virtual?]]="Real",SUMIFS(Table_Process_Details[RV Energy (MJ) per kg API],Table_Process_Details[Step Name],Process_Steps[[#This Row],[Name]]),NA())</calculatedColumnFormula>
    </tableColumn>
    <tableColumn id="103" xr3:uid="{6AD55F0D-7191-47EB-82F5-01AAA61D4696}" name="RV Step Energy (MJ) per kg API (REAGENT)" dataDxfId="381">
      <calculatedColumnFormula>IF(Process_Steps[[#This Row],[Real or Virtual?]]="Real",SUMIFS(Table_Process_Details[RV Energy (MJ) per kg API (REAGENT)],Table_Process_Details[Step Name],Process_Steps[[#This Row],[Name]]),NA())</calculatedColumnFormula>
    </tableColumn>
    <tableColumn id="104" xr3:uid="{37B93F48-423C-45CA-8622-B07248A5FAC8}" name="RV Step Energy (MJ) per kg API (METAL)" dataDxfId="380">
      <calculatedColumnFormula>IF(Process_Steps[[#This Row],[Real or Virtual?]]="Real",SUMIFS(Table_Process_Details[RV Energy (MJ) per kg API (METAL)],Table_Process_Details[Step Name],Process_Steps[[#This Row],[Name]]),NA())</calculatedColumnFormula>
    </tableColumn>
    <tableColumn id="105" xr3:uid="{5B439314-04B2-4324-8B6D-CFB5C7B92E1D}" name="RV Step Energy (MJ) per kg API (SOLVENT)" dataDxfId="379">
      <calculatedColumnFormula>IF(Process_Steps[[#This Row],[Real or Virtual?]]="Real",SUMIFS(Table_Process_Details[RV Energy (MJ) per kg API (SOLVENT)],Table_Process_Details[Step Name],Process_Steps[[#This Row],[Name]]),NA())</calculatedColumnFormula>
    </tableColumn>
    <tableColumn id="106" xr3:uid="{D23D88E7-8729-47A3-9E30-66E4DAEED086}" name="RV Step Energy (MJ) per kg API (WATER)" dataDxfId="378">
      <calculatedColumnFormula>IF(Process_Steps[[#This Row],[Real or Virtual?]]="Real",SUMIFS(Table_Process_Details[RV Energy (MJ) per kg API (WATER)],Table_Process_Details[Step Name],Process_Steps[[#This Row],[Name]]),NA())</calculatedColumnFormula>
    </tableColumn>
    <tableColumn id="107" xr3:uid="{D21DA63A-9E8E-4979-ADD4-EC6E5077C35D}" name="RV Step Energy (MJ) per kg API (ENZ&amp;PLNT)" dataDxfId="377">
      <calculatedColumnFormula>IF(Process_Steps[[#This Row],[Real or Virtual?]]="Real",SUMIFS(Table_Process_Details[RV Energy (MJ) per kg API (ENZ&amp;PLNT)],Table_Process_Details[Step Name],Process_Steps[[#This Row],[Name]]),NA())</calculatedColumnFormula>
    </tableColumn>
    <tableColumn id="108" xr3:uid="{43969F16-CDBC-4EB6-8092-2DB81AA29679}" name="RV Step Energy (MJ) per kg API (OTHER)" dataDxfId="376">
      <calculatedColumnFormula>IF(Process_Steps[[#This Row],[Real or Virtual?]]="Real",SUMIFS(Table_Process_Details[RV Energy (MJ) per kg API (OTHER)],Table_Process_Details[Step Name],Process_Steps[[#This Row],[Name]]),NA())</calculatedColumnFormula>
    </tableColumn>
    <tableColumn id="81" xr3:uid="{E4DADEEA-F622-411A-9534-873796E740A4}" name="Steps Sorted by [RV Step Energy (MJ) per kg API]" dataDxfId="375">
      <calculatedColumnFormula>INDEX(Process_Steps[Name if Real],MATCH(Process_Steps[[#This Row],['[RV Step Energy (MJ) per kg API'] of Each Step Sorted by '[RV Step Energy (MJ) per kg API']]],Process_Steps[RV Step Energy (MJ) per kg API],0))</calculatedColumnFormula>
    </tableColumn>
    <tableColumn id="82" xr3:uid="{FABAD4C1-994B-4AE1-AA2E-0B4BF3F090D0}" name="[RV Step Energy (MJ) per kg API] of Each Step Sorted by [RV Step Energy (MJ) per kg API]" dataDxfId="374">
      <calculatedColumnFormula array="1">IF(LARGE(_xlfn.IFNA(Process_Steps[RV Step Energy (MJ) per kg API],0),Process_Steps[[#This Row],[Table Row]])=0,NA(),LARGE(_xlfn.IFNA(Process_Steps[RV Step Energy (MJ) per kg API],0),Process_Steps[[#This Row],[Table Row]]))</calculatedColumnFormula>
    </tableColumn>
    <tableColumn id="83" xr3:uid="{7A590C6B-198E-43C1-AADD-BF61E829452C}" name="Cumulative Sum of [RV Step Energy (MJ) per kg API]" dataDxfId="373">
      <calculatedColumnFormula>SUM(OFFSET(Process_Steps['[RV Step Energy (MJ) per kg API'] of Each Step Sorted by '[RV Step Energy (MJ) per kg API']],0,0,Process_Steps[[#This Row],[Table Row]]))</calculatedColumnFormula>
    </tableColumn>
    <tableColumn id="84" xr3:uid="{90F15530-9F9F-4FB6-81DC-3AE45B2B38AE}" name="Labels for [RV Step Energy (MJ) per kg API]" dataDxfId="372">
      <calculatedColumnFormula>"("&amp;TEXT(Process_Steps[[#This Row],['[RV Step Energy (MJ) per kg API'] of Each Step Sorted by '[RV Step Energy (MJ) per kg API']]]/SUMIF(Process_Steps['[RV Step Energy (MJ) per kg API'] of Each Step Sorted by '[RV Step Energy (MJ) per kg API']],"&lt;&gt;#N/A"),"0%")&amp;")"</calculatedColumnFormula>
    </tableColumn>
    <tableColumn id="115" xr3:uid="{613E035C-124F-41DC-AA2A-1B526E95ACE6}" name="[RV Step Energy (MJ) per kg API] of Each Step Sorted by [RV Step Energy (MJ) per kg API] (REAGENT)" dataDxfId="371">
      <calculatedColumnFormula>INDEX(Process_Steps[RV Step Energy (MJ) per kg API (REAGENT)],MATCH(Process_Steps[[#This Row],[Steps Sorted by '[RV Step Energy (MJ) per kg API']]],Process_Steps[Name],0))</calculatedColumnFormula>
    </tableColumn>
    <tableColumn id="116" xr3:uid="{BE2C74AB-5BC9-4D04-B03F-1E4DAD600657}" name="[RV Step Energy (MJ) per kg API] of Each Step Sorted by [RV Step Energy (MJ) per kg API] (METAL)" dataDxfId="370">
      <calculatedColumnFormula>INDEX(Process_Steps[RV Step Energy (MJ) per kg API (METAL)],MATCH(Process_Steps[[#This Row],[Steps Sorted by '[RV Step Energy (MJ) per kg API']]],Process_Steps[Name],0))</calculatedColumnFormula>
    </tableColumn>
    <tableColumn id="117" xr3:uid="{FA82A529-1562-4DA2-9859-1D10F7411D7E}" name="[RV Step Energy (MJ) per kg API] of Each Step Sorted by [RV Step Energy (MJ) per kg API] (SOLVENT)" dataDxfId="369">
      <calculatedColumnFormula>INDEX(Process_Steps[RV Step Energy (MJ) per kg API (SOLVENT)],MATCH(Process_Steps[[#This Row],[Steps Sorted by '[RV Step Energy (MJ) per kg API']]],Process_Steps[Name],0))</calculatedColumnFormula>
    </tableColumn>
    <tableColumn id="118" xr3:uid="{0F890CBE-D9E5-40F7-B2E4-5F7A7E872067}" name="[RV Step Energy (MJ) per kg API] of Each Step Sorted by [RV Step Energy (MJ) per kg API] (WATER)" dataDxfId="368">
      <calculatedColumnFormula>INDEX(Process_Steps[RV Step Energy (MJ) per kg API (WATER)],MATCH(Process_Steps[[#This Row],[Steps Sorted by '[RV Step Energy (MJ) per kg API']]],Process_Steps[Name],0))</calculatedColumnFormula>
    </tableColumn>
    <tableColumn id="119" xr3:uid="{92C1A20A-DCF0-47AD-BA5B-76945300F459}" name="[RV Step Energy (MJ) per kg API] of Each Step Sorted by [RV Step Energy (MJ) per kg API] (ENZ&amp;PLNT)" dataDxfId="367">
      <calculatedColumnFormula>INDEX(Process_Steps[RV Step Energy (MJ) per kg API (ENZ&amp;PLNT)],MATCH(Process_Steps[[#This Row],[Steps Sorted by '[RV Step Energy (MJ) per kg API']]],Process_Steps[Name],0))</calculatedColumnFormula>
    </tableColumn>
    <tableColumn id="120" xr3:uid="{48C7ECB6-51E4-4138-BA5A-5E82D03207C1}" name="[RV Step Energy (MJ) per kg API] of Each Step Sorted by [RV Step Energy (MJ) per kg API] (OTHER)" dataDxfId="366">
      <calculatedColumnFormula>INDEX(Process_Steps[RV Step Energy (MJ) per kg API (OTHER)],MATCH(Process_Steps[[#This Row],[Steps Sorted by '[RV Step Energy (MJ) per kg API']]],Process_Steps[Name],0))</calculatedColumnFormula>
    </tableColumn>
    <tableColumn id="46" xr3:uid="{B32E4201-BA8A-4772-8591-73676FD1473D}" name="RV Step GWP (kg CO2 equiv.) per kg API" dataDxfId="365">
      <calculatedColumnFormula>IF(Process_Steps[[#This Row],[Real or Virtual?]]="Real",SUMIFS(Table_Process_Details[RV GWP (kg CO2 equiv.) per kg API],Table_Process_Details[Step Name],Process_Steps[[#This Row],[Name]]),NA())</calculatedColumnFormula>
    </tableColumn>
    <tableColumn id="121" xr3:uid="{E5E81CD0-DD21-4AF7-8C9A-B6E90EFF0DEC}" name="RV Step GWP (kg CO2 equiv.) per kg API (REAGENT)" dataDxfId="364">
      <calculatedColumnFormula>IF(Process_Steps[[#This Row],[Real or Virtual?]]="Real",SUMIFS(Table_Process_Details[RV GWP (kg CO2 equiv.) per kg API (REAGENT)],Table_Process_Details[Step Name],Process_Steps[[#This Row],[Name]]),NA())</calculatedColumnFormula>
    </tableColumn>
    <tableColumn id="122" xr3:uid="{89EABF55-549C-489B-B439-002E9CFAB4B8}" name="RV Step GWP (kg CO2 equiv.) per kg API (METAL)" dataDxfId="363">
      <calculatedColumnFormula>IF(Process_Steps[[#This Row],[Real or Virtual?]]="Real",SUMIFS(Table_Process_Details[RV GWP (kg CO2 equiv.) per kg API (METAL)],Table_Process_Details[Step Name],Process_Steps[[#This Row],[Name]]),NA())</calculatedColumnFormula>
    </tableColumn>
    <tableColumn id="123" xr3:uid="{CE39153B-FC46-4621-BF29-6495B719495D}" name="RV Step GWP (kg CO2 equiv.) per kg API (SOLVENT)" dataDxfId="362">
      <calculatedColumnFormula>IF(Process_Steps[[#This Row],[Real or Virtual?]]="Real",SUMIFS(Table_Process_Details[RV GWP (kg CO2 equiv.) per kg API (SOLVENT)],Table_Process_Details[Step Name],Process_Steps[[#This Row],[Name]]),NA())</calculatedColumnFormula>
    </tableColumn>
    <tableColumn id="124" xr3:uid="{21F5EE1D-A53F-4B96-87F5-520AB5605ACA}" name="RV Step GWP (kg CO2 equiv.) per kg API (WATER)" dataDxfId="361">
      <calculatedColumnFormula>IF(Process_Steps[[#This Row],[Real or Virtual?]]="Real",SUMIFS(Table_Process_Details[RV GWP (kg CO2 equiv.) per kg API (WATER)],Table_Process_Details[Step Name],Process_Steps[[#This Row],[Name]]),NA())</calculatedColumnFormula>
    </tableColumn>
    <tableColumn id="125" xr3:uid="{02302772-DAD4-40E9-AA55-A579E7EABECB}" name="RV Step GWP (kg CO2 equiv.) per kg API (ENZ&amp;PLNT)" dataDxfId="360">
      <calculatedColumnFormula>IF(Process_Steps[[#This Row],[Real or Virtual?]]="Real",SUMIFS(Table_Process_Details[RV GWP (kg CO2 equiv.) per kg API (ENZ&amp;PLNT)],Table_Process_Details[Step Name],Process_Steps[[#This Row],[Name]]),NA())</calculatedColumnFormula>
    </tableColumn>
    <tableColumn id="126" xr3:uid="{1886CC34-8959-4F64-9072-26DCD842CF6C}" name="RV Step GWP (kg CO2 equiv.) per kg API (OTHER)" dataDxfId="359">
      <calculatedColumnFormula>IF(Process_Steps[[#This Row],[Real or Virtual?]]="Real",SUMIFS(Table_Process_Details[RV GWP (kg CO2 equiv.) per kg API (OTHER)],Table_Process_Details[Step Name],Process_Steps[[#This Row],[Name]]),NA())</calculatedColumnFormula>
    </tableColumn>
    <tableColumn id="85" xr3:uid="{BA356C08-339F-474A-8613-E5DEE9238B30}" name="Steps Sorted by [RV Step GWP (kg CO2 equiv.) per kg API]" dataDxfId="358">
      <calculatedColumnFormula>INDEX(Process_Steps[Name if Real],MATCH(Process_Steps[[#This Row],['[RV Step GWP (kg CO2 equiv.) per kg API'] of Each Step Sorted by '[RV Step GWP (kg CO2 equiv.) per kg API']]],Process_Steps[RV Step GWP (kg CO2 equiv.) per kg API],0))</calculatedColumnFormula>
    </tableColumn>
    <tableColumn id="86" xr3:uid="{70149E4A-136D-4BDB-A046-F5FD7183D968}" name="[RV Step GWP (kg CO2 equiv.) per kg API] of Each Step Sorted by [RV Step GWP (kg CO2 equiv.) per kg API]" dataDxfId="357">
      <calculatedColumnFormula array="1">IF(LARGE(_xlfn.IFNA(Process_Steps[RV Step GWP (kg CO2 equiv.) per kg API],0),Process_Steps[[#This Row],[Table Row]])=0,NA(),LARGE(_xlfn.IFNA(Process_Steps[RV Step GWP (kg CO2 equiv.) per kg API],0),Process_Steps[[#This Row],[Table Row]]))</calculatedColumnFormula>
    </tableColumn>
    <tableColumn id="87" xr3:uid="{9D1FA647-9C71-4251-87FD-E9BA073F29A9}" name="Cumulative Sum of [RV Step GWP (kg CO2 equiv.) per kg API]" dataDxfId="356">
      <calculatedColumnFormula>SUM(OFFSET(Process_Steps['[RV Step GWP (kg CO2 equiv.) per kg API'] of Each Step Sorted by '[RV Step GWP (kg CO2 equiv.) per kg API']],0,0,Process_Steps[[#This Row],[Table Row]]))</calculatedColumnFormula>
    </tableColumn>
    <tableColumn id="88" xr3:uid="{772C91CB-C031-4571-B06A-DFBE3D8DEA6F}" name="Labels for [RV Step GWP (kg CO2 equiv.) per kg API]" dataDxfId="355">
      <calculatedColumnFormula>"("&amp;TEXT(Process_Steps[[#This Row],['[RV Step GWP (kg CO2 equiv.) per kg API'] of Each Step Sorted by '[RV Step GWP (kg CO2 equiv.) per kg API']]]/SUMIF(Process_Steps['[RV Step GWP (kg CO2 equiv.) per kg API'] of Each Step Sorted by '[RV Step GWP (kg CO2 equiv.) per kg API']],"&lt;&gt;#N/A"),"0%")&amp;")"</calculatedColumnFormula>
    </tableColumn>
    <tableColumn id="127" xr3:uid="{322F012B-5678-41A5-A2E3-A3924C0E3A46}" name="[RV Step GWP (kg CO2 equiv.) per kg API] of Each Step Sorted by [RV Step GWP (kg CO2 equiv.) per kg API] (REAGENT)" dataDxfId="354">
      <calculatedColumnFormula>INDEX(Process_Steps[RV Step GWP (kg CO2 equiv.) per kg API (REAGENT)],MATCH(Process_Steps[[#This Row],[Steps Sorted by '[RV Step GWP (kg CO2 equiv.) per kg API']]],Process_Steps[Name],0))</calculatedColumnFormula>
    </tableColumn>
    <tableColumn id="128" xr3:uid="{8544D303-A055-49AF-B516-7708C9C5F192}" name="[RV Step GWP (kg CO2 equiv.) per kg API] of Each Step Sorted by [RV Step GWP (kg CO2 equiv.) per kg API] (METAL)" dataDxfId="353">
      <calculatedColumnFormula>INDEX(Process_Steps[RV Step GWP (kg CO2 equiv.) per kg API (METAL)],MATCH(Process_Steps[[#This Row],[Steps Sorted by '[RV Step GWP (kg CO2 equiv.) per kg API']]],Process_Steps[Name],0))</calculatedColumnFormula>
    </tableColumn>
    <tableColumn id="129" xr3:uid="{002F6296-2A27-4E26-82E1-7BCD77BFA2E3}" name="[RV Step GWP (kg CO2 equiv.) per kg API] of Each Step Sorted by [RV Step GWP (kg CO2 equiv.) per kg API] (SOLVENT)" dataDxfId="352">
      <calculatedColumnFormula>INDEX(Process_Steps[RV Step GWP (kg CO2 equiv.) per kg API (SOLVENT)],MATCH(Process_Steps[[#This Row],[Steps Sorted by '[RV Step GWP (kg CO2 equiv.) per kg API']]],Process_Steps[Name],0))</calculatedColumnFormula>
    </tableColumn>
    <tableColumn id="130" xr3:uid="{E2290509-574B-42AF-A422-7B8DE3DF8443}" name="[RV Step GWP (kg CO2 equiv.) per kg API] of Each Step Sorted by [RV Step GWP (kg CO2 equiv.) per kg API] (WATER)" dataDxfId="351">
      <calculatedColumnFormula>INDEX(Process_Steps[RV Step GWP (kg CO2 equiv.) per kg API (WATER)],MATCH(Process_Steps[[#This Row],[Steps Sorted by '[RV Step GWP (kg CO2 equiv.) per kg API']]],Process_Steps[Name],0))</calculatedColumnFormula>
    </tableColumn>
    <tableColumn id="131" xr3:uid="{2A63A0E7-B8B5-47C8-819B-B803522F61AA}" name="[RV Step GWP (kg CO2 equiv.) per kg API] of Each Step Sorted by [RV Step GWP (kg CO2 equiv.) per kg API] (ENZ&amp;PLNT)" dataDxfId="350">
      <calculatedColumnFormula>INDEX(Process_Steps[RV Step GWP (kg CO2 equiv.) per kg API (ENZ&amp;PLNT)],MATCH(Process_Steps[[#This Row],[Steps Sorted by '[RV Step GWP (kg CO2 equiv.) per kg API']]],Process_Steps[Name],0))</calculatedColumnFormula>
    </tableColumn>
    <tableColumn id="132" xr3:uid="{2076A7BD-1900-4ED3-B543-FAB5B2831C2D}" name="[RV Step GWP (kg CO2 equiv.) per kg API] of Each Step Sorted by [RV Step GWP (kg CO2 equiv.) per kg API] (OTHER)" dataDxfId="349">
      <calculatedColumnFormula>INDEX(Process_Steps[RV Step GWP (kg CO2 equiv.) per kg API (OTHER)],MATCH(Process_Steps[[#This Row],[Steps Sorted by '[RV Step GWP (kg CO2 equiv.) per kg API']]],Process_Steps[Name],0))</calculatedColumnFormula>
    </tableColumn>
    <tableColumn id="47" xr3:uid="{A011D433-4990-4329-9BB7-8AD571F16CCD}" name="RV Step Acidification (kg SO2 equiv.) per kg API" dataDxfId="348">
      <calculatedColumnFormula>IF(Process_Steps[[#This Row],[Real or Virtual?]]="Real",SUMIFS(Table_Process_Details[RV Acidification (kg SO2 equiv.) per kg API],Table_Process_Details[Step Name],Process_Steps[[#This Row],[Name]]),NA())</calculatedColumnFormula>
    </tableColumn>
    <tableColumn id="133" xr3:uid="{D9FF0AF6-E0FB-4672-BE28-6A69213BB2B3}" name="RV Step Acidification (kg SO2 equiv.) per kg API (REAGENT)" dataDxfId="347">
      <calculatedColumnFormula>IF(Process_Steps[[#This Row],[Real or Virtual?]]="Real",SUMIFS(Table_Process_Details[RV Acidification (kg SO2 equiv.) per kg API (REAGENT)],Table_Process_Details[Step Name],Process_Steps[[#This Row],[Name]]),NA())</calculatedColumnFormula>
    </tableColumn>
    <tableColumn id="134" xr3:uid="{35746F7B-06EE-420C-81BC-E12A9F41DCEF}" name="RV Step Acidification (kg SO2 equiv.) per kg API (METAL)" dataDxfId="346">
      <calculatedColumnFormula>IF(Process_Steps[[#This Row],[Real or Virtual?]]="Real",SUMIFS(Table_Process_Details[RV Acidification (kg SO2 equiv.) per kg API (METAL)],Table_Process_Details[Step Name],Process_Steps[[#This Row],[Name]]),NA())</calculatedColumnFormula>
    </tableColumn>
    <tableColumn id="135" xr3:uid="{B23C5DBD-AE00-49B6-944A-7B7FB277B623}" name="RV Step Acidification (kg SO2 equiv.) per kg API (SOLVENT)" dataDxfId="345">
      <calculatedColumnFormula>IF(Process_Steps[[#This Row],[Real or Virtual?]]="Real",SUMIFS(Table_Process_Details[RV Acidification (kg SO2 equiv.) per kg API (SOLVENT)],Table_Process_Details[Step Name],Process_Steps[[#This Row],[Name]]),NA())</calculatedColumnFormula>
    </tableColumn>
    <tableColumn id="136" xr3:uid="{F4AC22F8-FB3D-4C83-868F-88B7A80902F6}" name="RV Step Acidification (kg SO2 equiv.) per kg API (WATER)" dataDxfId="344">
      <calculatedColumnFormula>IF(Process_Steps[[#This Row],[Real or Virtual?]]="Real",SUMIFS(Table_Process_Details[RV Acidification (kg SO2 equiv.) per kg API (WATER)],Table_Process_Details[Step Name],Process_Steps[[#This Row],[Name]]),NA())</calculatedColumnFormula>
    </tableColumn>
    <tableColumn id="137" xr3:uid="{7E3518E3-0F58-441C-B526-66FDD5F88137}" name="RV Step Acidification (kg SO2 equiv.) per kg API (ENZ&amp;PLNT)" dataDxfId="343">
      <calculatedColumnFormula>IF(Process_Steps[[#This Row],[Real or Virtual?]]="Real",SUMIFS(Table_Process_Details[RV Acidification (kg SO2 equiv.) per kg API (ENZ&amp;PLNT)],Table_Process_Details[Step Name],Process_Steps[[#This Row],[Name]]),NA())</calculatedColumnFormula>
    </tableColumn>
    <tableColumn id="138" xr3:uid="{94D68533-2245-4970-BE55-5666F3167650}" name="RV Step Acidification (kg SO2 equiv.) per kg API (OTHER)" dataDxfId="342">
      <calculatedColumnFormula>IF(Process_Steps[[#This Row],[Real or Virtual?]]="Real",SUMIFS(Table_Process_Details[RV Acidification (kg SO2 equiv.) per kg API (OTHER)],Table_Process_Details[Step Name],Process_Steps[[#This Row],[Name]]),NA())</calculatedColumnFormula>
    </tableColumn>
    <tableColumn id="89" xr3:uid="{758126BB-279F-4102-9883-14E55E30DD91}" name="Steps Sorted by [RV Step Acidification (kg SO2 equiv.) per kg API]" dataDxfId="341">
      <calculatedColumnFormula>INDEX(Process_Steps[Name if Real],MATCH(Process_Steps[[#This Row],['[RV Step Acidification (kg SO2 equiv.) per kg API'] of Each Step Sorted by '[RV Step Acidification (kg SO2 equiv.) per kg API']]],Process_Steps[RV Step Acidification (kg SO2 equiv.) per kg API],0))</calculatedColumnFormula>
    </tableColumn>
    <tableColumn id="90" xr3:uid="{95835475-FF07-4113-97DF-7E7BE4B9C350}" name="[RV Step Acidification (kg SO2 equiv.) per kg API] of Each Step Sorted by [RV Step Acidification (kg SO2 equiv.) per kg API]" dataDxfId="340">
      <calculatedColumnFormula array="1">IF(LARGE(_xlfn.IFNA(Process_Steps[RV Step Acidification (kg SO2 equiv.) per kg API],0),Process_Steps[[#This Row],[Table Row]])=0,NA(),LARGE(_xlfn.IFNA(Process_Steps[RV Step Acidification (kg SO2 equiv.) per kg API],0),Process_Steps[[#This Row],[Table Row]]))</calculatedColumnFormula>
    </tableColumn>
    <tableColumn id="91" xr3:uid="{306E4713-2932-4794-9A94-625835E1877D}" name="Cumulative Sum of [RV Step Acidification (kg SO2 equiv.) per kg API]" dataDxfId="339">
      <calculatedColumnFormula>SUM(OFFSET(Process_Steps['[RV Step Acidification (kg SO2 equiv.) per kg API'] of Each Step Sorted by '[RV Step Acidification (kg SO2 equiv.) per kg API']],0,0,Process_Steps[[#This Row],[Table Row]]))</calculatedColumnFormula>
    </tableColumn>
    <tableColumn id="92" xr3:uid="{7C7D42CE-71FC-4482-8A7E-313418D05744}" name="Labels for [RV Step Acidification (kg SO2 equiv.) per kg API]" dataDxfId="338">
      <calculatedColumnFormula>"("&amp;TEXT(Process_Steps[[#This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calculatedColumnFormula>
    </tableColumn>
    <tableColumn id="139" xr3:uid="{FA2086AF-0319-4B44-B9FA-CD425F7BAB4A}" name="[RV Step Acidification (kg SO2 equiv.) per kg API] of Each Step Sorted by [RV Step Acidification (kg SO2 equiv.) per kg API] (REAGENT)" dataDxfId="337">
      <calculatedColumnFormula>INDEX(Process_Steps[RV Step Acidification (kg SO2 equiv.) per kg API (REAGENT)],MATCH(Process_Steps[[#This Row],[Steps Sorted by '[RV Step Acidification (kg SO2 equiv.) per kg API']]],Process_Steps[Name],0))</calculatedColumnFormula>
    </tableColumn>
    <tableColumn id="140" xr3:uid="{0DE369C7-EED5-40C0-A38F-0F9176C8F0BB}" name="[RV Step Acidification (kg SO2 equiv.) per kg API] of Each Step Sorted by [RV Step Acidification (kg SO2 equiv.) per kg API] (METAL)" dataDxfId="336">
      <calculatedColumnFormula>INDEX(Process_Steps[RV Step Acidification (kg SO2 equiv.) per kg API (METAL)],MATCH(Process_Steps[[#This Row],[Steps Sorted by '[RV Step Acidification (kg SO2 equiv.) per kg API']]],Process_Steps[Name],0))</calculatedColumnFormula>
    </tableColumn>
    <tableColumn id="141" xr3:uid="{12E6B5EC-844B-4221-96D3-4EF1CAEF583D}" name="[RV Step Acidification (kg SO2 equiv.) per kg API] of Each Step Sorted by [RV Step Acidification (kg SO2 equiv.) per kg API] (SOLVENT)" dataDxfId="335">
      <calculatedColumnFormula>INDEX(Process_Steps[RV Step Acidification (kg SO2 equiv.) per kg API (SOLVENT)],MATCH(Process_Steps[[#This Row],[Steps Sorted by '[RV Step Acidification (kg SO2 equiv.) per kg API']]],Process_Steps[Name],0))</calculatedColumnFormula>
    </tableColumn>
    <tableColumn id="142" xr3:uid="{C7B8AED9-B3F4-4604-A2EA-2EB9BB2B5F08}" name="[RV Step Acidification (kg SO2 equiv.) per kg API] of Each Step Sorted by [RV Step Acidification (kg SO2 equiv.) per kg API] (WATER)" dataDxfId="334">
      <calculatedColumnFormula>INDEX(Process_Steps[RV Step Acidification (kg SO2 equiv.) per kg API (WATER)],MATCH(Process_Steps[[#This Row],[Steps Sorted by '[RV Step Acidification (kg SO2 equiv.) per kg API']]],Process_Steps[Name],0))</calculatedColumnFormula>
    </tableColumn>
    <tableColumn id="143" xr3:uid="{C175F4E0-0324-4D68-B76E-4E447BF55632}" name="[RV Step Acidification (kg SO2 equiv.) per kg API] of Each Step Sorted by [RV Step Acidification (kg SO2 equiv.) per kg API] (ENZ&amp;PLNT)" dataDxfId="333">
      <calculatedColumnFormula>INDEX(Process_Steps[RV Step Acidification (kg SO2 equiv.) per kg API (ENZ&amp;PLNT)],MATCH(Process_Steps[[#This Row],[Steps Sorted by '[RV Step Acidification (kg SO2 equiv.) per kg API']]],Process_Steps[Name],0))</calculatedColumnFormula>
    </tableColumn>
    <tableColumn id="144" xr3:uid="{6CF4E836-E7AF-4CC1-B785-FFAB0F79CC1D}" name="[RV Step Acidification (kg SO2 equiv.) per kg API] of Each Step Sorted by [RV Step Acidification (kg SO2 equiv.) per kg API] (OTHER)" dataDxfId="332">
      <calculatedColumnFormula>INDEX(Process_Steps[RV Step Acidification (kg SO2 equiv.) per kg API (OTHER)],MATCH(Process_Steps[[#This Row],[Steps Sorted by '[RV Step Acidification (kg SO2 equiv.) per kg API']]],Process_Steps[Name],0))</calculatedColumnFormula>
    </tableColumn>
    <tableColumn id="48" xr3:uid="{FB136BA4-E1C9-4191-B3A6-C4550B65E924}" name="RV Step Eutrophication (kg posphate equiv.) per kg API" dataDxfId="331">
      <calculatedColumnFormula>IF(Process_Steps[[#This Row],[Real or Virtual?]]="Real",SUMIFS(Table_Process_Details[RV Eutrophication (kg phosphate equiv.) per kg API],Table_Process_Details[Step Name],Process_Steps[[#This Row],[Name]]),NA())</calculatedColumnFormula>
    </tableColumn>
    <tableColumn id="145" xr3:uid="{2508EA55-B377-4186-9B24-995476225755}" name="RV Step Eutrophication (kg posphate equiv.) per kg API (REAGENT)" dataDxfId="330">
      <calculatedColumnFormula>IF(Process_Steps[[#This Row],[Real or Virtual?]]="Real",SUMIFS(Table_Process_Details[RV Eutrophication (kg phosphate equiv.) per kg API (REAGENT)],Table_Process_Details[Step Name],Process_Steps[[#This Row],[Name]]),NA())</calculatedColumnFormula>
    </tableColumn>
    <tableColumn id="146" xr3:uid="{FE98169F-8492-4D54-B160-D7EF9A5FB31D}" name="RV Step Eutrophication (kg posphate equiv.) per kg API (METAL)" dataDxfId="329">
      <calculatedColumnFormula>IF(Process_Steps[[#This Row],[Real or Virtual?]]="Real",SUMIFS(Table_Process_Details[RV Eutrophication (kg phosphate equiv.) per kg API (METAL)],Table_Process_Details[Step Name],Process_Steps[[#This Row],[Name]]),NA())</calculatedColumnFormula>
    </tableColumn>
    <tableColumn id="147" xr3:uid="{5B088EA2-EBE0-4A36-9BA6-0AC950B44594}" name="RV Step Eutrophication (kg posphate equiv.) per kg API (SOLVENT)" dataDxfId="328">
      <calculatedColumnFormula>IF(Process_Steps[[#This Row],[Real or Virtual?]]="Real",SUMIFS(Table_Process_Details[RV Eutrophication (kg phosphate equiv.) per kg API (SOLVENT)],Table_Process_Details[Step Name],Process_Steps[[#This Row],[Name]]),NA())</calculatedColumnFormula>
    </tableColumn>
    <tableColumn id="148" xr3:uid="{14879F99-420A-47B4-9B20-C5BBEE7E61FD}" name="RV Step Eutrophication (kg posphate equiv.) per kg API (WATER)" dataDxfId="327">
      <calculatedColumnFormula>IF(Process_Steps[[#This Row],[Real or Virtual?]]="Real",SUMIFS(Table_Process_Details[RV Eutrophication (kg phosphate equiv.) per kg API (WATER)],Table_Process_Details[Step Name],Process_Steps[[#This Row],[Name]]),NA())</calculatedColumnFormula>
    </tableColumn>
    <tableColumn id="149" xr3:uid="{EC5DFC08-D721-4ACE-9F88-73B4C6671C82}" name="RV Step Eutrophication (kg posphate equiv.) per kg API (ENZ&amp;PLNT)" dataDxfId="326">
      <calculatedColumnFormula>IF(Process_Steps[[#This Row],[Real or Virtual?]]="Real",SUMIFS(Table_Process_Details[RV Eutrophication (kg phosphate equiv.) per kg API (ENZ&amp;PLNT)],Table_Process_Details[Step Name],Process_Steps[[#This Row],[Name]]),NA())</calculatedColumnFormula>
    </tableColumn>
    <tableColumn id="150" xr3:uid="{E37B03BD-A40A-4B98-BE12-4F3A99B28894}" name="RV Step Eutrophication (kg posphate equiv.) per kg API (OTHER)" dataDxfId="325">
      <calculatedColumnFormula>IF(Process_Steps[[#This Row],[Real or Virtual?]]="Real",SUMIFS(Table_Process_Details[RV Eutrophication (kg phosphate equiv.) per kg API (OTHER)],Table_Process_Details[Step Name],Process_Steps[[#This Row],[Name]]),NA())</calculatedColumnFormula>
    </tableColumn>
    <tableColumn id="93" xr3:uid="{36BED003-E195-4DD2-98A7-41EC44BD7971}" name="Steps Sorted by [RV Step Eutrophication (kg phosphate equiv.) per kg API]" dataDxfId="324">
      <calculatedColumnFormula>INDEX(Process_Steps[Name if Real],MATCH(Process_Steps[[#This Row],['[RV Step Eutrophication (kg phosphate equiv.) per kg API'] of Each Step Sorted by '[RV Step Eutrophication (kg phosphate equiv.) per kg API']]],Process_Steps[RV Step Eutrophication (kg posphate equiv.) per kg API],0))</calculatedColumnFormula>
    </tableColumn>
    <tableColumn id="94" xr3:uid="{D05311F5-B71F-4FD0-80A7-832B3CA189C1}" name="[RV Step Eutrophication (kg phosphate equiv.) per kg API] of Each Step Sorted by [RV Step Eutrophication (kg phosphate equiv.) per kg API]" dataDxfId="323">
      <calculatedColumnFormula array="1">IF(LARGE(_xlfn.IFNA(Process_Steps[RV Step Eutrophication (kg posphate equiv.) per kg API],0),Process_Steps[[#This Row],[Table Row]])=0,NA(),LARGE(_xlfn.IFNA(Process_Steps[RV Step Eutrophication (kg posphate equiv.) per kg API],0),Process_Steps[[#This Row],[Table Row]]))</calculatedColumnFormula>
    </tableColumn>
    <tableColumn id="95" xr3:uid="{6977E1F1-D77D-44BB-A21E-7588DB20C901}" name="Cumulative Sum of [RV Step Eutrophication (kg phosphate equiv.) per kg API]" dataDxfId="322">
      <calculatedColumnFormula>SUM(OFFSET(Process_Steps['[RV Step Eutrophication (kg phosphate equiv.) per kg API'] of Each Step Sorted by '[RV Step Eutrophication (kg phosphate equiv.) per kg API']],0,0,Process_Steps[[#This Row],[Table Row]]))</calculatedColumnFormula>
    </tableColumn>
    <tableColumn id="96" xr3:uid="{B6B094CA-5E83-4C06-A218-8CB3F8942729}" name="Labels for [RV Step Eutrophication (kg phosphate equiv.) per kg API]" dataDxfId="321">
      <calculatedColumnFormula>"("&amp;TEXT(Process_Steps[[#This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calculatedColumnFormula>
    </tableColumn>
    <tableColumn id="151" xr3:uid="{7624B88A-4429-495E-AF04-E7129F8A39EB}" name="[RV Step Eutrophication (kg phosphate equiv.) per kg API] of Each Step Sorted by [RV Step Eutrophication (kg phosphate equiv.) per kg API] (REAGENT)" dataDxfId="320">
      <calculatedColumnFormula>INDEX(Process_Steps[RV Step Eutrophication (kg posphate equiv.) per kg API (REAGENT)],MATCH(Process_Steps[[#This Row],[Steps Sorted by '[RV Step Eutrophication (kg phosphate equiv.) per kg API']]],Process_Steps[Name],0))</calculatedColumnFormula>
    </tableColumn>
    <tableColumn id="152" xr3:uid="{49D874AD-83BE-4360-A4C7-1F1C06D5A37C}" name="[RV Step Eutrophication (kg phosphate equiv.) per kg API] of Each Step Sorted by [RV Step Eutrophication (kg phosphate equiv.) per kg API] (METAL)" dataDxfId="319">
      <calculatedColumnFormula>INDEX(Process_Steps[RV Step Eutrophication (kg posphate equiv.) per kg API (METAL)],MATCH(Process_Steps[[#This Row],[Steps Sorted by '[RV Step Eutrophication (kg phosphate equiv.) per kg API']]],Process_Steps[Name],0))</calculatedColumnFormula>
    </tableColumn>
    <tableColumn id="153" xr3:uid="{3DE5BB05-F39C-43B7-8A85-91B0124E95A4}" name="[RV Step Eutrophication (kg phosphate equiv.) per kg API] of Each Step Sorted by [RV Step Eutrophication (kg phosphate equiv.) per kg API] (SOLVENT)" dataDxfId="318">
      <calculatedColumnFormula>INDEX(Process_Steps[RV Step Eutrophication (kg posphate equiv.) per kg API (SOLVENT)],MATCH(Process_Steps[[#This Row],[Steps Sorted by '[RV Step Eutrophication (kg phosphate equiv.) per kg API']]],Process_Steps[Name],0))</calculatedColumnFormula>
    </tableColumn>
    <tableColumn id="154" xr3:uid="{740D5359-6D34-4C01-A097-39EB4B982934}" name="[RV Step Eutrophication (kg phosphate equiv.) per kg API] of Each Step Sorted by [RV Step Eutrophication (kg phosphate equiv.) per kg API] (WATER)" dataDxfId="317">
      <calculatedColumnFormula>INDEX(Process_Steps[RV Step Eutrophication (kg posphate equiv.) per kg API (WATER)],MATCH(Process_Steps[[#This Row],[Steps Sorted by '[RV Step Eutrophication (kg phosphate equiv.) per kg API']]],Process_Steps[Name],0))</calculatedColumnFormula>
    </tableColumn>
    <tableColumn id="155" xr3:uid="{2177D5A1-3747-41D4-955D-038A10703C39}" name="[RV Step Eutrophication (kg phosphate equiv.) per kg API] of Each Step Sorted by [RV Step Eutrophication (kg phosphate equiv.) per kg API] (ENZ&amp;PLNT)" dataDxfId="316">
      <calculatedColumnFormula>INDEX(Process_Steps[RV Step Eutrophication (kg posphate equiv.) per kg API (ENZ&amp;PLNT)],MATCH(Process_Steps[[#This Row],[Steps Sorted by '[RV Step Eutrophication (kg phosphate equiv.) per kg API']]],Process_Steps[Name],0))</calculatedColumnFormula>
    </tableColumn>
    <tableColumn id="156" xr3:uid="{E80E034A-6867-4BC3-8E8A-712442E535AC}" name="[RV Step Eutrophication (kg phosphate equiv.) per kg API] of Each Step Sorted by [RV Step Eutrophication (kg phosphate equiv.) per kg API] (OTHER)" dataDxfId="315">
      <calculatedColumnFormula>INDEX(Process_Steps[RV Step Eutrophication (kg posphate equiv.) per kg API (OTHER)],MATCH(Process_Steps[[#This Row],[Steps Sorted by '[RV Step Eutrophication (kg phosphate equiv.) per kg API']]],Process_Steps[Name],0))</calculatedColumnFormula>
    </tableColumn>
    <tableColumn id="49" xr3:uid="{903ED4E2-AA8A-4B19-A0D1-8545548E3FD4}" name="RV Step Water (kg) per kg API" dataDxfId="314">
      <calculatedColumnFormula>IF(Process_Steps[[#This Row],[Real or Virtual?]]="Real",SUMIFS(Table_Process_Details[RV Water (kg) per kg API],Table_Process_Details[Step Name],Process_Steps[[#This Row],[Name]]),NA())</calculatedColumnFormula>
    </tableColumn>
    <tableColumn id="157" xr3:uid="{9D9FC1CA-677D-4223-8D39-F23DD11E5840}" name="RV Step Water (kg) per kg API (REAGENT)" dataDxfId="313">
      <calculatedColumnFormula>IF(Process_Steps[[#This Row],[Real or Virtual?]]="Real",SUMIFS(Table_Process_Details[RV Water (kg) per kg API (REAGENT)],Table_Process_Details[Step Name],Process_Steps[[#This Row],[Name]]),NA())</calculatedColumnFormula>
    </tableColumn>
    <tableColumn id="158" xr3:uid="{B15A85BE-E174-41F0-9FC6-3DD3758B87DD}" name="RV Step Water (kg) per kg API (METAL)" dataDxfId="312">
      <calculatedColumnFormula>IF(Process_Steps[[#This Row],[Real or Virtual?]]="Real",SUMIFS(Table_Process_Details[RV Water (kg) per kg API (METAL)],Table_Process_Details[Step Name],Process_Steps[[#This Row],[Name]]),NA())</calculatedColumnFormula>
    </tableColumn>
    <tableColumn id="159" xr3:uid="{E0AA76B3-02A2-4A52-A94C-7A4914F2441E}" name="RV Step Water (kg) per kg API (SOLVENT)" dataDxfId="311">
      <calculatedColumnFormula>IF(Process_Steps[[#This Row],[Real or Virtual?]]="Real",SUMIFS(Table_Process_Details[RV Water (kg) per kg API (SOLVENT)],Table_Process_Details[Step Name],Process_Steps[[#This Row],[Name]]),NA())</calculatedColumnFormula>
    </tableColumn>
    <tableColumn id="160" xr3:uid="{016BF005-EAAC-419B-8917-4F503D5A0BAE}" name="RV Step Water (kg) per kg API (WATER)" dataDxfId="310">
      <calculatedColumnFormula>IF(Process_Steps[[#This Row],[Real or Virtual?]]="Real",SUMIFS(Table_Process_Details[RV Water (kg) per kg API (WATER)],Table_Process_Details[Step Name],Process_Steps[[#This Row],[Name]]),NA())</calculatedColumnFormula>
    </tableColumn>
    <tableColumn id="161" xr3:uid="{4EFC4BEE-BAE2-4A57-BFEA-6B8523CF6251}" name="RV Step Water (kg) per kg API (ENZ&amp;PLNT)" dataDxfId="309">
      <calculatedColumnFormula>IF(Process_Steps[[#This Row],[Real or Virtual?]]="Real",SUMIFS(Table_Process_Details[RV Water (kg) per kg API (ENZ&amp;PLNT)],Table_Process_Details[Step Name],Process_Steps[[#This Row],[Name]]),NA())</calculatedColumnFormula>
    </tableColumn>
    <tableColumn id="162" xr3:uid="{7CE394C8-A14E-4804-9431-45038DE54068}" name="RV Step Water (kg) per kg API (OTHER)" dataDxfId="308">
      <calculatedColumnFormula>IF(Process_Steps[[#This Row],[Real or Virtual?]]="Real",SUMIFS(Table_Process_Details[RV Water (kg) per kg API (OTHER)],Table_Process_Details[Step Name],Process_Steps[[#This Row],[Name]]),NA())</calculatedColumnFormula>
    </tableColumn>
    <tableColumn id="97" xr3:uid="{A5A7FB28-1028-4F95-8D3C-8CAB37C57277}" name="Steps Sorted by [RV Step Water (kg) per kg API]" dataDxfId="307">
      <calculatedColumnFormula>INDEX(Process_Steps[Name if Real],MATCH(Process_Steps[[#This Row],['[RV Step Water (kg) per kg API'] of Each Step Sorted by '[RV Step Water (kg) per kg API']]],Process_Steps[RV Step Water (kg) per kg API],0))</calculatedColumnFormula>
    </tableColumn>
    <tableColumn id="98" xr3:uid="{8BE34F82-E9B3-478C-99AE-097FCA6932CD}" name="[RV Step Water (kg) per kg API] of Each Step Sorted by [RV Step Water (kg) per kg API]" dataDxfId="306">
      <calculatedColumnFormula array="1">IF(LARGE(_xlfn.IFNA(Process_Steps[RV Step Water (kg) per kg API],0),Process_Steps[[#This Row],[Table Row]])=0,NA(),LARGE(_xlfn.IFNA(Process_Steps[RV Step Water (kg) per kg API],0),Process_Steps[[#This Row],[Table Row]]))</calculatedColumnFormula>
    </tableColumn>
    <tableColumn id="99" xr3:uid="{0C8316B8-1A9D-436B-80D9-E2F703BC50B5}" name="Cumulative Sum of [RV Step Water (kg) per kg API]" dataDxfId="305">
      <calculatedColumnFormula>SUM(OFFSET(Process_Steps['[RV Step Water (kg) per kg API'] of Each Step Sorted by '[RV Step Water (kg) per kg API']],0,0,Process_Steps[[#This Row],[Table Row]]))</calculatedColumnFormula>
    </tableColumn>
    <tableColumn id="100" xr3:uid="{8BD2F8D2-6836-445B-A721-F7882B0EE581}" name="Labels for [RV Step Water (kg) per kg API]" dataDxfId="304">
      <calculatedColumnFormula>"("&amp;TEXT(Process_Steps[[#This Row],['[RV Step Water (kg) per kg API'] of Each Step Sorted by '[RV Step Water (kg) per kg API']]]/SUMIF(Process_Steps['[RV Step Water (kg) per kg API'] of Each Step Sorted by '[RV Step Water (kg) per kg API']],"&lt;&gt;#N/A"),"0%")&amp;")"</calculatedColumnFormula>
    </tableColumn>
    <tableColumn id="163" xr3:uid="{1BD76F7D-6793-443D-8C20-9D9410EB16D2}" name="[RV Step Water (kg) per kg API] of Each Step Sorted by [RV Step Water (kg) per kg API] (REAGENT)" dataDxfId="303">
      <calculatedColumnFormula>INDEX(Process_Steps[RV Step Water (kg) per kg API (REAGENT)],MATCH(Process_Steps[[#This Row],[Steps Sorted by '[RV Step Water (kg) per kg API']]],Process_Steps[Name],0))</calculatedColumnFormula>
    </tableColumn>
    <tableColumn id="164" xr3:uid="{32E556F1-D906-4ABA-9D49-1F1E3EAC548D}" name="[RV Step Water (kg) per kg API] of Each Step Sorted by [RV Step Water (kg) per kg API] (METAL)" dataDxfId="302">
      <calculatedColumnFormula>INDEX(Process_Steps[RV Step Water (kg) per kg API (METAL)],MATCH(Process_Steps[[#This Row],[Steps Sorted by '[RV Step Water (kg) per kg API']]],Process_Steps[Name],0))</calculatedColumnFormula>
    </tableColumn>
    <tableColumn id="165" xr3:uid="{20B7E00C-0D82-4158-B648-6534A20F8660}" name="[RV Step Water (kg) per kg API] of Each Step Sorted by [RV Step Water (kg) per kg API] (SOLVENT)" dataDxfId="301">
      <calculatedColumnFormula>INDEX(Process_Steps[RV Step Water (kg) per kg API (SOLVENT)],MATCH(Process_Steps[[#This Row],[Steps Sorted by '[RV Step Water (kg) per kg API']]],Process_Steps[Name],0))</calculatedColumnFormula>
    </tableColumn>
    <tableColumn id="166" xr3:uid="{D4C4E2AD-8F46-4684-9C44-DBDA7B93EBEC}" name="[RV Step Water (kg) per kg API] of Each Step Sorted by [RV Step Water (kg) per kg API] (WATER)" dataDxfId="300">
      <calculatedColumnFormula>INDEX(Process_Steps[RV Step Water (kg) per kg API (WATER)],MATCH(Process_Steps[[#This Row],[Steps Sorted by '[RV Step Water (kg) per kg API']]],Process_Steps[Name],0))</calculatedColumnFormula>
    </tableColumn>
    <tableColumn id="167" xr3:uid="{C255E2BA-BC0A-4D73-892C-04A8E5744E30}" name="[RV Step Water (kg) per kg API] of Each Step Sorted by [RV Step Water (kg) per kg API] (ENZ&amp;PLNT)" dataDxfId="299">
      <calculatedColumnFormula>INDEX(Process_Steps[RV Step Water (kg) per kg API (ENZ&amp;PLNT)],MATCH(Process_Steps[[#This Row],[Steps Sorted by '[RV Step Water (kg) per kg API']]],Process_Steps[Name],0))</calculatedColumnFormula>
    </tableColumn>
    <tableColumn id="168" xr3:uid="{532BF9D4-164C-4160-B384-485BB2B4944A}" name="[RV Step Water (kg) per kg API] of Each Step Sorted by [RV Step Water (kg) per kg API] (OTHER)" dataDxfId="298">
      <calculatedColumnFormula>INDEX(Process_Steps[RV Step Water (kg) per kg API (OTHER)],MATCH(Process_Steps[[#This Row],[Steps Sorted by '[RV Step Water (kg) per kg API']]],Process_Steps[Name],0))</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BD8CA4-60E1-479D-816C-2FA7876039A4}" name="Messages" displayName="Messages" ref="P5:Q22" totalsRowShown="0">
  <autoFilter ref="P5:Q22" xr:uid="{A1044F63-1162-48AF-8C7B-297F807705E2}">
    <filterColumn colId="0" hiddenButton="1"/>
    <filterColumn colId="1" hiddenButton="1"/>
  </autoFilter>
  <tableColumns count="2">
    <tableColumn id="1" xr3:uid="{CD783A91-1FF8-4AA8-8B73-7B35AD9D0D6D}" name="Messages"/>
    <tableColumn id="2" xr3:uid="{68DD7652-FA76-48DF-9B37-89EDDD694630}" name="Status" dataDxfId="44">
      <calculatedColumnFormula>IF(INDEX(#REF!,MATCH(1,INDEX((#REF!=0)*1,0),0))=1,0,1)</calculatedColumnFormula>
    </tableColumn>
  </tableColumns>
  <tableStyleInfo name="TableStyleMedium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D438A33-464A-4686-A1EB-09D18608781B}" name="Classes" displayName="Classes" ref="H5:H11" totalsRowShown="0">
  <autoFilter ref="H5:H11" xr:uid="{85810E62-34AC-480C-9320-30D241C861C4}"/>
  <tableColumns count="1">
    <tableColumn id="1" xr3:uid="{C48E9501-FFEF-42EC-96B1-8DFDF203E370}" name="Classes"/>
  </tableColumns>
  <tableStyleInfo name="TableStyleMedium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783D08F-590A-44F1-A355-C20530E115A8}" name="Table_Arrow_Coords" displayName="Table_Arrow_Coords" ref="S5:T505" totalsRowShown="0">
  <autoFilter ref="S5:T505" xr:uid="{92AD473B-2499-4CA8-866D-EC9F55FEF276}">
    <filterColumn colId="0" hiddenButton="1"/>
    <filterColumn colId="1" hiddenButton="1"/>
  </autoFilter>
  <tableColumns count="2">
    <tableColumn id="1" xr3:uid="{4C8EBBE1-971E-45A6-9DD3-52C5B13B2474}" name="Arrow_X" dataDxfId="43">
      <calculatedColumnFormula>IFERROR(INDEX(Table_Process_Details[[X Start]:[X Intentionally NA]],INT((ROW()-ROW(Table_Arrow_Coords[[#Headers],[Arrow_X]])-1)/4)+1,MOD(ROW()-ROW(Table_Arrow_Coords[[#Headers],[Arrow_X]])-1,4)+1),NA())</calculatedColumnFormula>
    </tableColumn>
    <tableColumn id="2" xr3:uid="{81942FCF-5E40-4561-BF6D-B7E09E056BB7}" name="Arrow_Y" dataDxfId="42">
      <calculatedColumnFormula>IFERROR(INDEX(Table_Process_Details[[Y Start]:[Y Intentionally NA]],INT((ROW()-ROW(Table_Arrow_Coords[[#Headers],[Arrow_Y]])-1)/4)+1,MOD(ROW()-ROW(Table_Arrow_Coords[[#Headers],[Arrow_Y]])-1,4)+1),NA())</calculatedColumnFormula>
    </tableColumn>
  </tableColumns>
  <tableStyleInfo name="TableStyleMedium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339E1E6-F215-40A3-B030-AF02DB2EF3A0}" name="Reset_Run_Freeze" displayName="Reset_Run_Freeze" ref="N5:N8" totalsRowShown="0">
  <autoFilter ref="N5:N8" xr:uid="{16882290-527E-491F-AA89-4987823171D8}">
    <filterColumn colId="0" hiddenButton="1"/>
  </autoFilter>
  <tableColumns count="1">
    <tableColumn id="1" xr3:uid="{39E0A91B-ED63-4E42-8584-78D43CB70097}" name="Reset_Run_Freeze"/>
  </tableColumns>
  <tableStyleInfo name="TableStyleMedium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D8196A-F443-4DF2-88ED-726F30E3F8F8}" name="Common_Solvent" displayName="Common_Solvent" ref="B4:K68" totalsRowShown="0" dataDxfId="41">
  <autoFilter ref="B4:K68" xr:uid="{3126F32D-6B67-421E-BC34-2A8B5AC26E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BDC03DE-A3D0-47E5-8E06-4AAE1746F103}" name="Name" dataDxfId="40"/>
    <tableColumn id="2" xr3:uid="{51672E07-CAF6-438A-BA8E-1D5429F8F257}" name="Density" dataDxfId="39"/>
    <tableColumn id="3" xr3:uid="{8B3A5DF0-E882-4419-8407-DA449AE39087}" name="CAS #" dataDxfId="38"/>
    <tableColumn id="4" xr3:uid="{28077AD5-2D81-4066-A2AF-94CA9D5B673E}" name="Mass Net (kg)" dataDxfId="37"/>
    <tableColumn id="5" xr3:uid="{09710346-5C32-44F9-A444-92FCEE314FC2}" name="Energy (MJ)" dataDxfId="36"/>
    <tableColumn id="6" xr3:uid="{69D678F6-F7D2-4DE6-8D67-0FCFBF5CC65A}" name="GWP (kg CO2 equiv.)" dataDxfId="35"/>
    <tableColumn id="7" xr3:uid="{DB9AC37D-F675-4E4A-8312-C1C9AD81B270}" name="Acidification (kg SO2 equiv.)" dataDxfId="34"/>
    <tableColumn id="8" xr3:uid="{27101CBF-D21A-4252-8FF7-C09333DC32B9}" name="Eutrophication (kg posphate equiv.)" dataDxfId="33"/>
    <tableColumn id="9" xr3:uid="{640D279E-B88D-420B-B10C-8E0FF2FA5769}" name="Water (kg)" dataDxfId="32"/>
    <tableColumn id="10" xr3:uid="{F8157B9C-5E78-4374-BA27-07A7D7862777}" name="LCIA Notes" dataDxfId="31"/>
  </tableColumns>
  <tableStyleInfo name="TableStyleMedium1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0A654D9-CC19-4ABA-B975-ED2C49746977}" name="iGAL_Aligned_Organic" displayName="iGAL_Aligned_Organic" ref="B3:K4" totalsRowShown="0">
  <autoFilter ref="B3:K4" xr:uid="{85B189C0-B04F-4551-890E-F5D7CEE678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8066AD3-CBDC-4505-8036-2F759E52BC28}" name="Name" dataDxfId="30"/>
    <tableColumn id="2" xr3:uid="{643AC7E2-31AD-48E7-996C-319335019FB6}" name="Density" dataDxfId="29"/>
    <tableColumn id="3" xr3:uid="{00E2A653-73BD-4695-90DB-66232030F6FD}" name="CAS #" dataDxfId="28"/>
    <tableColumn id="4" xr3:uid="{70C2F018-29C5-4D60-BB82-8C3C731296B7}" name="Mass Net (kg)" dataDxfId="27"/>
    <tableColumn id="5" xr3:uid="{0F72C488-CE0A-47BB-9558-A3CAEB57FE71}" name="Energy (MJ)" dataDxfId="26"/>
    <tableColumn id="6" xr3:uid="{829FFC36-1395-4103-94C3-CC258BA63DBB}" name="GWP (kg CO2 equiv.)" dataDxfId="25"/>
    <tableColumn id="7" xr3:uid="{47ABD59C-6A37-4D0C-A9B2-D712370FD829}" name="Acidification (kg SO2 equiv.)" dataDxfId="24"/>
    <tableColumn id="8" xr3:uid="{DC5A06D0-B3B3-4858-9801-83E652BE9223}" name="Eutrophication (kg posphate equiv.)" dataDxfId="23"/>
    <tableColumn id="9" xr3:uid="{37DB0477-8D9A-4E0A-829F-CF3858E7D6DF}" name="Water (kg)" dataDxfId="22"/>
    <tableColumn id="10" xr3:uid="{01573657-DFA5-4D19-9089-D9960D08F5E1}" name="LCIA Notes" dataDxfId="21"/>
  </tableColumns>
  <tableStyleInfo name="TableStyleMedium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DA82DE1-6ABA-449E-86AC-E6606BCCA5E2}" name="Non_iGAL_Aligned_Organic" displayName="Non_iGAL_Aligned_Organic" ref="B7:K8" totalsRowShown="0">
  <autoFilter ref="B7:K8" xr:uid="{D4A31264-99B3-4819-B61A-590C098510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05F778E-C0DA-48DB-8DB6-2A83CC67291F}" name="Name" dataDxfId="20"/>
    <tableColumn id="2" xr3:uid="{C2E9247A-3C7E-46A1-9A77-D673F1E4DAAD}" name="Density" dataDxfId="19"/>
    <tableColumn id="3" xr3:uid="{F6C39855-C048-43FA-8D71-370902359A2D}" name="CAS #" dataDxfId="18"/>
    <tableColumn id="4" xr3:uid="{5CE331A3-7744-4D17-89A4-212075D2AD22}" name="Mass Net (kg)" dataDxfId="17"/>
    <tableColumn id="5" xr3:uid="{349554C3-5F23-4F52-A8DE-690398F2BE65}" name="Energy (MJ)" dataDxfId="16"/>
    <tableColumn id="6" xr3:uid="{18D66A60-7907-4BC2-89AA-F13C9FEEFBAA}" name="GWP (kg CO2 equiv.)" dataDxfId="15"/>
    <tableColumn id="7" xr3:uid="{E539D685-ACEC-4CED-A2DB-F2D2BB7FEBD8}" name="Acidification (kg SO2 equiv.)" dataDxfId="14"/>
    <tableColumn id="8" xr3:uid="{25E63E1C-1906-4D23-ADAC-4D73035A54A4}" name="Eutrophication (kg posphate equiv.)" dataDxfId="13"/>
    <tableColumn id="9" xr3:uid="{8786BD07-E37E-465F-92A4-1BD23EA102AC}" name="Water (kg)" dataDxfId="12"/>
    <tableColumn id="10" xr3:uid="{C1C9C692-A6D3-49BF-9BBB-42E353C7C2FD}" name="LCIA Notes" dataDxfId="11"/>
  </tableColumns>
  <tableStyleInfo name="TableStyleMedium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B9E43E9-F7AE-437A-A142-E59A2F27BDB5}" name="Custom_Material" displayName="Custom_Material" ref="B19:L25" totalsRowShown="0">
  <autoFilter ref="B19:L25" xr:uid="{609EA7E0-F7D2-4562-B2EE-6228E79EAC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780CEB2-7683-4179-987F-1B46BA7E6CBE}" name="Name"/>
    <tableColumn id="11" xr3:uid="{8C1EE482-8DB9-43B0-917D-3962A37E4D49}" name="Classification"/>
    <tableColumn id="2" xr3:uid="{61CDF075-0C9F-4204-A470-5A1B9F1AA14B}" name="Density"/>
    <tableColumn id="3" xr3:uid="{01FF5CD2-C433-4885-B25C-03CD9BD947C0}" name="CAS #"/>
    <tableColumn id="4" xr3:uid="{09ED8D02-3F6A-481C-8BD8-920B3F20C14F}" name="Mass Net (kg)"/>
    <tableColumn id="5" xr3:uid="{07ABB645-0E77-4B75-9DDA-B5EA724932D7}" name="Energy (MJ)"/>
    <tableColumn id="6" xr3:uid="{25902109-1EA7-4525-8282-08C922AFF52B}" name="GWP (kg CO2 equiv.)"/>
    <tableColumn id="7" xr3:uid="{33A5FC11-F1CC-4174-BCC7-25E82F78E426}" name="Acidification (kg SO2 equiv.)"/>
    <tableColumn id="8" xr3:uid="{ED985FF7-5A9E-4DA0-AF10-F1E0A19F0CC4}" name="Eutrophication (kg posphate equiv.)"/>
    <tableColumn id="9" xr3:uid="{28F1E9C7-067E-49B4-904F-D319E4A6214E}" name="Water (kg)"/>
    <tableColumn id="10" xr3:uid="{88A38D73-8025-4360-928D-9C571ED02B0E}" name="LCIA Notes"/>
  </tableColumns>
  <tableStyleInfo name="TableStyleMedium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9B830-0CD9-43AF-868A-FB3AC12A3E18}" name="Common_Inorganic" displayName="Common_Inorganic" ref="B11:K12" totalsRowShown="0">
  <autoFilter ref="B11:K12" xr:uid="{A969263D-29AA-4647-B92F-25199007130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A401CCC-FF10-4264-B0C6-B94907DA3FD1}" name="Name"/>
    <tableColumn id="2" xr3:uid="{FCFB316D-C078-4FB0-BA27-48FCF03D9973}" name="Density"/>
    <tableColumn id="3" xr3:uid="{41B28D57-90F4-4E44-B1AF-BCD14CB7CFE1}" name="CAS #"/>
    <tableColumn id="4" xr3:uid="{EDA01D66-DBDF-4661-8B0E-867035ABF60F}" name="Mass Net (kg)"/>
    <tableColumn id="5" xr3:uid="{DDCF9519-77D8-4488-A234-895A3BDEF9F5}" name="Energy (MJ)"/>
    <tableColumn id="6" xr3:uid="{06BFED87-5602-4C2A-ADF3-5D3063A3EE45}" name="GWP (kg CO2 equiv.)"/>
    <tableColumn id="7" xr3:uid="{04B28CE6-612E-410F-927D-02AE13DA7331}" name="Acidification (kg SO2 equiv.)"/>
    <tableColumn id="8" xr3:uid="{791C201B-7144-46F3-9BF5-FCC1D8BB2DEC}" name="Eutrophication (kg posphate equiv.)"/>
    <tableColumn id="9" xr3:uid="{60AEA52A-4B52-4BAC-AC50-66B38D98E994}" name="Water (kg)"/>
    <tableColumn id="10" xr3:uid="{C7426381-7CD7-4C0B-8BFC-002E95D39C3C}" name="LCIA Notes"/>
  </tableColumns>
  <tableStyleInfo name="TableStyleMedium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445F90D-8163-4B82-9448-EED823E5AD44}" name="Special_Metal" displayName="Special_Metal" ref="B28:T38" totalsRowShown="0">
  <autoFilter ref="B28:T38" xr:uid="{A39E0326-5F5A-4A2B-A114-8C9FCD6080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91D722-93C0-4051-8C49-BA06B3463426}" name="Name" dataDxfId="10"/>
    <tableColumn id="2" xr3:uid="{EC85ED03-B1D8-40BD-8B34-A4C3B5F645C6}" name="Density"/>
    <tableColumn id="3" xr3:uid="{89DC0034-6BE8-4457-AF48-2989A44FD54A}" name="CAS #"/>
    <tableColumn id="11" xr3:uid="{75BD8EF1-6664-4176-9069-54D29FD55E43}" name="Mass Net (kg)_x000a_(Pre-Recycling)"/>
    <tableColumn id="14" xr3:uid="{D9721084-A9E7-48A3-93CC-4053C2B94A6D}" name="Energy (MJ)_x000a_(Pre-Recycling)"/>
    <tableColumn id="15" xr3:uid="{5E7B9533-D7AE-423A-A582-852917F56C28}" name="GWP (kg CO2 equiv.)_x000a_(Pre-Recycling)"/>
    <tableColumn id="16" xr3:uid="{40279D1B-EF9D-4C02-9CDD-CF9B50942D20}" name="Acidification (kg SO2 equiv.)_x000a_(Pre-Recycling)"/>
    <tableColumn id="17" xr3:uid="{409C3250-6B43-4B2C-9346-F2FD76787064}" name="Eutrophication (kg posphate equiv.)_x000a_(Pre-Recycling)"/>
    <tableColumn id="18" xr3:uid="{6891D9D5-AB9A-4FBF-9C83-64E98421D510}" name="Water (kg)_x000a_(Pre-Recycling)"/>
    <tableColumn id="21" xr3:uid="{EB14EFD6-0D09-4B4E-85B2-79CD925ED5D1}" name="LCIA Notes" dataDxfId="9"/>
    <tableColumn id="20" xr3:uid="{2FAB73AE-237B-492A-8D7E-BB6A8E749D54}" name="Recycle Rate" dataDxfId="8" dataCellStyle="Percent"/>
    <tableColumn id="19" xr3:uid="{A1100A3A-3C43-4075-A14B-C12D9B20115F}" name="Recycle Rate Reference" dataDxfId="7" dataCellStyle="Normal 4 10"/>
    <tableColumn id="22" xr3:uid="{30D8550E-F658-407A-834F-52C76A628624}" name="Recycling Notes" dataDxfId="6" dataCellStyle="Normal 4 10"/>
    <tableColumn id="4" xr3:uid="{5FFE75D2-85A7-4EBD-9D2D-5D674FDABE8A}" name="Mass Net (kg)" dataDxfId="5" dataCellStyle="Normal 4 10">
      <calculatedColumnFormula>Special_Metal[[#This Row],[Mass Net (kg)
(Pre-Recycling)]]*(1-Special_Metal[[#This Row],[Recycle Rate]:[Recycle Rate]])</calculatedColumnFormula>
    </tableColumn>
    <tableColumn id="5" xr3:uid="{36DC497B-D846-4050-90CD-8A8E1FC65A2A}" name="Energy (MJ)" dataDxfId="4" dataCellStyle="Normal 4 10">
      <calculatedColumnFormula>Special_Metal[[#This Row],[Energy (MJ)
(Pre-Recycling)]]*(1-Special_Metal[[#This Row],[Recycle Rate]:[Recycle Rate]])</calculatedColumnFormula>
    </tableColumn>
    <tableColumn id="6" xr3:uid="{3AFF20F4-4850-4D52-9CD8-4DD36337FA76}" name="GWP (kg CO2 equiv.)" dataDxfId="3" dataCellStyle="Normal 4 10">
      <calculatedColumnFormula>Special_Metal[[#This Row],[GWP (kg CO2 equiv.)
(Pre-Recycling)]]*(1-Special_Metal[[#This Row],[Recycle Rate]:[Recycle Rate]])</calculatedColumnFormula>
    </tableColumn>
    <tableColumn id="7" xr3:uid="{43DEEC24-F690-4E26-A688-F4ABC8F4E61D}" name="Acidification (kg SO2 equiv.)" dataDxfId="2" dataCellStyle="Normal 4 10">
      <calculatedColumnFormula>Special_Metal[[#This Row],[Acidification (kg SO2 equiv.)
(Pre-Recycling)]]*(1-Special_Metal[[#This Row],[Recycle Rate]:[Recycle Rate]])</calculatedColumnFormula>
    </tableColumn>
    <tableColumn id="8" xr3:uid="{CEDF2757-19A1-4B6E-8B4A-B437890DB1B3}" name="Eutrophication (kg posphate equiv.)" dataDxfId="1" dataCellStyle="Normal 4 10">
      <calculatedColumnFormula>Special_Metal[[#This Row],[Eutrophication (kg posphate equiv.)
(Pre-Recycling)]]*(1-Special_Metal[[#This Row],[Recycle Rate]:[Recycle Rate]])</calculatedColumnFormula>
    </tableColumn>
    <tableColumn id="9" xr3:uid="{2FEA4A45-1EC8-4002-8E33-32288691E21C}" name="Water (kg)" dataDxfId="0" dataCellStyle="Normal 4 10">
      <calculatedColumnFormula>Special_Metal[[#This Row],[Water (kg)
(Pre-Recycling)]]*(1-Special_Metal[[#This Row],[Recycle Rate]:[Recycle Rate]])</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332ED2F-E22E-45DA-83CF-57DD9061E1C7}" name="API_Name" displayName="API_Name" ref="B2" headerRowCount="0" totalsRowShown="0" headerRowDxfId="297" dataDxfId="296" tableBorderDxfId="295">
  <tableColumns count="1">
    <tableColumn id="1" xr3:uid="{6FD1D40D-A103-4A5C-A799-DF0889E3A468}" name="Column1" headerRowDxfId="294" dataDxfId="293">
      <calculatedColumnFormula>INDEX(Process_Steps[Product Display Name],MATCH(1,INDEX(((Process_Steps[Name]="PACKAGE")*(1)),0),0))</calculatedColumnFormula>
    </tableColumn>
  </tableColumns>
  <tableStyleInfo name="TableStyleDark9"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6B1D26C-2D93-4897-AB7C-B4B7FF2DE48F}" name="Enzymes_and_Plant_Extracts" displayName="Enzymes_and_Plant_Extracts" ref="B15:K16" totalsRowShown="0">
  <autoFilter ref="B15:K16" xr:uid="{FE2343BA-4C14-45F6-95F8-42A244BED1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18BFF9D-CB00-4108-82B4-86AFE3F807F6}" name="Name"/>
    <tableColumn id="2" xr3:uid="{3F436F4B-2936-4EE7-98C0-A74DB93CF196}" name="Density"/>
    <tableColumn id="3" xr3:uid="{874CF9E1-CF12-4A0D-B9CD-14DF82292926}" name="CAS #"/>
    <tableColumn id="4" xr3:uid="{E7858991-ED51-46F4-89AF-7EB01AB64638}" name="Mass Net (kg)"/>
    <tableColumn id="5" xr3:uid="{71C38C05-7DB1-4371-9B6E-7285A651404F}" name="Energy (MJ)"/>
    <tableColumn id="6" xr3:uid="{55F69E2C-EBD3-4B78-9A31-443F0899E016}" name="GWP (kg CO2 equiv.)"/>
    <tableColumn id="7" xr3:uid="{A26778DD-F905-4BD9-B70F-DE79ED2C0BFA}" name="Acidification (kg SO2 equiv.)"/>
    <tableColumn id="8" xr3:uid="{443CC7FD-ED1C-44D6-B76F-91FBE6C79EBB}" name="Eutrophication (kg posphate equiv.)"/>
    <tableColumn id="9" xr3:uid="{7A24AC1F-F007-4096-8946-8D271F5E7F81}" name="Water (kg)"/>
    <tableColumn id="10" xr3:uid="{FC240209-D368-4CB5-9352-BD7001743C19}" name="LCIA Notes"/>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93F0F4-D228-4161-85F0-5C762E301618}" name="Table_Process_Details" displayName="Table_Process_Details" ref="A4:II102" totalsRowShown="0" headerRowDxfId="292">
  <autoFilter ref="A4:II102" xr:uid="{447CECA4-8C60-4C17-9CA8-CAB76B719C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autoFilter>
  <tableColumns count="243">
    <tableColumn id="2" xr3:uid="{49659A8E-6F84-4ABF-B589-98C785024015}" name="Step Name" dataDxfId="291"/>
    <tableColumn id="3" xr3:uid="{1ACAD95F-5157-4980-ACD8-79116B4FE84E}" name="Input or Output"/>
    <tableColumn id="4" xr3:uid="{07E65FB4-9C2F-4165-9350-5DD08A34FABB}" name="LCA Data Source Class"/>
    <tableColumn id="5" xr3:uid="{F0FC516E-3705-409D-87A6-01484ED9AC9D}" name="LCA Data Source Subclass" dataDxfId="290"/>
    <tableColumn id="11" xr3:uid="{FD349A2F-310E-4EDF-A723-1F9DEE949904}" name="Display Name" dataDxfId="289"/>
    <tableColumn id="7" xr3:uid="{75441281-F00D-4176-9417-67FC338966DE}" name="Physical Mass (kg)" dataDxfId="288"/>
    <tableColumn id="87" xr3:uid="{2AC8CE2E-3B7F-42AD-9FDA-6E9006F83B16}" name="Step Instructions"/>
    <tableColumn id="88" xr3:uid="{E475A1C8-3A1F-47AF-83F0-03459D24DE81}" name="Notes"/>
    <tableColumn id="109" xr3:uid="{F5AE316F-A5D1-46C2-84EE-2BC301633DAF}" name="Reviewer Comments"/>
    <tableColumn id="86" xr3:uid="{936957D3-A273-4674-BB14-EB7863B761C8}" name="Reference" dataDxfId="287">
      <calculatedColumnFormula>INDEX(Process_Steps[Reference],MATCH(Table_Process_Details[[#This Row],[Step Name]],Process_Steps[Name],0))</calculatedColumnFormula>
    </tableColumn>
    <tableColumn id="41" xr3:uid="{D8ADD9F8-4201-46A2-B0D5-1C732112181A}" name="Real or Virtual" dataDxfId="286">
      <calculatedColumnFormula>INDEX(Process_Steps[Real or Virtual?],MATCH(Table_Process_Details[[#This Row],[Step Name]],Process_Steps[Name],0))</calculatedColumnFormula>
    </tableColumn>
    <tableColumn id="51" xr3:uid="{5EB033D3-18F6-4957-8CF3-E93BC53B255D}" name="CAS #" dataDxfId="285">
      <calculatedColumnFormula>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calculatedColumnFormula>
    </tableColumn>
    <tableColumn id="97" xr3:uid="{22568928-D11A-42F0-83BB-B52C4375D244}" name="Material Class" dataDxfId="284">
      <calculatedColumnFormula>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calculatedColumnFormula>
    </tableColumn>
    <tableColumn id="231" xr3:uid="{FDF58F41-ED56-46EF-A64F-65DA4B432196}" name="Unscaled Step Product Mass" dataDxfId="283">
      <calculatedColumnFormula>INDEX(Table_Process_Details[Physical Mass (kg)],MATCH(1,INDEX(((Table_Process_Details[Step Name]=Table_Process_Details[[#This Row],[Step Name]])*(Table_Process_Details[Input or Output]="Output")),0),0))</calculatedColumnFormula>
    </tableColumn>
    <tableColumn id="232" xr3:uid="{55F6EE60-20AC-4DF5-A920-9D72D17EF60E}" name="Step Scale Factor for 1kg Packaged API" dataDxfId="282">
      <calculatedColumnFormula>INDEX(Process_Steps[Step Scale Factor for 1kg Packaged API],MATCH(Table_Process_Details[[#This Row],[Step Name]],Process_Steps[Name],0))</calculatedColumnFormula>
    </tableColumn>
    <tableColumn id="237" xr3:uid="{DC93FA4E-33A5-4BD8-A558-F8E6F4F4D747}" name="X Init" dataDxfId="281">
      <calculatedColumnFormula>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calculatedColumnFormula>
    </tableColumn>
    <tableColumn id="238" xr3:uid="{0A985FF4-5977-4A79-B9E1-0B93DF097808}" name="Y Init" dataDxfId="280">
      <calculatedColumnFormula>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calculatedColumnFormula>
    </tableColumn>
    <tableColumn id="244" xr3:uid="{86F8943E-DBC1-431A-850C-1114F7475A71}" name="X Mover" dataDxfId="279">
      <calculatedColumnFormula>_xlfn.SWITCH(Run_Reset_PNG,"Reset",Table_Process_Details[[#This Row],[X Init]],"Run",Table_Process_Details[[#This Row],[X Moved]],"Freeze",Table_Process_Details[[#This Row],[X Mover]])</calculatedColumnFormula>
    </tableColumn>
    <tableColumn id="245" xr3:uid="{AA586E4D-ACBF-4E2D-8FAD-38197F458296}" name="Y Mover" dataDxfId="278">
      <calculatedColumnFormula>_xlfn.SWITCH(Run_Reset_PNG,"Reset",Table_Process_Details[[#This Row],[Y Init]],"Run",Table_Process_Details[[#This Row],[Y Moved]],"Freeze",Table_Process_Details[[#This Row],[Y Mover]])</calculatedColumnFormula>
    </tableColumn>
    <tableColumn id="239" xr3:uid="{CA433063-82D6-4C1D-9F7B-9AEB8361245D}" name="X Move Collision" dataDxfId="277">
      <calculatedColumnFormula array="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calculatedColumnFormula>
    </tableColumn>
    <tableColumn id="240" xr3:uid="{20137E6A-9803-4860-882B-A53034CF76E1}" name="Y Move Collision" dataDxfId="276">
      <calculatedColumnFormula array="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calculatedColumnFormula>
    </tableColumn>
    <tableColumn id="241" xr3:uid="{1619F594-D002-4570-886F-B6E23FBE2747}" name="Number of Collision Moves" dataDxfId="275">
      <calculatedColumnFormula array="1">SUM(--(SQRT((Table_Process_Details[[#This Row],[X Mover]]-Table_Process_Details[X Mover])^2+(Table_Process_Details[[#This Row],[Y Mover]]-Table_Process_Details[Y Mover])^2)&lt;Collision_Distance))</calculatedColumnFormula>
    </tableColumn>
    <tableColumn id="246" xr3:uid="{15D599FC-4D0D-4D05-8FA5-1267212E906B}" name="X Move Edge Length" dataDxfId="274">
      <calculatedColumnFormula array="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calculatedColumnFormula>
    </tableColumn>
    <tableColumn id="247" xr3:uid="{45AE652B-C71D-45D4-96AD-54A12FC85039}" name="Y Move Edge Length" dataDxfId="273">
      <calculatedColumnFormula array="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calculatedColumnFormula>
    </tableColumn>
    <tableColumn id="248" xr3:uid="{E3246CD3-915D-4AF9-B464-BD3A9293C4A8}" name="Number of Edge Length Moves" dataDxfId="272">
      <calculatedColumnFormula array="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calculatedColumnFormula>
    </tableColumn>
    <tableColumn id="275" xr3:uid="{EBAFD9E9-66A1-4458-A817-2EC8800987FF}" name="target x" dataDxfId="271">
      <calculatedColumnFormula>0</calculatedColumnFormula>
    </tableColumn>
    <tableColumn id="276" xr3:uid="{AA893247-9A70-4F88-86C3-48FB7F80ADF0}" name="target y" dataDxfId="270">
      <calculatedColumnFormula>0</calculatedColumnFormula>
    </tableColumn>
    <tableColumn id="277" xr3:uid="{10338438-6F7B-45F1-BF58-769C06827135}" name="X Move Special" dataDxfId="269">
      <calculatedColumnFormula>(Table_Process_Details[[#This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calculatedColumnFormula>
    </tableColumn>
    <tableColumn id="278" xr3:uid="{A3C18529-89BC-4567-82E6-303064B728DB}" name="Y Move Special" dataDxfId="268">
      <calculatedColumnFormula array="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calculatedColumnFormula>
    </tableColumn>
    <tableColumn id="279" xr3:uid="{5DBBA213-D5EC-4FDB-8C5F-37C19D9966B6}" name="Number of Special Moves" dataDxfId="267">
      <calculatedColumnFormula>MIN(1,COUNTA(Table_Process_Details[[#This Row],[target x]]),COUNTA(Table_Process_Details[[#This Row],[target y]]))*COUNTA(Table_Process_Details[Step Name])</calculatedColumnFormula>
    </tableColumn>
    <tableColumn id="242" xr3:uid="{C8D613F8-FE0C-4B55-9469-9A2FC586AE38}" name="X Moved" dataDxfId="266">
      <calculatedColumnFormula>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calculatedColumnFormula>
    </tableColumn>
    <tableColumn id="243" xr3:uid="{C262D372-4489-4D0A-8308-360F8F5C3533}" name="Y Moved" dataDxfId="265">
      <calculatedColumnFormula>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calculatedColumnFormula>
    </tableColumn>
    <tableColumn id="236" xr3:uid="{722F2AC3-CE33-4CDD-B62D-B16EC7682FF2}" name="Display As" dataDxfId="264">
      <calculatedColumnFormula>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calculatedColumnFormula>
    </tableColumn>
    <tableColumn id="19" xr3:uid="{D7F5935F-2E4B-49BA-BB95-95BDCE0C01B6}" name="X End (To Node Center)" dataDxfId="263">
      <calculatedColumnFormula array="1">INDEX(Table_Process_Details[X Mover],MATCH(1,INDEX((Table_Process_Details[Input or Output]="Output")*(Table_Process_Details[Step Name]=Table_Process_Details[[#This Row],[Step Name]])*(Table_Process_Details[[#This Row],[Input or Output]]="Input"),0),0))</calculatedColumnFormula>
    </tableColumn>
    <tableColumn id="235" xr3:uid="{8D23FA97-A8B6-4876-838A-3185C8C8CA5D}" name="Y End (to Node Center)" dataDxfId="262">
      <calculatedColumnFormula array="1">INDEX(Table_Process_Details[Y Mover],MATCH(1,INDEX((Table_Process_Details[Input or Output]="Output")*(Table_Process_Details[Step Name]=Table_Process_Details[[#This Row],[Step Name]])*(Table_Process_Details[[#This Row],[Input or Output]]="Input"),0),0))</calculatedColumnFormula>
    </tableColumn>
    <tableColumn id="233" xr3:uid="{9921F563-A472-4A3A-ABB0-100FFF81103D}" name="r0" dataDxfId="261">
      <calculatedColumnFormula>SQRT((Table_Process_Details[[#This Row],[X End (To Node Center)]]-Table_Process_Details[[#This Row],[X Guide]])^2+(Table_Process_Details[[#This Row],[Y End (to Node Center)]]-Table_Process_Details[[#This Row],[Y Guide]])^2)</calculatedColumnFormula>
    </tableColumn>
    <tableColumn id="252" xr3:uid="{CE333EDA-75F0-490D-9457-98F392C8225D}" name="X Start Prefilter" dataDxfId="260">
      <calculatedColumnFormula array="1">INDEX(Table_Process_Details[X Mover],MATCH(1,INDEX((Table_Process_Details[Step Name]=Table_Process_Details[[#This Row],[LCA Data Source Subclass]])*(Table_Process_Details[Input or Output]="Output"),0)*(Table_Process_Details[[#This Row],[Input or Output]]="Input"),0))</calculatedColumnFormula>
    </tableColumn>
    <tableColumn id="253" xr3:uid="{89F087B3-BBA0-4848-993F-CDF38C4033CE}" name="X Guide Prefilter" dataDxfId="259">
      <calculatedColumnFormula array="1">INDEX(Table_Process_Details[X Mover],MATCH(1,INDEX(((Table_Process_Details[Table Row]=Table_Process_Details[[#This Row],[Table Row]])*(1)),0)*(Table_Process_Details[[#This Row],[Input or Output]]="Input"),0))</calculatedColumnFormula>
    </tableColumn>
    <tableColumn id="254" xr3:uid="{360BEBF8-8A41-4AE6-849E-7DDE9E7E81D4}" name="X End (to Stop Radius) Prefilter" dataDxfId="258">
      <calculatedColumnFormula array="1">(Table_Process_Details[[#This Row],[X End (To Node Center)]]*Table_Process_Details[[#This Row],[r0]]-Table_Process_Details[[#This Row],[X End (To Node Center)]]*Arrow_Offset+Table_Process_Details[[#This Row],[X Guide]]*Arrow_Offset)/Table_Process_Details[[#This Row],[r0]]</calculatedColumnFormula>
    </tableColumn>
    <tableColumn id="297" xr3:uid="{A50AE756-F5B0-431A-8150-630701C43DC6}" name="X Start" dataDxfId="257">
      <calculatedColumnFormula>IF(NOT(Table_Process_Details[[#This Row],[Display As]]="None"),Table_Process_Details[[#This Row],[X Start Prefilter]],NA())</calculatedColumnFormula>
    </tableColumn>
    <tableColumn id="298" xr3:uid="{B931CAD2-8582-4F45-8540-9AF3EBAB11B6}" name="X Guide" dataDxfId="256">
      <calculatedColumnFormula>IF(NOT(Table_Process_Details[[#This Row],[Display As]]="None"),Table_Process_Details[[#This Row],[X Guide Prefilter]],NA())</calculatedColumnFormula>
    </tableColumn>
    <tableColumn id="299" xr3:uid="{46D8C4F7-D23A-45BB-94E9-39C005B5764E}" name="X End (to Stop Radius)" dataDxfId="255">
      <calculatedColumnFormula>IF(NOT(Table_Process_Details[[#This Row],[Display As]]="None"),Table_Process_Details[[#This Row],[X End (to Stop Radius) Prefilter]],NA())</calculatedColumnFormula>
    </tableColumn>
    <tableColumn id="300" xr3:uid="{0AC8C8B9-E240-4E39-93E0-1498A0475B36}" name="X Intentionally NA" dataDxfId="254">
      <calculatedColumnFormula>NA()</calculatedColumnFormula>
    </tableColumn>
    <tableColumn id="255" xr3:uid="{AA9E1B58-1B9F-48F4-A9F4-F0EB796DCE85}" name="Y Start Prefilter" dataDxfId="253">
      <calculatedColumnFormula array="1">INDEX(Table_Process_Details[Y Mover],MATCH(1,INDEX((Table_Process_Details[Step Name]=Table_Process_Details[[#This Row],[LCA Data Source Subclass]])*(Table_Process_Details[Input or Output]="Output"),0)*(Table_Process_Details[[#This Row],[Input or Output]]="Input"),0))</calculatedColumnFormula>
    </tableColumn>
    <tableColumn id="257" xr3:uid="{110B47DA-B6B2-40A0-8765-CB6EC5AE2F16}" name="Y Guide Prefilter" dataDxfId="252">
      <calculatedColumnFormula array="1">INDEX(Table_Process_Details[Y Mover],MATCH(1,INDEX(((Table_Process_Details[Table Row]=Table_Process_Details[[#This Row],[Table Row]])*(1)),0)*(Table_Process_Details[[#This Row],[Input or Output]]="Input"),0))</calculatedColumnFormula>
    </tableColumn>
    <tableColumn id="258" xr3:uid="{6F56629B-DE30-43E4-BBF1-3521BCD011D1}" name="Y End (to Stop Radius) Prefilter" dataDxfId="251">
      <calculatedColumnFormula array="1">(Table_Process_Details[[#This Row],[Y Guide]]*Arrow_Offset-Table_Process_Details[[#This Row],[Y End (to Node Center)]]*Arrow_Offset+Table_Process_Details[[#This Row],[Y End (to Node Center)]]*Table_Process_Details[[#This Row],[r0]])/Table_Process_Details[[#This Row],[r0]]</calculatedColumnFormula>
    </tableColumn>
    <tableColumn id="303" xr3:uid="{23DA3B34-4CF1-44B4-A7EC-C12F234BD889}" name="Y Start" dataDxfId="250">
      <calculatedColumnFormula>IF(NOT(Table_Process_Details[[#This Row],[Display As]]="None"),Table_Process_Details[[#This Row],[Y Start Prefilter]],NA())</calculatedColumnFormula>
    </tableColumn>
    <tableColumn id="304" xr3:uid="{2760AA16-CEF2-4D33-B9CA-A5A35565197A}" name="Y Guide" dataDxfId="249">
      <calculatedColumnFormula>IF(NOT(Table_Process_Details[[#This Row],[Display As]]="None"),Table_Process_Details[[#This Row],[Y Guide Prefilter]],NA())</calculatedColumnFormula>
    </tableColumn>
    <tableColumn id="305" xr3:uid="{CBACDD41-77C1-44D7-8B29-AAF2778D1B5D}" name="Y End (to Stop Radius)" dataDxfId="248">
      <calculatedColumnFormula>IF(NOT(Table_Process_Details[[#This Row],[Display As]]="None"),Table_Process_Details[[#This Row],[Y End (to Stop Radius) Prefilter]],NA())</calculatedColumnFormula>
    </tableColumn>
    <tableColumn id="308" xr3:uid="{C8DD917E-74BA-4627-8523-8FD78EE30F7E}" name="Y Intentionally NA" dataDxfId="247">
      <calculatedColumnFormula>NA()</calculatedColumnFormula>
    </tableColumn>
    <tableColumn id="287" xr3:uid="{79C1B16C-2D07-421E-A8D4-7D29EA38EF69}" name="X if Real Step" dataDxfId="246">
      <calculatedColumnFormula>IF(Table_Process_Details[[#This Row],[Display As]]="Real Step",Table_Process_Details[[#This Row],[X Mover]],NA())</calculatedColumnFormula>
    </tableColumn>
    <tableColumn id="288" xr3:uid="{E846EEEE-C883-45FB-ABA3-08D4ACA643DD}" name="Y if Real Step" dataDxfId="245">
      <calculatedColumnFormula>IF(Table_Process_Details[[#This Row],[Display As]]="Real Step",Table_Process_Details[[#This Row],[Y Mover]],NA())</calculatedColumnFormula>
    </tableColumn>
    <tableColumn id="289" xr3:uid="{BD19992C-E5B5-4F61-A5CA-C394C140C8D8}" name="X if RM" dataDxfId="244">
      <calculatedColumnFormula>IF(Table_Process_Details[[#This Row],[Display As]]="Raw Material",Table_Process_Details[[#This Row],[X Mover]],NA())</calculatedColumnFormula>
    </tableColumn>
    <tableColumn id="290" xr3:uid="{119B5C62-2F2C-4E28-A4A9-55B38B55CA02}" name="Y if RM" dataDxfId="243">
      <calculatedColumnFormula>IF(Table_Process_Details[[#This Row],[Display As]]="Raw Material",Table_Process_Details[[#This Row],[Y Mover]],NA())</calculatedColumnFormula>
    </tableColumn>
    <tableColumn id="292" xr3:uid="{BEA9D033-4AFF-4EBC-BB8C-D6DF9139F59B}" name="X for Labels" dataDxfId="242">
      <calculatedColumnFormula>IF(OR(Table_Process_Details[[#This Row],[Display As]]="Real Step",Table_Process_Details[[#This Row],[Display As]]="Raw Material"),Table_Process_Details[[#This Row],[X Mover]],NA())</calculatedColumnFormula>
    </tableColumn>
    <tableColumn id="291" xr3:uid="{1DF7F946-630B-4002-99A4-8A26FE89CB27}" name="Y for Labels" dataDxfId="241">
      <calculatedColumnFormula>IF(OR(Table_Process_Details[[#This Row],[Display As]]="Real Step",Table_Process_Details[[#This Row],[Display As]]="Raw Material"),Table_Process_Details[[#This Row],[Y Mover]],NA())</calculatedColumnFormula>
    </tableColumn>
    <tableColumn id="13" xr3:uid="{00550DFF-1967-4DF8-B21B-CBDDC5DDF964}" name="Table Row" dataDxfId="240">
      <calculatedColumnFormula>ROW()-ROW(Table_Process_Details[[#Headers],[Table Row]])</calculatedColumnFormula>
    </tableColumn>
    <tableColumn id="8" xr3:uid="{7E353074-F337-4077-A397-6D13D93D4814}" name="Unique Process Inputs" dataDxfId="239">
      <calculatedColumnFormula array="1">INDEX(Table_Process_Details[Display Name],MATCH(0,IF(Table_Process_Details[Input or Output]="Input",INDEX(COUNTIF(OFFSET(Table_Process_Details[[#Headers],[Unique Process Inputs]],0,0,Table_Process_Details[[#This Row],[Table Row]],1),Table_Process_Details[Display Name]),),""),0))</calculatedColumnFormula>
    </tableColumn>
    <tableColumn id="230" xr3:uid="{ACBF59AF-B2A2-4935-8F7C-F1C5986E86A4}" name="Scaled Physical Mass per kg API for All Inputs &amp; Outputs" dataDxfId="238">
      <calculatedColumnFormula>Table_Process_Details[[#This Row],[Physical Mass (kg)]]*Table_Process_Details[[#This Row],[Step Scale Factor for 1kg Packaged API]]</calculatedColumnFormula>
    </tableColumn>
    <tableColumn id="9" xr3:uid="{63558EC8-7352-4912-859D-2792DF5F3315}" name="Multi-Use Process_Steps Input Scale Factor" dataDxfId="237">
      <calculatedColumnFormula>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calculatedColumnFormula>
    </tableColumn>
    <tableColumn id="90" xr3:uid="{C2E17B59-4FDC-4808-88C1-21E4199E7F27}" name="Valid Table Lookup 1" dataDxfId="236">
      <calculatedColumnFormula>MATCH(Table_Process_Details[[#This Row],[LCA Data Source Class]],INDIRECT(Table_Process_Details[[#This Row],[Input or Output]]),0)</calculatedColumnFormula>
    </tableColumn>
    <tableColumn id="89" xr3:uid="{6DB5C23F-4AB1-4D0A-A32D-457411DB6CD2}" name="Valid Table Lookup 2" dataDxfId="235">
      <calculatedColumnFormula>MATCH(Table_Process_Details[[#This Row],[LCA Data Source Subclass]],INDIRECT(Table_Process_Details[[#This Row],[LCA Data Source Class]]&amp;"[Name]"),0)</calculatedColumnFormula>
    </tableColumn>
    <tableColumn id="10" xr3:uid="{D8437DE3-541A-48E0-A90A-6680F5DDC722}" name="Mass Net (kg) Factor Lookup" dataDxfId="234">
      <calculatedColumnFormula>IFERROR(INDEX(INDIRECT(Table_Process_Details[[#This Row],[LCA Data Source Class]]&amp;"[Mass Net (kg)]"),MATCH(Table_Process_Details[[#This Row],[LCA Data Source Subclass]],INDIRECT(Table_Process_Details[[#This Row],[LCA Data Source Class]]&amp;"[Name]"),0)),0)</calculatedColumnFormula>
    </tableColumn>
    <tableColumn id="14" xr3:uid="{794BFED0-6635-4404-8797-91C6FAA85683}" name="Energy (MJ) Factor Lookup" dataDxfId="233">
      <calculatedColumnFormula>IFERROR(INDEX(INDIRECT(Table_Process_Details[[#This Row],[LCA Data Source Class]]&amp;"[Energy (MJ)]"),MATCH(Table_Process_Details[[#This Row],[LCA Data Source Subclass]],INDIRECT(Table_Process_Details[[#This Row],[LCA Data Source Class]]&amp;"[Name]"),0)),0)</calculatedColumnFormula>
    </tableColumn>
    <tableColumn id="15" xr3:uid="{76F3F813-BB5A-4040-A107-A540BC752838}" name="GWP (kg CO2 equiv.) Factor Lookup" dataDxfId="232">
      <calculatedColumnFormula>IFERROR(INDEX(INDIRECT(Table_Process_Details[[#This Row],[LCA Data Source Class]]&amp;"[GWP (kg CO2 equiv.)]"),MATCH(Table_Process_Details[[#This Row],[LCA Data Source Subclass]],INDIRECT(Table_Process_Details[[#This Row],[LCA Data Source Class]]&amp;"[Name]"),0)),0)</calculatedColumnFormula>
    </tableColumn>
    <tableColumn id="16" xr3:uid="{83B66A2B-0C10-402A-8818-5E23774376B8}" name="Acidification (kg SO2 equiv.) Factor Lookup" dataDxfId="231">
      <calculatedColumnFormula>IFERROR(INDEX(INDIRECT(Table_Process_Details[[#This Row],[LCA Data Source Class]]&amp;"[Acidification (kg SO2 equiv.)]"),MATCH(Table_Process_Details[[#This Row],[LCA Data Source Subclass]],INDIRECT(Table_Process_Details[[#This Row],[LCA Data Source Class]]&amp;"[Name]"),0)),0)</calculatedColumnFormula>
    </tableColumn>
    <tableColumn id="17" xr3:uid="{61BF36E0-F040-48A0-82BC-A276099530FC}" name="Eutrophication (kg phosphate equiv.) Factor Lookup" dataDxfId="230">
      <calculatedColumnFormula>IFERROR(INDEX(INDIRECT(Table_Process_Details[[#This Row],[LCA Data Source Class]]&amp;"[Eutrophication (kg posphate equiv.)]"),MATCH(Table_Process_Details[[#This Row],[LCA Data Source Subclass]],INDIRECT(Table_Process_Details[[#This Row],[LCA Data Source Class]]&amp;"[Name]"),0)),0)</calculatedColumnFormula>
    </tableColumn>
    <tableColumn id="65" xr3:uid="{F59031E2-E33C-4005-81B2-E0B2AC6C8071}" name="Water (kg) Factor Lookup" dataDxfId="229">
      <calculatedColumnFormula>IFERROR(INDEX(INDIRECT(Table_Process_Details[[#This Row],[LCA Data Source Class]]&amp;"[Water (kg)]"),MATCH(Table_Process_Details[[#This Row],[LCA Data Source Subclass]],INDIRECT(Table_Process_Details[[#This Row],[LCA Data Source Class]]&amp;"[Name]"),0)),0)</calculatedColumnFormula>
    </tableColumn>
    <tableColumn id="6" xr3:uid="{09D195B9-4670-45A2-A9D3-443CE8A07CD5}" name="Physical Mass per kg API" dataDxfId="228">
      <calculatedColumnFormula>(Table_Process_Details[[#This Row],[Input or Output]]="Input")*(Table_Process_Details[[#This Row],[LCA Data Source Class]]&lt;&gt;"Process_Steps")*Table_Process_Details[[#This Row],[Scaled Physical Mass per kg API for All Inputs &amp; Outputs]]</calculatedColumnFormula>
    </tableColumn>
    <tableColumn id="67" xr3:uid="{3E50EEDC-5BEA-4290-9508-E2EB820E4642}" name="Physical Mass per kg API (REAGENT)" dataDxfId="227">
      <calculatedColumnFormula>(Table_Process_Details[[#This Row],[Material Class]]="REAGENT")*Table_Process_Details[[#This Row],[Physical Mass per kg API]]</calculatedColumnFormula>
    </tableColumn>
    <tableColumn id="63" xr3:uid="{FF57D0C2-A541-46BC-8844-D956D76C8407}" name="Physical Mass per kg API (METAL)" dataDxfId="226">
      <calculatedColumnFormula>(Table_Process_Details[[#This Row],[Material Class]]="METAL")*Table_Process_Details[[#This Row],[Physical Mass per kg API]]</calculatedColumnFormula>
    </tableColumn>
    <tableColumn id="68" xr3:uid="{D850C2F0-3C57-41EB-950D-44607B2B92A1}" name="Physical Mass per kg API (SOLVENT)" dataDxfId="225">
      <calculatedColumnFormula>(Table_Process_Details[[#This Row],[Material Class]]="SOLVENT")*Table_Process_Details[[#This Row],[Physical Mass per kg API]]</calculatedColumnFormula>
    </tableColumn>
    <tableColumn id="69" xr3:uid="{8AD7D980-8B9A-457A-90DE-F021AF117BC4}" name="Physical Mass per kg API (WATER)" dataDxfId="224">
      <calculatedColumnFormula>(Table_Process_Details[[#This Row],[Material Class]]="WATER")*Table_Process_Details[[#This Row],[Physical Mass per kg API]]</calculatedColumnFormula>
    </tableColumn>
    <tableColumn id="64" xr3:uid="{86D0342A-6D34-40FE-ADCA-E145EA1A1369}" name="Physical Mass per kg API (ENZ&amp;PLNT)" dataDxfId="223">
      <calculatedColumnFormula>(Table_Process_Details[[#This Row],[Material Class]]="ENZ&amp;PLNT")*Table_Process_Details[[#This Row],[Physical Mass per kg API]]</calculatedColumnFormula>
    </tableColumn>
    <tableColumn id="62" xr3:uid="{7345ED40-CE32-47A8-9E99-8A6863990015}" name="Physical Mass per kg API (OTHER)" dataDxfId="222">
      <calculatedColumnFormula>(Table_Process_Details[[#This Row],[Material Class]]="OTHER")*Table_Process_Details[[#This Row],[Physical Mass per kg API]]</calculatedColumnFormula>
    </tableColumn>
    <tableColumn id="44" xr3:uid="{FF60C5EB-B44F-4430-918C-0041A94B29E6}" name="RV Physical Mass per kg API" dataDxfId="221">
      <calculatedColumnFormula>(Table_Process_Details[[#This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calculatedColumnFormula>
    </tableColumn>
    <tableColumn id="71" xr3:uid="{7AD874F8-EE27-41EB-BA1E-36837F78109B}" name="RV Physical Mass per kg API (REAGENT)" dataDxfId="220">
      <calculatedColumnFormula>(Table_Process_Details[[#This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calculatedColumnFormula>
    </tableColumn>
    <tableColumn id="66" xr3:uid="{FF6518A8-27E9-4B5A-A50D-B1132E8721F6}" name="RV Physical Mass per kg API (METAL)" dataDxfId="219">
      <calculatedColumnFormula>(Table_Process_Details[[#This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calculatedColumnFormula>
    </tableColumn>
    <tableColumn id="72" xr3:uid="{42FDB8FB-7456-4D10-BD91-D8121FC0DBA6}" name="RV Physical Mass per kg API (SOLVENT)" dataDxfId="218">
      <calculatedColumnFormula>(Table_Process_Details[[#This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calculatedColumnFormula>
    </tableColumn>
    <tableColumn id="73" xr3:uid="{26B35294-6AED-4CA0-A283-A07A77C91F99}" name="RV Physical Mass per kg API (WATER)" dataDxfId="217">
      <calculatedColumnFormula>(Table_Process_Details[[#This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calculatedColumnFormula>
    </tableColumn>
    <tableColumn id="70" xr3:uid="{4CB675C5-D631-4D78-B423-79C6ECF2D0BC}" name="RV Physical Mass per kg API (ENZ&amp;PLNT)" dataDxfId="216">
      <calculatedColumnFormula>(Table_Process_Details[[#This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calculatedColumnFormula>
    </tableColumn>
    <tableColumn id="80" xr3:uid="{63BA556D-243F-4090-AEF4-0756F6015902}" name="RV Physical Mass per kg API (OTHER)" dataDxfId="215">
      <calculatedColumnFormula>(Table_Process_Details[[#This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calculatedColumnFormula>
    </tableColumn>
    <tableColumn id="20" xr3:uid="{220D010C-AA0A-44FD-A041-20CC49F0B5CC}" name="Total [Physical Mass per kg API] of Unique Inputs" dataDxfId="214">
      <calculatedColumnFormula>SUMIFS(Table_Process_Details[RV Physical Mass per kg API],Table_Process_Details[Display Name],Table_Process_Details[[#This Row],[Unique Process Inputs]],Table_Process_Details[Input or Output],"Input")</calculatedColumnFormula>
    </tableColumn>
    <tableColumn id="74" xr3:uid="{D8441EAE-10C1-4FFA-A79A-7E87F6C60ECE}" name="Total [Physical Mass per kg API] of Unique Inputs (REAGENT)" dataDxfId="213">
      <calculatedColumnFormula>SUMIFS(Table_Process_Details[RV Physical Mass per kg API (REAGENT)],Table_Process_Details[Display Name],Table_Process_Details[[#This Row],[Unique Process Inputs]],Table_Process_Details[Input or Output],"Input")</calculatedColumnFormula>
    </tableColumn>
    <tableColumn id="81" xr3:uid="{AA9C6ACC-D64C-4378-8CC5-C88D80928933}" name="Total [Physical Mass per kg API] of Unique Inputs (METAL)" dataDxfId="212">
      <calculatedColumnFormula>SUMIFS(Table_Process_Details[RV Physical Mass per kg API (METAL)],Table_Process_Details[Display Name],Table_Process_Details[[#This Row],[Unique Process Inputs]],Table_Process_Details[Input or Output],"Input")</calculatedColumnFormula>
    </tableColumn>
    <tableColumn id="75" xr3:uid="{97B8706E-839E-4351-A6E6-4BB7F9B64D99}" name="Total [Physical Mass per kg API] of Unique Inputs (SOLVENT)" dataDxfId="211">
      <calculatedColumnFormula>SUMIFS(Table_Process_Details[RV Physical Mass per kg API (SOLVENT)],Table_Process_Details[Display Name],Table_Process_Details[[#This Row],[Unique Process Inputs]],Table_Process_Details[Input or Output],"Input")</calculatedColumnFormula>
    </tableColumn>
    <tableColumn id="76" xr3:uid="{7D132A75-BC64-4D1A-879F-88B51D35077D}" name="Total [Physical Mass per kg API] of Unique Inputs (WATER)" dataDxfId="210">
      <calculatedColumnFormula>SUMIFS(Table_Process_Details[RV Physical Mass per kg API (WATER)],Table_Process_Details[Display Name],Table_Process_Details[[#This Row],[Unique Process Inputs]],Table_Process_Details[Input or Output],"Input")</calculatedColumnFormula>
    </tableColumn>
    <tableColumn id="82" xr3:uid="{A81113EF-4276-43AC-AB6A-8CD61C6467A0}" name="Total [Physical Mass per kg API] of Unique Inputs (ENZ&amp;PLNT)" dataDxfId="209">
      <calculatedColumnFormula>SUMIFS(Table_Process_Details[RV Physical Mass per kg API (ENZ&amp;PLNT)],Table_Process_Details[Display Name],Table_Process_Details[[#This Row],[Unique Process Inputs]],Table_Process_Details[Input or Output],"Input")</calculatedColumnFormula>
    </tableColumn>
    <tableColumn id="43" xr3:uid="{78EE2508-CF70-44A5-A03B-68A6ABACEA36}" name="Total [Physical Mass per kg API] of Unique Inputs (OTHER)" dataDxfId="208">
      <calculatedColumnFormula>SUMIFS(Table_Process_Details[RV Physical Mass per kg API (OTHER)],Table_Process_Details[Display Name],Table_Process_Details[[#This Row],[Unique Process Inputs]],Table_Process_Details[Input or Output],"Input")</calculatedColumnFormula>
    </tableColumn>
    <tableColumn id="21" xr3:uid="{11FCF27F-D341-4F70-8D78-C282544D8C6B}" name="Unique Inputs Sorted by [Physical Mass per kg API]" dataDxfId="207">
      <calculatedColumnFormula>INDEX(Table_Process_Details[Unique Process Inputs],MATCH(Table_Process_Details[[#This Row],['[Physical Mass per kg API'] of Unique Inputs Sorted by '[Physical Mass per kg API']]],Table_Process_Details[Total '[Physical Mass per kg API'] of Unique Inputs],0))</calculatedColumnFormula>
    </tableColumn>
    <tableColumn id="22" xr3:uid="{82F2F600-A54C-4EA8-80F8-9AFD19D89FF5}" name="[Physical Mass per kg API] of Unique Inputs Sorted by [Physical Mass per kg API]" dataDxfId="206">
      <calculatedColumnFormula>IF(LARGE(Table_Process_Details[Total '[Physical Mass per kg API'] of Unique Inputs],Table_Process_Details[[#This Row],[Table Row]])=0,NA(),LARGE(Table_Process_Details[Total '[Physical Mass per kg API'] of Unique Inputs],Table_Process_Details[[#This Row],[Table Row]]))</calculatedColumnFormula>
    </tableColumn>
    <tableColumn id="60" xr3:uid="{F1BC0AF2-BB19-48E4-8678-016303DA5195}" name="Cumulative Sum of [Physical Mass per kg API]" dataDxfId="205">
      <calculatedColumnFormula>SUM(OFFSET(Table_Process_Details['[Physical Mass per kg API'] of Unique Inputs Sorted by '[Physical Mass per kg API']],0,0,Table_Process_Details[[#This Row],[Table Row]]))</calculatedColumnFormula>
    </tableColumn>
    <tableColumn id="61" xr3:uid="{8BA26FC7-3DFE-4331-8358-A8CDACB061DD}" name="Labels for [Physical Mass per kg API]" dataDxfId="204">
      <calculatedColumnFormula>"("&amp;TEXT(Table_Process_Details[[#This Row],['[Physical Mass per kg API'] of Unique Inputs Sorted by '[Physical Mass per kg API']]]/SUMIF(Table_Process_Details['[Physical Mass per kg API'] of Unique Inputs Sorted by '[Physical Mass per kg API']],"&lt;&gt;#N/A"),"0%")&amp;")"</calculatedColumnFormula>
    </tableColumn>
    <tableColumn id="77" xr3:uid="{18EFE8DE-36FF-42AA-A598-0C439DBB8C32}" name="[Physical Mass per kg API] of Unique Inputs Sorted by [Physical Mass per kg API] (REAGENT)" dataDxfId="203">
      <calculatedColumnFormula>INDEX(Table_Process_Details[Total '[Physical Mass per kg API'] of Unique Inputs (REAGENT)],MATCH(Table_Process_Details[[#This Row],[Unique Inputs Sorted by '[Physical Mass per kg API']]],Table_Process_Details[Unique Process Inputs],0))</calculatedColumnFormula>
    </tableColumn>
    <tableColumn id="83" xr3:uid="{3EEAC065-B709-4685-948C-DA14571AD328}" name="[Physical Mass per kg API] of Unique Inputs Sorted by [Physical Mass per kg API] (METAL)" dataDxfId="202">
      <calculatedColumnFormula>INDEX(Table_Process_Details[Total '[Physical Mass per kg API'] of Unique Inputs (METAL)],MATCH(Table_Process_Details[[#This Row],[Unique Inputs Sorted by '[Physical Mass per kg API']]],Table_Process_Details[Unique Process Inputs],0))</calculatedColumnFormula>
    </tableColumn>
    <tableColumn id="78" xr3:uid="{F5924F75-4CA8-44E4-80B9-483212BAF4EA}" name="[Physical Mass per kg API] of Unique Inputs Sorted by [Physical Mass per kg API] (SOLVENT)" dataDxfId="201">
      <calculatedColumnFormula>INDEX(Table_Process_Details[Total '[Physical Mass per kg API'] of Unique Inputs (SOLVENT)],MATCH(Table_Process_Details[[#This Row],[Unique Inputs Sorted by '[Physical Mass per kg API']]],Table_Process_Details[Unique Process Inputs],0))</calculatedColumnFormula>
    </tableColumn>
    <tableColumn id="79" xr3:uid="{69C6A762-5CDA-4E14-83CF-92F17E58FEC5}" name="[Physical Mass per kg API] of Unique Inputs Sorted by [Physical Mass per kg API] (WATER)" dataDxfId="200">
      <calculatedColumnFormula>INDEX(Table_Process_Details[Total '[Physical Mass per kg API'] of Unique Inputs (WATER)],MATCH(Table_Process_Details[[#This Row],[Unique Inputs Sorted by '[Physical Mass per kg API']]],Table_Process_Details[Unique Process Inputs],0))</calculatedColumnFormula>
    </tableColumn>
    <tableColumn id="84" xr3:uid="{A627EBBC-4065-4E81-B723-BD83EA86D474}" name="[Physical Mass per kg API] of Unique Inputs Sorted by [Physical Mass per kg API] (ENZ&amp;PLNT)" dataDxfId="199">
      <calculatedColumnFormula>INDEX(Table_Process_Details[Total '[Physical Mass per kg API'] of Unique Inputs (ENZ&amp;PLNT)],MATCH(Table_Process_Details[[#This Row],[Unique Inputs Sorted by '[Physical Mass per kg API']]],Table_Process_Details[Unique Process Inputs],0))</calculatedColumnFormula>
    </tableColumn>
    <tableColumn id="85" xr3:uid="{00BD8345-8C24-4681-A2A7-4E1B9A15A92A}" name="[Physical Mass per kg API] of Unique Inputs Sorted by [Physical Mass per kg API] (OTHER)" dataDxfId="198">
      <calculatedColumnFormula>INDEX(Table_Process_Details[Total '[Physical Mass per kg API'] of Unique Inputs (OTHER)],MATCH(Table_Process_Details[[#This Row],[Unique Inputs Sorted by '[Physical Mass per kg API']]],Table_Process_Details[Unique Process Inputs],0))</calculatedColumnFormula>
    </tableColumn>
    <tableColumn id="45" xr3:uid="{E3C326B7-3ACA-4577-9C00-F2162A78F874}" name="RV Mass Net (kg) per kg API" dataDxfId="197">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calculatedColumnFormula>
    </tableColumn>
    <tableColumn id="91" xr3:uid="{880A566F-407E-45B1-B463-EE5583177A6F}" name="RV Mass Net (kg) per kg API (REAGENT)" dataDxfId="196">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calculatedColumnFormula>
    </tableColumn>
    <tableColumn id="92" xr3:uid="{1373209A-70EE-44BD-8317-C9458FA81628}" name="RV Mass Net (kg) per kg API (METAL)" dataDxfId="195">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calculatedColumnFormula>
    </tableColumn>
    <tableColumn id="93" xr3:uid="{E7A2528C-154E-4A16-974D-53963A110026}" name="RV Mass Net (kg) per kg API (SOLVENT)" dataDxfId="194">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calculatedColumnFormula>
    </tableColumn>
    <tableColumn id="94" xr3:uid="{56DCD77A-A77B-4F8C-82DA-F5BB75E84D95}" name="RV Mass Net (kg) per kg API (WATER)" dataDxfId="193">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calculatedColumnFormula>
    </tableColumn>
    <tableColumn id="95" xr3:uid="{DDB18C1F-865F-4777-ACD3-F4CE92358D6E}" name="RV Mass Net (kg) per kg API (ENZ&amp;PLNT)" dataDxfId="192">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calculatedColumnFormula>
    </tableColumn>
    <tableColumn id="96" xr3:uid="{EC16D09A-3766-46C6-AEC5-3ED686B75099}" name="RV Mass Net (kg) per kg API (OTHER)" dataDxfId="191">
      <calculatedColumnFormula>(Table_Process_Details[[#This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calculatedColumnFormula>
    </tableColumn>
    <tableColumn id="23" xr3:uid="{51B8F62F-9BEA-4658-849F-7953CCA8D8B7}" name="Total [Mass Net (kg) per kg API] of Unique Inputs" dataDxfId="190">
      <calculatedColumnFormula>SUMIFS(Table_Process_Details[RV Mass Net (kg) per kg API],Table_Process_Details[Display Name],Table_Process_Details[[#This Row],[Unique Process Inputs]],Table_Process_Details[Input or Output],"Input")</calculatedColumnFormula>
    </tableColumn>
    <tableColumn id="98" xr3:uid="{650353F5-220C-47EC-9403-AD3AD1356E22}" name="Total [Mass Net (kg) per kg API] of Unique Inputs (REAGENT)" dataDxfId="189">
      <calculatedColumnFormula>SUMIFS(Table_Process_Details[RV Mass Net (kg) per kg API (REAGENT)],Table_Process_Details[Display Name],Table_Process_Details[[#This Row],[Unique Process Inputs]],Table_Process_Details[Input or Output],"Input")</calculatedColumnFormula>
    </tableColumn>
    <tableColumn id="99" xr3:uid="{2112650A-0197-4C40-8A57-99CB8CDB8184}" name="Total [Mass Net (kg) per kg API] of Unique Inputs (METAL)" dataDxfId="188">
      <calculatedColumnFormula>SUMIFS(Table_Process_Details[RV Mass Net (kg) per kg API (METAL)],Table_Process_Details[Display Name],Table_Process_Details[[#This Row],[Unique Process Inputs]],Table_Process_Details[Input or Output],"Input")</calculatedColumnFormula>
    </tableColumn>
    <tableColumn id="100" xr3:uid="{F923AC9F-8945-4D04-AC81-D8287A0E7643}" name="Total [Mass Net (kg) per kg API] of Unique Inputs (SOLVENT)" dataDxfId="187">
      <calculatedColumnFormula>SUMIFS(Table_Process_Details[RV Mass Net (kg) per kg API (SOLVENT)],Table_Process_Details[Display Name],Table_Process_Details[[#This Row],[Unique Process Inputs]],Table_Process_Details[Input or Output],"Input")</calculatedColumnFormula>
    </tableColumn>
    <tableColumn id="101" xr3:uid="{3AB4B6DC-06CD-4694-8F57-22688E71129F}" name="Total [Mass Net (kg) per kg API] of Unique Inputs (WATER)" dataDxfId="186">
      <calculatedColumnFormula>SUMIFS(Table_Process_Details[RV Mass Net (kg) per kg API (WATER)],Table_Process_Details[Display Name],Table_Process_Details[[#This Row],[Unique Process Inputs]],Table_Process_Details[Input or Output],"Input")</calculatedColumnFormula>
    </tableColumn>
    <tableColumn id="102" xr3:uid="{2911D450-D6C2-421E-A50E-8288005CE409}" name="Total [Mass Net (kg) per kg API] of Unique Inputs (ENZ&amp;PLNT)" dataDxfId="185">
      <calculatedColumnFormula>SUMIFS(Table_Process_Details[RV Mass Net (kg) per kg API (ENZ&amp;PLNT)],Table_Process_Details[Display Name],Table_Process_Details[[#This Row],[Unique Process Inputs]],Table_Process_Details[Input or Output],"Input")</calculatedColumnFormula>
    </tableColumn>
    <tableColumn id="103" xr3:uid="{5591869C-75C9-4C34-A541-0DF834C02BEA}" name="Total [Mass Net (kg) per kg API] of Unique Inputs (OTHER)" dataDxfId="184">
      <calculatedColumnFormula>SUMIFS(Table_Process_Details[RV Mass Net (kg) per kg API (OTHER)],Table_Process_Details[Display Name],Table_Process_Details[[#This Row],[Unique Process Inputs]],Table_Process_Details[Input or Output],"Input")</calculatedColumnFormula>
    </tableColumn>
    <tableColumn id="25" xr3:uid="{6EA2379C-807E-490B-8F63-17BC6C6CA157}" name="Unique Inputs Sorted by [Mass Net (kg) per kg API]" dataDxfId="183">
      <calculatedColumnFormula>INDEX(Table_Process_Details[Unique Process Inputs],MATCH(Table_Process_Details[[#This Row],['[Mass Net (kg) per kg API'] of Unique Inputs Sorted by '[Mass Net (kg) per kg API']]],Table_Process_Details[Total '[Mass Net (kg) per kg API'] of Unique Inputs],0))</calculatedColumnFormula>
    </tableColumn>
    <tableColumn id="24" xr3:uid="{6F0FC558-53A2-4DD9-94EA-E4F9111FF62A}" name="[Mass Net (kg) per kg API] of Unique Inputs Sorted by [Mass Net (kg) per kg API]" dataDxfId="182">
      <calculatedColumnFormula>IF(LARGE(Table_Process_Details[Total '[Mass Net (kg) per kg API'] of Unique Inputs],Table_Process_Details[[#This Row],[Table Row]])=0,NA(),LARGE(Table_Process_Details[Total '[Mass Net (kg) per kg API'] of Unique Inputs],Table_Process_Details[[#This Row],[Table Row]]))</calculatedColumnFormula>
    </tableColumn>
    <tableColumn id="58" xr3:uid="{50E526A9-8C3A-4B52-9E0B-F9A61019CE2C}" name="Cumulative Sum of [Mass Net (kg) per kg API]" dataDxfId="181">
      <calculatedColumnFormula>SUM(OFFSET(Table_Process_Details['[Mass Net (kg) per kg API'] of Unique Inputs Sorted by '[Mass Net (kg) per kg API']],0,0,Table_Process_Details[[#This Row],[Table Row]]))</calculatedColumnFormula>
    </tableColumn>
    <tableColumn id="59" xr3:uid="{B2DB9FED-5748-4D53-AD21-4D90B6EAB262}" name="Labels for [Mass Net (kg) per kg API]" dataDxfId="180">
      <calculatedColumnFormula>"("&amp;TEXT(Table_Process_Details[[#This Row],['[Mass Net (kg) per kg API'] of Unique Inputs Sorted by '[Mass Net (kg) per kg API']]]/SUMIF(Table_Process_Details['[Mass Net (kg) per kg API'] of Unique Inputs Sorted by '[Mass Net (kg) per kg API']],"&lt;&gt;#N/A"),"0%")&amp;")"</calculatedColumnFormula>
    </tableColumn>
    <tableColumn id="104" xr3:uid="{24F9EF7E-F498-4B54-AFAD-187F03C7CAB4}" name="[Mass Net (kg) per kg API] of Unique Inputs Sorted by [Mass Net (kg) per kg API] (REAGENT)" dataDxfId="179">
      <calculatedColumnFormula>INDEX(Table_Process_Details[Total '[Mass Net (kg) per kg API'] of Unique Inputs (REAGENT)], MATCH(Table_Process_Details[[#This Row],[Unique Inputs Sorted by '[Mass Net (kg) per kg API']]],Table_Process_Details[Unique Process Inputs],0))</calculatedColumnFormula>
    </tableColumn>
    <tableColumn id="105" xr3:uid="{7ABE64CD-8FFD-4E42-9C87-1A1794F8E48C}" name="[Mass Net (kg) per kg API] of Unique Inputs Sorted by [Mass Net (kg) per kg API] (METAL)" dataDxfId="178">
      <calculatedColumnFormula>INDEX(Table_Process_Details[Total '[Mass Net (kg) per kg API'] of Unique Inputs (METAL)], MATCH(Table_Process_Details[[#This Row],[Unique Inputs Sorted by '[Mass Net (kg) per kg API']]],Table_Process_Details[Unique Process Inputs],0))</calculatedColumnFormula>
    </tableColumn>
    <tableColumn id="106" xr3:uid="{63BB6390-5486-46E3-8190-02DE9FA37F13}" name="[Mass Net (kg) per kg API] of Unique Inputs Sorted by [Mass Net (kg) per kg API] (SOLVENT)" dataDxfId="177">
      <calculatedColumnFormula>INDEX(Table_Process_Details[Total '[Mass Net (kg) per kg API'] of Unique Inputs (SOLVENT)], MATCH(Table_Process_Details[[#This Row],[Unique Inputs Sorted by '[Mass Net (kg) per kg API']]],Table_Process_Details[Unique Process Inputs],0))</calculatedColumnFormula>
    </tableColumn>
    <tableColumn id="107" xr3:uid="{E06ED67B-83DB-4DC1-A752-16CE524E84DD}" name="[Mass Net (kg) per kg API] of Unique Inputs Sorted by [Mass Net (kg) per kg API] (WATER)" dataDxfId="176">
      <calculatedColumnFormula>INDEX(Table_Process_Details[Total '[Mass Net (kg) per kg API'] of Unique Inputs (WATER)], MATCH(Table_Process_Details[[#This Row],[Unique Inputs Sorted by '[Mass Net (kg) per kg API']]],Table_Process_Details[Unique Process Inputs],0))</calculatedColumnFormula>
    </tableColumn>
    <tableColumn id="108" xr3:uid="{3B531098-AE94-401C-BB43-C94F078A3921}" name="[Mass Net (kg) per kg API] of Unique Inputs Sorted by [Mass Net (kg) per kg API] (ENZ&amp;PLNT)" dataDxfId="175">
      <calculatedColumnFormula>INDEX(Table_Process_Details[Total '[Mass Net (kg) per kg API'] of Unique Inputs (ENZ&amp;PLNT)], MATCH(Table_Process_Details[[#This Row],[Unique Inputs Sorted by '[Mass Net (kg) per kg API']]],Table_Process_Details[Unique Process Inputs],0))</calculatedColumnFormula>
    </tableColumn>
    <tableColumn id="111" xr3:uid="{C52BFB55-AAF6-4F52-8D3B-316A9015ABAD}" name="[Mass Net (kg) per kg API] of Unique Inputs Sorted by [Mass Net (kg) per kg API] (OTHER)" dataDxfId="174">
      <calculatedColumnFormula>INDEX(Table_Process_Details[Total '[Mass Net (kg) per kg API'] of Unique Inputs (OTHER)], MATCH(Table_Process_Details[[#This Row],[Unique Inputs Sorted by '[Mass Net (kg) per kg API']]],Table_Process_Details[Unique Process Inputs],0))</calculatedColumnFormula>
    </tableColumn>
    <tableColumn id="46" xr3:uid="{FD2671B6-EB4B-4B92-BFFA-BE026062D5B0}" name="RV Energy (MJ) per kg API" dataDxfId="173">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calculatedColumnFormula>
    </tableColumn>
    <tableColumn id="140" xr3:uid="{9C93CB48-8BD9-4671-BE35-E87D4366D6F6}" name="RV Energy (MJ) per kg API (REAGENT)" dataDxfId="172">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calculatedColumnFormula>
    </tableColumn>
    <tableColumn id="141" xr3:uid="{74A009C9-CCB3-4D21-8ACE-8B57C028E6D6}" name="RV Energy (MJ) per kg API (METAL)" dataDxfId="171">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calculatedColumnFormula>
    </tableColumn>
    <tableColumn id="142" xr3:uid="{F276C9BF-3D97-4C69-AEAD-348EE379C320}" name="RV Energy (MJ) per kg API (SOLVENT)" dataDxfId="170">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calculatedColumnFormula>
    </tableColumn>
    <tableColumn id="143" xr3:uid="{6E520CDB-263F-477D-9DA2-AFA8AA549131}" name="RV Energy (MJ) per kg API (WATER)" dataDxfId="169">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calculatedColumnFormula>
    </tableColumn>
    <tableColumn id="144" xr3:uid="{90331A0D-BF16-41D1-96C3-8519DBD5A1DE}" name="RV Energy (MJ) per kg API (ENZ&amp;PLNT)" dataDxfId="168">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calculatedColumnFormula>
    </tableColumn>
    <tableColumn id="145" xr3:uid="{A8B5E2F1-E8AF-4CB5-83AE-D5AEEBFDE786}" name="RV Energy (MJ) per kg API (OTHER)" dataDxfId="167">
      <calculatedColumnFormula>(Table_Process_Details[[#This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calculatedColumnFormula>
    </tableColumn>
    <tableColumn id="26" xr3:uid="{7D020C24-E64E-451A-96CD-CA53FD8A4B59}" name="Total [Energy (MJ) per kg API] of Unique Inputs" dataDxfId="166">
      <calculatedColumnFormula>SUMIFS(Table_Process_Details[RV Energy (MJ) per kg API],Table_Process_Details[Display Name],Table_Process_Details[[#This Row],[Unique Process Inputs]],Table_Process_Details[Input or Output],"Input")</calculatedColumnFormula>
    </tableColumn>
    <tableColumn id="170" xr3:uid="{AB8C590F-5404-4197-A024-E6903CAEF4B2}" name="Total [Energy (MJ) per kg API] of Unique Inputs (REAGENT)" dataDxfId="165">
      <calculatedColumnFormula>SUMIFS(Table_Process_Details[RV Energy (MJ) per kg API (REAGENT)],Table_Process_Details[Display Name],Table_Process_Details[[#This Row],[Unique Process Inputs]],Table_Process_Details[Input or Output],"Input")</calculatedColumnFormula>
    </tableColumn>
    <tableColumn id="171" xr3:uid="{A65B4A67-A61B-439F-B60E-9B36D21F9D42}" name="Total [Energy (MJ) per kg API] of Unique Inputs (METAL)" dataDxfId="164">
      <calculatedColumnFormula>SUMIFS(Table_Process_Details[RV Energy (MJ) per kg API (METAL)],Table_Process_Details[Display Name],Table_Process_Details[[#This Row],[Unique Process Inputs]],Table_Process_Details[Input or Output],"Input")</calculatedColumnFormula>
    </tableColumn>
    <tableColumn id="172" xr3:uid="{DA8662F4-AB56-49ED-8AA0-EC29829B09D4}" name="Total [Energy (MJ) per kg API] of Unique Inputs (SOLVENT)" dataDxfId="163">
      <calculatedColumnFormula>SUMIFS(Table_Process_Details[RV Energy (MJ) per kg API (SOLVENT)],Table_Process_Details[Display Name],Table_Process_Details[[#This Row],[Unique Process Inputs]],Table_Process_Details[Input or Output],"Input")</calculatedColumnFormula>
    </tableColumn>
    <tableColumn id="173" xr3:uid="{91CE0337-4860-4FFE-81F0-4669A476B1AE}" name="Total [Energy (MJ) per kg API] of Unique Inputs (WATER)" dataDxfId="162">
      <calculatedColumnFormula>SUMIFS(Table_Process_Details[RV Energy (MJ) per kg API (WATER)],Table_Process_Details[Display Name],Table_Process_Details[[#This Row],[Unique Process Inputs]],Table_Process_Details[Input or Output],"Input")</calculatedColumnFormula>
    </tableColumn>
    <tableColumn id="174" xr3:uid="{3ECC9FDE-D959-4F39-961F-B82E6D88F8FD}" name="Total [Energy (MJ) per kg API] of Unique Inputs (ENZ&amp;PLNT)" dataDxfId="161">
      <calculatedColumnFormula>SUMIFS(Table_Process_Details[RV Energy (MJ) per kg API (ENZ&amp;PLNT)],Table_Process_Details[Display Name],Table_Process_Details[[#This Row],[Unique Process Inputs]],Table_Process_Details[Input or Output],"Input")</calculatedColumnFormula>
    </tableColumn>
    <tableColumn id="175" xr3:uid="{1FD4D2DD-C916-4AB3-B8DA-07F498077AB4}" name="Total [Energy (MJ) per kg API] of Unique Inputs (OTHER)" dataDxfId="160">
      <calculatedColumnFormula>SUMIFS(Table_Process_Details[RV Energy (MJ) per kg API (OTHER)],Table_Process_Details[Display Name],Table_Process_Details[[#This Row],[Unique Process Inputs]],Table_Process_Details[Input or Output],"Input")</calculatedColumnFormula>
    </tableColumn>
    <tableColumn id="27" xr3:uid="{A34CF4AE-B46B-4994-B2E2-9DEC815EA0FB}" name="Unique Inputs Sorted by [Energy (MJ) per kg API]" dataDxfId="159">
      <calculatedColumnFormula>INDEX(Table_Process_Details[Unique Process Inputs],MATCH(Table_Process_Details[[#This Row],['[Energy (MJ) per kg API'] of Unique Inputs Sorted by '[Energy (MJ) per kg API']]],Table_Process_Details[Total '[Energy (MJ) per kg API'] of Unique Inputs],0))</calculatedColumnFormula>
    </tableColumn>
    <tableColumn id="28" xr3:uid="{62B565D3-935B-4FD9-8CD9-CD19F7931F23}" name="[Energy (MJ) per kg API] of Unique Inputs Sorted by [Energy (MJ) per kg API]" dataDxfId="158">
      <calculatedColumnFormula>IF(LARGE(Table_Process_Details[Total '[Energy (MJ) per kg API'] of Unique Inputs],Table_Process_Details[[#This Row],[Table Row]])=0,NA(),LARGE(Table_Process_Details[Total '[Energy (MJ) per kg API'] of Unique Inputs],Table_Process_Details[[#This Row],[Table Row]]))</calculatedColumnFormula>
    </tableColumn>
    <tableColumn id="56" xr3:uid="{A5169909-6DBD-4AD7-86C0-CCA6AE1DC0A5}" name="Cumulative Sum of [Energy (MJ) per kg API]" dataDxfId="157">
      <calculatedColumnFormula>SUM(OFFSET(Table_Process_Details['[Energy (MJ) per kg API'] of Unique Inputs Sorted by '[Energy (MJ) per kg API']],0,0,Table_Process_Details[[#This Row],[Table Row]]))</calculatedColumnFormula>
    </tableColumn>
    <tableColumn id="57" xr3:uid="{368AEACC-A3E6-4506-B82A-A574CFD610C3}" name="Labels for [Energy (MJ) per kg API]" dataDxfId="156">
      <calculatedColumnFormula>"("&amp;TEXT(Table_Process_Details[[#This Row],['[Energy (MJ) per kg API'] of Unique Inputs Sorted by '[Energy (MJ) per kg API']]]/SUMIF(Table_Process_Details['[Energy (MJ) per kg API'] of Unique Inputs Sorted by '[Energy (MJ) per kg API']],"&lt;&gt;#N/A"),"0%")&amp;")"</calculatedColumnFormula>
    </tableColumn>
    <tableColumn id="200" xr3:uid="{CA8843BB-24DA-41EF-895E-493356314E8E}" name="[Energy (MJ) per kg API] of Unique Inputs Sorted by [Energy (MJ) per kg API] (REAGENT)" dataDxfId="155">
      <calculatedColumnFormula>INDEX(Table_Process_Details[Total '[Energy (MJ) per kg API'] of Unique Inputs (REAGENT)], MATCH(Table_Process_Details[[#This Row],[Unique Inputs Sorted by '[Energy (MJ) per kg API']]],Table_Process_Details[Unique Process Inputs],0))</calculatedColumnFormula>
    </tableColumn>
    <tableColumn id="201" xr3:uid="{F510FC53-D469-43CE-917F-DBABFC711A99}" name="[Energy (MJ) per kg API] of Unique Inputs Sorted by [Energy (MJ) per kg API] (METAL)" dataDxfId="154">
      <calculatedColumnFormula>INDEX(Table_Process_Details[Total '[Energy (MJ) per kg API'] of Unique Inputs (METAL)], MATCH(Table_Process_Details[[#This Row],[Unique Inputs Sorted by '[Energy (MJ) per kg API']]],Table_Process_Details[Unique Process Inputs],0))</calculatedColumnFormula>
    </tableColumn>
    <tableColumn id="202" xr3:uid="{A5BC5E90-1FAE-4983-9175-CB5DC193BDD2}" name="[Energy (MJ) per kg API] of Unique Inputs Sorted by [Energy (MJ) per kg API] (SOLVENT)" dataDxfId="153">
      <calculatedColumnFormula>INDEX(Table_Process_Details[Total '[Energy (MJ) per kg API'] of Unique Inputs (SOLVENT)], MATCH(Table_Process_Details[[#This Row],[Unique Inputs Sorted by '[Energy (MJ) per kg API']]],Table_Process_Details[Unique Process Inputs],0))</calculatedColumnFormula>
    </tableColumn>
    <tableColumn id="203" xr3:uid="{25C21D5B-C83F-4F2B-8B28-EE75E2EFAC99}" name="[Energy (MJ) per kg API] of Unique Inputs Sorted by [Energy (MJ) per kg API] (WATER)" dataDxfId="152">
      <calculatedColumnFormula>INDEX(Table_Process_Details[Total '[Energy (MJ) per kg API'] of Unique Inputs (WATER)], MATCH(Table_Process_Details[[#This Row],[Unique Inputs Sorted by '[Energy (MJ) per kg API']]],Table_Process_Details[Unique Process Inputs],0))</calculatedColumnFormula>
    </tableColumn>
    <tableColumn id="204" xr3:uid="{BFFED615-02DF-4DE9-9B81-EB05C8FEFCED}" name="[Energy (MJ) per kg API] of Unique Inputs Sorted by [Energy (MJ) per kg API] (ENZ&amp;PLNT)" dataDxfId="151">
      <calculatedColumnFormula>INDEX(Table_Process_Details[Total '[Energy (MJ) per kg API'] of Unique Inputs (ENZ&amp;PLNT)], MATCH(Table_Process_Details[[#This Row],[Unique Inputs Sorted by '[Energy (MJ) per kg API']]],Table_Process_Details[Unique Process Inputs],0))</calculatedColumnFormula>
    </tableColumn>
    <tableColumn id="205" xr3:uid="{4AE4A695-7651-4B42-8743-AE242A687068}" name="[Energy (MJ) per kg API] of Unique Inputs Sorted by [Energy (MJ) per kg API] (OTHER)" dataDxfId="150">
      <calculatedColumnFormula>INDEX(Table_Process_Details[Total '[Energy (MJ) per kg API'] of Unique Inputs (OTHER)], MATCH(Table_Process_Details[[#This Row],[Unique Inputs Sorted by '[Energy (MJ) per kg API']]],Table_Process_Details[Unique Process Inputs],0))</calculatedColumnFormula>
    </tableColumn>
    <tableColumn id="47" xr3:uid="{A737978B-61BF-4390-B0F2-01278FCE79C7}" name="RV GWP (kg CO2 equiv.) per kg API" dataDxfId="149">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calculatedColumnFormula>
    </tableColumn>
    <tableColumn id="146" xr3:uid="{B5AF87C9-F1F3-4482-8F13-F70FEEBD3C62}" name="RV GWP (kg CO2 equiv.) per kg API (REAGENT)" dataDxfId="148">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calculatedColumnFormula>
    </tableColumn>
    <tableColumn id="147" xr3:uid="{B7931760-16E0-4053-80EE-5A7EAFBB71B9}" name="RV GWP (kg CO2 equiv.) per kg API (METAL)" dataDxfId="147">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calculatedColumnFormula>
    </tableColumn>
    <tableColumn id="148" xr3:uid="{56031103-1347-4D9C-BAE9-5E7B676C1145}" name="RV GWP (kg CO2 equiv.) per kg API (SOLVENT)" dataDxfId="146">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calculatedColumnFormula>
    </tableColumn>
    <tableColumn id="149" xr3:uid="{0F0BFAEC-84F1-40C1-8A3F-3B89BA30F089}" name="RV GWP (kg CO2 equiv.) per kg API (WATER)" dataDxfId="145">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calculatedColumnFormula>
    </tableColumn>
    <tableColumn id="150" xr3:uid="{E73884F0-3BB2-44DA-8495-B68A9A89F03C}" name="RV GWP (kg CO2 equiv.) per kg API (ENZ&amp;PLNT)" dataDxfId="144">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calculatedColumnFormula>
    </tableColumn>
    <tableColumn id="151" xr3:uid="{B7C7E994-21E9-415D-8025-45E7F4E1CA2B}" name="RV GWP (kg CO2 equiv.) per kg API (OTHER)" dataDxfId="143">
      <calculatedColumnFormula>(Table_Process_Details[[#This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calculatedColumnFormula>
    </tableColumn>
    <tableColumn id="29" xr3:uid="{60A42477-FBE4-4DA7-AA6B-55A844DAC1C2}" name="Total [GWP (kg CO2 equiv.) per kg API] of Unique Inputs" dataDxfId="142">
      <calculatedColumnFormula>SUMIFS(Table_Process_Details[RV GWP (kg CO2 equiv.) per kg API],Table_Process_Details[Display Name],Table_Process_Details[[#This Row],[Unique Process Inputs]],Table_Process_Details[Input or Output],"Input")</calculatedColumnFormula>
    </tableColumn>
    <tableColumn id="176" xr3:uid="{40ED43F2-C4DD-402F-9647-4C0A88CFCD5F}" name="Total [GWP (kg CO2 equiv.) per kg API] of Unique Inputs (REAGENT)" dataDxfId="141">
      <calculatedColumnFormula>SUMIFS(Table_Process_Details[RV GWP (kg CO2 equiv.) per kg API (REAGENT)],Table_Process_Details[Display Name],Table_Process_Details[[#This Row],[Unique Process Inputs]],Table_Process_Details[Input or Output],"Input")</calculatedColumnFormula>
    </tableColumn>
    <tableColumn id="177" xr3:uid="{3CA781FF-52B2-4DAE-B2D8-827720A15A89}" name="Total [GWP (kg CO2 equiv.) per kg API] of Unique Inputs (METAL)" dataDxfId="140">
      <calculatedColumnFormula>SUMIFS(Table_Process_Details[RV GWP (kg CO2 equiv.) per kg API (METAL)],Table_Process_Details[Display Name],Table_Process_Details[[#This Row],[Unique Process Inputs]],Table_Process_Details[Input or Output],"Input")</calculatedColumnFormula>
    </tableColumn>
    <tableColumn id="178" xr3:uid="{BA8F8CD9-6D7E-4FDB-8047-A28C1E3A8175}" name="Total [GWP (kg CO2 equiv.) per kg API] of Unique Inputs (SOLVENT)" dataDxfId="139">
      <calculatedColumnFormula>SUMIFS(Table_Process_Details[RV GWP (kg CO2 equiv.) per kg API (SOLVENT)],Table_Process_Details[Display Name],Table_Process_Details[[#This Row],[Unique Process Inputs]],Table_Process_Details[Input or Output],"Input")</calculatedColumnFormula>
    </tableColumn>
    <tableColumn id="179" xr3:uid="{751AEC81-183D-485D-A61E-BCBECCDFF947}" name="Total [GWP (kg CO2 equiv.) per kg API] of Unique Inputs (WATER)" dataDxfId="138">
      <calculatedColumnFormula>SUMIFS(Table_Process_Details[RV GWP (kg CO2 equiv.) per kg API (WATER)],Table_Process_Details[Display Name],Table_Process_Details[[#This Row],[Unique Process Inputs]],Table_Process_Details[Input or Output],"Input")</calculatedColumnFormula>
    </tableColumn>
    <tableColumn id="180" xr3:uid="{9B52DD6F-AEC7-47A7-8B7D-6547502EC65D}" name="Total [GWP (kg CO2 equiv.) per kg API] of Unique Inputs (ENZ&amp;PLNT)" dataDxfId="137">
      <calculatedColumnFormula>SUMIFS(Table_Process_Details[RV GWP (kg CO2 equiv.) per kg API (ENZ&amp;PLNT)],Table_Process_Details[Display Name],Table_Process_Details[[#This Row],[Unique Process Inputs]],Table_Process_Details[Input or Output],"Input")</calculatedColumnFormula>
    </tableColumn>
    <tableColumn id="181" xr3:uid="{8F4E8158-F581-4E2A-B0C5-C4CF75AB89A5}" name="Total [GWP (kg CO2 equiv.) per kg API] of Unique Inputs (OTHER)" dataDxfId="136">
      <calculatedColumnFormula>SUMIFS(Table_Process_Details[RV GWP (kg CO2 equiv.) per kg API (OTHER)],Table_Process_Details[Display Name],Table_Process_Details[[#This Row],[Unique Process Inputs]],Table_Process_Details[Input or Output],"Input")</calculatedColumnFormula>
    </tableColumn>
    <tableColumn id="30" xr3:uid="{9E46334E-1985-46D3-8124-D45F5422048D}" name="Unique Inputs Sorted by [GWP (kg CO2 equiv.) per kg API]" dataDxfId="135">
      <calculatedColumnFormula>INDEX(Table_Process_Details[Unique Process Inputs],MATCH(Table_Process_Details[[#This Row],['[GWP (kg CO2 equiv.) per kg API'] of Unique Inputs Sorted by '[GWP (kg CO2 equiv.) per kg API']]],Table_Process_Details[Total '[GWP (kg CO2 equiv.) per kg API'] of Unique Inputs],0))</calculatedColumnFormula>
    </tableColumn>
    <tableColumn id="31" xr3:uid="{D3B50397-1F83-45AE-8A5E-DAB9DCA39C20}" name="[GWP (kg CO2 equiv.) per kg API] of Unique Inputs Sorted by [GWP (kg CO2 equiv.) per kg API]" dataDxfId="134">
      <calculatedColumnFormula>IF(LARGE(Table_Process_Details[Total '[GWP (kg CO2 equiv.) per kg API'] of Unique Inputs],Table_Process_Details[[#This Row],[Table Row]])=0,NA(),LARGE(Table_Process_Details[Total '[GWP (kg CO2 equiv.) per kg API'] of Unique Inputs],Table_Process_Details[[#This Row],[Table Row]]))</calculatedColumnFormula>
    </tableColumn>
    <tableColumn id="54" xr3:uid="{DBA9B790-CEED-4A75-80C5-E641A8A65BAA}" name="Cumulative Sum of [GWP (kg CO2 equiv.) per kg API]" dataDxfId="133">
      <calculatedColumnFormula>SUM(OFFSET(Table_Process_Details['[GWP (kg CO2 equiv.) per kg API'] of Unique Inputs Sorted by '[GWP (kg CO2 equiv.) per kg API']],0,0,Table_Process_Details[[#This Row],[Table Row]]))</calculatedColumnFormula>
    </tableColumn>
    <tableColumn id="55" xr3:uid="{91C1C32E-6221-47B8-B3CA-D4CA5275D847}" name="Labels for [GWP (kg CO2 equiv.) per kg API]" dataDxfId="132">
      <calculatedColumnFormula>"("&amp;TEXT(Table_Process_Details[[#This Row],['[GWP (kg CO2 equiv.) per kg API'] of Unique Inputs Sorted by '[GWP (kg CO2 equiv.) per kg API']]]/SUMIF(Table_Process_Details['[GWP (kg CO2 equiv.) per kg API'] of Unique Inputs Sorted by '[GWP (kg CO2 equiv.) per kg API']],"&lt;&gt;#N/A"),"0%")&amp;")"</calculatedColumnFormula>
    </tableColumn>
    <tableColumn id="206" xr3:uid="{04E54B6F-6B9B-482C-89DF-17AADA399E7C}" name="[GWP (kg CO2 equiv.) per kg API] of Unique Inputs Sorted by [GWP (kg CO2 equiv.) per kg API] (REAGENT)" dataDxfId="131">
      <calculatedColumnFormula>INDEX(Table_Process_Details[Total '[GWP (kg CO2 equiv.) per kg API'] of Unique Inputs (REAGENT)], MATCH(Table_Process_Details[[#This Row],[Unique Inputs Sorted by '[GWP (kg CO2 equiv.) per kg API']]],Table_Process_Details[Unique Process Inputs],0))</calculatedColumnFormula>
    </tableColumn>
    <tableColumn id="207" xr3:uid="{80A20F47-A61B-4C0F-8C75-457E95D4DAA3}" name="[GWP (kg CO2 equiv.) per kg API] of Unique Inputs Sorted by [GWP (kg CO2 equiv.) per kg API] (METAL)" dataDxfId="130">
      <calculatedColumnFormula>INDEX(Table_Process_Details[Total '[GWP (kg CO2 equiv.) per kg API'] of Unique Inputs (METAL)], MATCH(Table_Process_Details[[#This Row],[Unique Inputs Sorted by '[GWP (kg CO2 equiv.) per kg API']]],Table_Process_Details[Unique Process Inputs],0))</calculatedColumnFormula>
    </tableColumn>
    <tableColumn id="208" xr3:uid="{43BD9950-8F4B-432F-B335-F28CD1B87273}" name="[GWP (kg CO2 equiv.) per kg API] of Unique Inputs Sorted by [GWP (kg CO2 equiv.) per kg API] (SOLVENT)" dataDxfId="129">
      <calculatedColumnFormula>INDEX(Table_Process_Details[Total '[GWP (kg CO2 equiv.) per kg API'] of Unique Inputs (SOLVENT)], MATCH(Table_Process_Details[[#This Row],[Unique Inputs Sorted by '[GWP (kg CO2 equiv.) per kg API']]],Table_Process_Details[Unique Process Inputs],0))</calculatedColumnFormula>
    </tableColumn>
    <tableColumn id="209" xr3:uid="{ECF6BD50-ED62-439D-9228-44FB01168F95}" name="[GWP (kg CO2 equiv.) per kg API] of Unique Inputs Sorted by [GWP (kg CO2 equiv.) per kg API] (WATER)" dataDxfId="128">
      <calculatedColumnFormula>INDEX(Table_Process_Details[Total '[GWP (kg CO2 equiv.) per kg API'] of Unique Inputs (WATER)], MATCH(Table_Process_Details[[#This Row],[Unique Inputs Sorted by '[GWP (kg CO2 equiv.) per kg API']]],Table_Process_Details[Unique Process Inputs],0))</calculatedColumnFormula>
    </tableColumn>
    <tableColumn id="210" xr3:uid="{E67E8414-7C16-4EA3-B7C2-63F78129BC55}" name="[GWP (kg CO2 equiv.) per kg API] of Unique Inputs Sorted by [GWP (kg CO2 equiv.) per kg API] (ENZ&amp;PLNT)" dataDxfId="127">
      <calculatedColumnFormula>INDEX(Table_Process_Details[Total '[GWP (kg CO2 equiv.) per kg API'] of Unique Inputs (ENZ&amp;PLNT)], MATCH(Table_Process_Details[[#This Row],[Unique Inputs Sorted by '[GWP (kg CO2 equiv.) per kg API']]],Table_Process_Details[Unique Process Inputs],0))</calculatedColumnFormula>
    </tableColumn>
    <tableColumn id="211" xr3:uid="{AD9AEDE1-570C-4C8A-A266-74B0E619461E}" name="[GWP (kg CO2 equiv.) per kg API] of Unique Inputs Sorted by [GWP (kg CO2 equiv.) per kg API] (OTHER)" dataDxfId="126">
      <calculatedColumnFormula>INDEX(Table_Process_Details[Total '[GWP (kg CO2 equiv.) per kg API'] of Unique Inputs (OTHER)], MATCH(Table_Process_Details[[#This Row],[Unique Inputs Sorted by '[GWP (kg CO2 equiv.) per kg API']]],Table_Process_Details[Unique Process Inputs],0))</calculatedColumnFormula>
    </tableColumn>
    <tableColumn id="49" xr3:uid="{52CD1733-3E60-4CBC-A28B-A8F721510BB2}" name="RV Acidification (kg SO2 equiv.) per kg API" dataDxfId="125">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calculatedColumnFormula>
    </tableColumn>
    <tableColumn id="152" xr3:uid="{3BFE4A71-0942-45CC-81E6-28C86C38BDD5}" name="RV Acidification (kg SO2 equiv.) per kg API (REAGENT)" dataDxfId="124">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calculatedColumnFormula>
    </tableColumn>
    <tableColumn id="153" xr3:uid="{563D9263-B975-4EA1-B082-88CEBBB35E33}" name="RV Acidification (kg SO2 equiv.) per kg API (METAL)" dataDxfId="123">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calculatedColumnFormula>
    </tableColumn>
    <tableColumn id="154" xr3:uid="{A2717EBD-6643-4425-9B22-4E3A2B68812C}" name="RV Acidification (kg SO2 equiv.) per kg API (SOLVENT)" dataDxfId="122">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calculatedColumnFormula>
    </tableColumn>
    <tableColumn id="155" xr3:uid="{465B79D1-17E9-4A38-BB9D-94AC0EF8C124}" name="RV Acidification (kg SO2 equiv.) per kg API (WATER)" dataDxfId="121">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calculatedColumnFormula>
    </tableColumn>
    <tableColumn id="156" xr3:uid="{1D9F7D5C-497C-4880-8B62-E8AEE65895BA}" name="RV Acidification (kg SO2 equiv.) per kg API (ENZ&amp;PLNT)" dataDxfId="120">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calculatedColumnFormula>
    </tableColumn>
    <tableColumn id="157" xr3:uid="{C8B95EA5-6E09-4985-BEFF-6EB11DFF4D90}" name="RV Acidification (kg SO2 equiv.) per kg API (OTHER)" dataDxfId="119">
      <calculatedColumnFormula>(Table_Process_Details[[#This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calculatedColumnFormula>
    </tableColumn>
    <tableColumn id="12" xr3:uid="{049C46EC-4F3B-44BC-B07C-B5BBFF76BCE0}" name="Total [Acidification (kg SO2 equiv.) per kg API] of Unique Inputs" dataDxfId="118">
      <calculatedColumnFormula>SUMIFS(Table_Process_Details[RV Acidification (kg SO2 equiv.) per kg API],Table_Process_Details[Display Name],Table_Process_Details[[#This Row],[Unique Process Inputs]],Table_Process_Details[Input or Output],"Input")</calculatedColumnFormula>
    </tableColumn>
    <tableColumn id="182" xr3:uid="{1D9F44AB-C849-41F9-B084-73D9FC3CB85B}" name="Total [Acidification (kg SO2 equiv.) per kg API] of Unique Inputs (REAGENT)" dataDxfId="117">
      <calculatedColumnFormula>SUMIFS(Table_Process_Details[RV Acidification (kg SO2 equiv.) per kg API (REAGENT)],Table_Process_Details[Display Name],Table_Process_Details[[#This Row],[Unique Process Inputs]],Table_Process_Details[Input or Output],"Input")</calculatedColumnFormula>
    </tableColumn>
    <tableColumn id="183" xr3:uid="{531F8FFE-93F6-48EA-BBB1-BA7A4DCC0D68}" name="Total [Acidification (kg SO2 equiv.) per kg API] of Unique Inputs (METAL)" dataDxfId="116">
      <calculatedColumnFormula>SUMIFS(Table_Process_Details[RV Acidification (kg SO2 equiv.) per kg API (METAL)],Table_Process_Details[Display Name],Table_Process_Details[[#This Row],[Unique Process Inputs]],Table_Process_Details[Input or Output],"Input")</calculatedColumnFormula>
    </tableColumn>
    <tableColumn id="184" xr3:uid="{508869DA-18C4-46E5-944B-763EC0F3AE0F}" name="Total [Acidification (kg SO2 equiv.) per kg API] of Unique Inputs (SOLVENT)" dataDxfId="115">
      <calculatedColumnFormula>SUMIFS(Table_Process_Details[RV Acidification (kg SO2 equiv.) per kg API (SOLVENT)],Table_Process_Details[Display Name],Table_Process_Details[[#This Row],[Unique Process Inputs]],Table_Process_Details[Input or Output],"Input")</calculatedColumnFormula>
    </tableColumn>
    <tableColumn id="185" xr3:uid="{45CCF6FC-5F75-4CEC-B201-B9571C979B0C}" name="Total [Acidification (kg SO2 equiv.) per kg API] of Unique Inputs (WATER)" dataDxfId="114">
      <calculatedColumnFormula>SUMIFS(Table_Process_Details[RV Acidification (kg SO2 equiv.) per kg API (WATER)],Table_Process_Details[Display Name],Table_Process_Details[[#This Row],[Unique Process Inputs]],Table_Process_Details[Input or Output],"Input")</calculatedColumnFormula>
    </tableColumn>
    <tableColumn id="186" xr3:uid="{F7B75605-1629-4207-BFA3-E33DB05A0244}" name="Total [Acidification (kg SO2 equiv.) per kg API] of Unique Inputs (ENZ&amp;PLNT)" dataDxfId="113">
      <calculatedColumnFormula>SUMIFS(Table_Process_Details[RV Acidification (kg SO2 equiv.) per kg API (ENZ&amp;PLNT)],Table_Process_Details[Display Name],Table_Process_Details[[#This Row],[Unique Process Inputs]],Table_Process_Details[Input or Output],"Input")</calculatedColumnFormula>
    </tableColumn>
    <tableColumn id="187" xr3:uid="{364411DE-C0FC-4F7D-9984-B04DFA71C671}" name="Total [Acidification (kg SO2 equiv.) per kg API] of Unique Inputs (OTHER)" dataDxfId="112">
      <calculatedColumnFormula>SUMIFS(Table_Process_Details[RV Acidification (kg SO2 equiv.) per kg API (OTHER)],Table_Process_Details[Display Name],Table_Process_Details[[#This Row],[Unique Process Inputs]],Table_Process_Details[Input or Output],"Input")</calculatedColumnFormula>
    </tableColumn>
    <tableColumn id="18" xr3:uid="{A143BF01-218A-4F36-AB3D-F82E798C575F}" name="Unique Inputs Sorted by [Acidification (kg SO2 equiv.) per kg API]" dataDxfId="111">
      <calculatedColumnFormula>INDEX(Table_Process_Details[Unique Process Inputs],MATCH(Table_Process_Details[[#This Row],['[Acidification (kg SO2 equiv.) per kg API'] of Unique Inputs Sorted by '[Acidification (kg SO2 equiv.) per kg API']]],Table_Process_Details[Total '[Acidification (kg SO2 equiv.) per kg API'] of Unique Inputs],0))</calculatedColumnFormula>
    </tableColumn>
    <tableColumn id="32" xr3:uid="{032499E9-509C-43FD-961D-79882EBF6DF2}" name="[Acidification (kg SO2 equiv.) per kg API] of Unique Inputs Sorted by [Acidification (kg SO2 equiv.) per kg API]" dataDxfId="110">
      <calculatedColumnFormula>IF(LARGE(Table_Process_Details[Total '[Acidification (kg SO2 equiv.) per kg API'] of Unique Inputs],Table_Process_Details[[#This Row],[Table Row]])=0,NA(),LARGE(Table_Process_Details[Total '[Acidification (kg SO2 equiv.) per kg API'] of Unique Inputs],Table_Process_Details[[#This Row],[Table Row]]))</calculatedColumnFormula>
    </tableColumn>
    <tableColumn id="52" xr3:uid="{8B5EB5AA-744F-447A-B3EF-B0E0BC85FF33}" name="Cumulative Sum of [Acidification (kg SO2 equiv.) per kg API]" dataDxfId="109">
      <calculatedColumnFormula>SUM(OFFSET(Table_Process_Details['[Acidification (kg SO2 equiv.) per kg API'] of Unique Inputs Sorted by '[Acidification (kg SO2 equiv.) per kg API']],0,0,Table_Process_Details[[#This Row],[Table Row]]))</calculatedColumnFormula>
    </tableColumn>
    <tableColumn id="53" xr3:uid="{AFA86904-6B4A-4171-BD76-E70A523AE688}" name="Labels for [Acidification (kg SO2 equiv.) per kg API]" dataDxfId="108">
      <calculatedColumnFormula>"("&amp;TEXT(Table_Process_Details[[#This Row],['[Acidification (kg SO2 equiv.) per kg API'] of Unique Inputs Sorted by '[Acidification (kg SO2 equiv.) per kg API']]]/SUMIF(Table_Process_Details['[Acidification (kg SO2 equiv.) per kg API'] of Unique Inputs Sorted by '[Acidification (kg SO2 equiv.) per kg API']],"&lt;&gt;#N/A"),"0%")&amp;")"</calculatedColumnFormula>
    </tableColumn>
    <tableColumn id="212" xr3:uid="{9EA2EF23-ED1A-4471-844B-642B750DD474}" name="[Acidification (kg SO2 equiv.) per kg API] of Unique Inputs Sorted by [Acidification (kg SO2 equiv.) per kg API] (REAGENT)" dataDxfId="107">
      <calculatedColumnFormula>INDEX(Table_Process_Details[Total '[Acidification (kg SO2 equiv.) per kg API'] of Unique Inputs (REAGENT)], MATCH(Table_Process_Details[[#This Row],[Unique Inputs Sorted by '[Acidification (kg SO2 equiv.) per kg API']]],Table_Process_Details[Unique Process Inputs],0))</calculatedColumnFormula>
    </tableColumn>
    <tableColumn id="213" xr3:uid="{82A58D64-A797-4AC7-9955-C7D7855C555F}" name="[Acidification (kg SO2 equiv.) per kg API] of Unique Inputs Sorted by [Acidification (kg SO2 equiv.) per kg API] (METAL)" dataDxfId="106">
      <calculatedColumnFormula>INDEX(Table_Process_Details[Total '[Acidification (kg SO2 equiv.) per kg API'] of Unique Inputs (METAL)], MATCH(Table_Process_Details[[#This Row],[Unique Inputs Sorted by '[Acidification (kg SO2 equiv.) per kg API']]],Table_Process_Details[Unique Process Inputs],0))</calculatedColumnFormula>
    </tableColumn>
    <tableColumn id="214" xr3:uid="{FBB9E671-57CF-42CC-9269-24D68CAD1AF7}" name="[Acidification (kg SO2 equiv.) per kg API] of Unique Inputs Sorted by [Acidification (kg SO2 equiv.) per kg API] (SOLVENT)" dataDxfId="105">
      <calculatedColumnFormula>INDEX(Table_Process_Details[Total '[Acidification (kg SO2 equiv.) per kg API'] of Unique Inputs (SOLVENT)], MATCH(Table_Process_Details[[#This Row],[Unique Inputs Sorted by '[Acidification (kg SO2 equiv.) per kg API']]],Table_Process_Details[Unique Process Inputs],0))</calculatedColumnFormula>
    </tableColumn>
    <tableColumn id="215" xr3:uid="{78422F91-D7B7-4A3B-AA4B-C93230DA440F}" name="[Acidification (kg SO2 equiv.) per kg API] of Unique Inputs Sorted by [Acidification (kg SO2 equiv.) per kg API] (WATER)" dataDxfId="104">
      <calculatedColumnFormula>INDEX(Table_Process_Details[Total '[Acidification (kg SO2 equiv.) per kg API'] of Unique Inputs (WATER)], MATCH(Table_Process_Details[[#This Row],[Unique Inputs Sorted by '[Acidification (kg SO2 equiv.) per kg API']]],Table_Process_Details[Unique Process Inputs],0))</calculatedColumnFormula>
    </tableColumn>
    <tableColumn id="216" xr3:uid="{24C68484-A601-4EA7-8E93-DF92DCBA9E61}" name="[Acidification (kg SO2 equiv.) per kg API] of Unique Inputs Sorted by [Acidification (kg SO2 equiv.) per kg API] (ENZ&amp;PLNT)" dataDxfId="103">
      <calculatedColumnFormula>INDEX(Table_Process_Details[Total '[Acidification (kg SO2 equiv.) per kg API'] of Unique Inputs (ENZ&amp;PLNT)], MATCH(Table_Process_Details[[#This Row],[Unique Inputs Sorted by '[Acidification (kg SO2 equiv.) per kg API']]],Table_Process_Details[Unique Process Inputs],0))</calculatedColumnFormula>
    </tableColumn>
    <tableColumn id="217" xr3:uid="{0D0CB043-00B9-4DCE-BB97-D50CDD8E28BB}" name="[Acidification (kg SO2 equiv.) per kg API] of Unique Inputs Sorted by [Acidification (kg SO2 equiv.) per kg API] (OTHER)" dataDxfId="102">
      <calculatedColumnFormula>INDEX(Table_Process_Details[Total '[Acidification (kg SO2 equiv.) per kg API'] of Unique Inputs (OTHER)], MATCH(Table_Process_Details[[#This Row],[Unique Inputs Sorted by '[Acidification (kg SO2 equiv.) per kg API']]],Table_Process_Details[Unique Process Inputs],0))</calculatedColumnFormula>
    </tableColumn>
    <tableColumn id="48" xr3:uid="{99A3F378-5D01-4B95-9BE1-D9D377675DE8}" name="RV Eutrophication (kg phosphate equiv.) per kg API" dataDxfId="101">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calculatedColumnFormula>
    </tableColumn>
    <tableColumn id="158" xr3:uid="{D6CC530A-4B32-43B8-8204-117BDCBC4B5E}" name="RV Eutrophication (kg phosphate equiv.) per kg API (REAGENT)" dataDxfId="100">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calculatedColumnFormula>
    </tableColumn>
    <tableColumn id="159" xr3:uid="{E2ED6AF0-0A25-49AC-A0FB-5AE077B63193}" name="RV Eutrophication (kg phosphate equiv.) per kg API (METAL)" dataDxfId="99">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calculatedColumnFormula>
    </tableColumn>
    <tableColumn id="160" xr3:uid="{5F6DDC0A-66E5-4935-822E-2B8424B29D7F}" name="RV Eutrophication (kg phosphate equiv.) per kg API (SOLVENT)" dataDxfId="98">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calculatedColumnFormula>
    </tableColumn>
    <tableColumn id="161" xr3:uid="{14A43D0F-1EE2-4109-9413-EE27D083DBAD}" name="RV Eutrophication (kg phosphate equiv.) per kg API (WATER)" dataDxfId="97">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calculatedColumnFormula>
    </tableColumn>
    <tableColumn id="162" xr3:uid="{F4BE24E4-6D6C-4779-BA75-DB5E3B30B49F}" name="RV Eutrophication (kg phosphate equiv.) per kg API (ENZ&amp;PLNT)" dataDxfId="96">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calculatedColumnFormula>
    </tableColumn>
    <tableColumn id="163" xr3:uid="{C0A23F1D-9025-4298-8C9B-D603F347897F}" name="RV Eutrophication (kg phosphate equiv.) per kg API (OTHER)" dataDxfId="95">
      <calculatedColumnFormula>(Table_Process_Details[[#This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calculatedColumnFormula>
    </tableColumn>
    <tableColumn id="33" xr3:uid="{4265C1D6-1638-46B0-84F2-5844B5B5915E}" name="Total [Eutrophication (kg posphate equiv.) per kg API] of Unique Inputs" dataDxfId="94">
      <calculatedColumnFormula>SUMIFS(Table_Process_Details[RV Eutrophication (kg phosphate equiv.) per kg API],Table_Process_Details[Display Name],Table_Process_Details[[#This Row],[Unique Process Inputs]],Table_Process_Details[Input or Output],"Input")</calculatedColumnFormula>
    </tableColumn>
    <tableColumn id="188" xr3:uid="{B952FB78-7F84-49FA-9CA9-89E2EE4F81B2}" name="Total [Eutrophication (kg posphate equiv.) per kg API] of Unique Inputs (REAGENT)" dataDxfId="93">
      <calculatedColumnFormula>SUMIFS(Table_Process_Details[RV Eutrophication (kg phosphate equiv.) per kg API (REAGENT)],Table_Process_Details[Display Name],Table_Process_Details[[#This Row],[Unique Process Inputs]],Table_Process_Details[Input or Output],"Input")</calculatedColumnFormula>
    </tableColumn>
    <tableColumn id="189" xr3:uid="{B1A66C2C-AFFC-47DE-A4FA-D99BFA567BA6}" name="Total [Eutrophication (kg posphate equiv.) per kg API] of Unique Inputs (METAL)" dataDxfId="92">
      <calculatedColumnFormula>SUMIFS(Table_Process_Details[RV Eutrophication (kg phosphate equiv.) per kg API (METAL)],Table_Process_Details[Display Name],Table_Process_Details[[#This Row],[Unique Process Inputs]],Table_Process_Details[Input or Output],"Input")</calculatedColumnFormula>
    </tableColumn>
    <tableColumn id="190" xr3:uid="{C893C638-83BA-46DE-B885-306A92FB1972}" name="Total [Eutrophication (kg posphate equiv.) per kg API] of Unique Inputs (SOLVENT)" dataDxfId="91">
      <calculatedColumnFormula>SUMIFS(Table_Process_Details[RV Eutrophication (kg phosphate equiv.) per kg API (SOLVENT)],Table_Process_Details[Display Name],Table_Process_Details[[#This Row],[Unique Process Inputs]],Table_Process_Details[Input or Output],"Input")</calculatedColumnFormula>
    </tableColumn>
    <tableColumn id="191" xr3:uid="{A4D1518D-4ACC-4119-9C4B-34CB2E9B41E1}" name="Total [Eutrophication (kg posphate equiv.) per kg API] of Unique Inputs (WATER)" dataDxfId="90">
      <calculatedColumnFormula>SUMIFS(Table_Process_Details[RV Eutrophication (kg phosphate equiv.) per kg API (WATER)],Table_Process_Details[Display Name],Table_Process_Details[[#This Row],[Unique Process Inputs]],Table_Process_Details[Input or Output],"Input")</calculatedColumnFormula>
    </tableColumn>
    <tableColumn id="192" xr3:uid="{0A8E65CD-413C-4480-A9D0-034283293B15}" name="Total [Eutrophication (kg posphate equiv.) per kg API] of Unique Inputs (ENZ&amp;PLNT)" dataDxfId="89">
      <calculatedColumnFormula>SUMIFS(Table_Process_Details[RV Eutrophication (kg phosphate equiv.) per kg API (ENZ&amp;PLNT)],Table_Process_Details[Display Name],Table_Process_Details[[#This Row],[Unique Process Inputs]],Table_Process_Details[Input or Output],"Input")</calculatedColumnFormula>
    </tableColumn>
    <tableColumn id="193" xr3:uid="{A91E6FD1-59FE-42C4-AE06-5E7D9691ABE4}" name="Total [Eutrophication (kg posphate equiv.) per kg API] of Unique Inputs (OTHER)" dataDxfId="88">
      <calculatedColumnFormula>SUMIFS(Table_Process_Details[RV Eutrophication (kg phosphate equiv.) per kg API (OTHER)],Table_Process_Details[Display Name],Table_Process_Details[[#This Row],[Unique Process Inputs]],Table_Process_Details[Input or Output],"Input")</calculatedColumnFormula>
    </tableColumn>
    <tableColumn id="34" xr3:uid="{02D87D7D-6116-4AFB-9FA5-E6FC72233215}" name="Unique Inputs Sorted by [Eutrophication (kg posphate equiv.) per kg API]" dataDxfId="87">
      <calculatedColumnFormula>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calculatedColumnFormula>
    </tableColumn>
    <tableColumn id="35" xr3:uid="{476109D4-F0AF-4658-8DD1-E0FBBE98C72A}" name="[Eutrophication (kg posphate equiv.) per kg API] of Unique Inputs Sorted by [Eutrophication (kg posphate equiv.) per kg API]" dataDxfId="86">
      <calculatedColumnFormula>IF(LARGE(Table_Process_Details[Total '[Eutrophication (kg posphate equiv.) per kg API'] of Unique Inputs],Table_Process_Details[[#This Row],[Table Row]])=0,NA(),LARGE(Table_Process_Details[Total '[Eutrophication (kg posphate equiv.) per kg API'] of Unique Inputs],Table_Process_Details[[#This Row],[Table Row]]))</calculatedColumnFormula>
    </tableColumn>
    <tableColumn id="42" xr3:uid="{788D37E8-18C1-4359-A8A6-F561F9D43A43}" name="Cumulative Sum of [Eutrophication (kg posphate equiv.) per kg API]" dataDxfId="85">
      <calculatedColumnFormula>SUM(OFFSET(Table_Process_Details['[Eutrophication (kg posphate equiv.) per kg API'] of Unique Inputs Sorted by '[Eutrophication (kg posphate equiv.) per kg API']],0,0,Table_Process_Details[[#This Row],[Table Row]]))</calculatedColumnFormula>
    </tableColumn>
    <tableColumn id="40" xr3:uid="{543E68BF-AED9-4B37-A1E1-7542928B8A14}" name="Labels for [Eutrophication (kg posphate equiv.) per kg API]" dataDxfId="84">
      <calculatedColumnFormula>"("&amp;TEXT(Table_Process_Details[[#This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calculatedColumnFormula>
    </tableColumn>
    <tableColumn id="218" xr3:uid="{5EF3C34F-10E6-45D8-8EDA-2FEC1B358E33}" name="[Eutrophication (kg posphate equiv.) per kg API] of Unique Inputs Sorted by [Eutrophication (kg posphate equiv.) per kg API] (REAGENT)" dataDxfId="83">
      <calculatedColumnFormula>INDEX(Table_Process_Details[Total '[Eutrophication (kg posphate equiv.) per kg API'] of Unique Inputs (REAGENT)], MATCH(Table_Process_Details[[#This Row],[Unique Inputs Sorted by '[Eutrophication (kg posphate equiv.) per kg API']]],Table_Process_Details[Unique Process Inputs],0))</calculatedColumnFormula>
    </tableColumn>
    <tableColumn id="219" xr3:uid="{27D21654-9B3D-44CF-982E-FDE64DC2D5C2}" name="[Eutrophication (kg posphate equiv.) per kg API] of Unique Inputs Sorted by [Eutrophication (kg posphate equiv.) per kg API] (METAL)" dataDxfId="82">
      <calculatedColumnFormula>INDEX(Table_Process_Details[Total '[Eutrophication (kg posphate equiv.) per kg API'] of Unique Inputs (METAL)], MATCH(Table_Process_Details[[#This Row],[Unique Inputs Sorted by '[Eutrophication (kg posphate equiv.) per kg API']]],Table_Process_Details[Unique Process Inputs],0))</calculatedColumnFormula>
    </tableColumn>
    <tableColumn id="220" xr3:uid="{02D7DDFC-411E-4FB0-9AA3-EFF7E47B0996}" name="[Eutrophication (kg posphate equiv.) per kg API] of Unique Inputs Sorted by [Eutrophication (kg posphate equiv.) per kg API] (SOLVENT)" dataDxfId="81">
      <calculatedColumnFormula>INDEX(Table_Process_Details[Total '[Eutrophication (kg posphate equiv.) per kg API'] of Unique Inputs (SOLVENT)], MATCH(Table_Process_Details[[#This Row],[Unique Inputs Sorted by '[Eutrophication (kg posphate equiv.) per kg API']]],Table_Process_Details[Unique Process Inputs],0))</calculatedColumnFormula>
    </tableColumn>
    <tableColumn id="221" xr3:uid="{DC419D49-E50B-4E58-B1E4-D973FD98E5C7}" name="[Eutrophication (kg posphate equiv.) per kg API] of Unique Inputs Sorted by [Eutrophication (kg posphate equiv.) per kg API] (WATER)" dataDxfId="80">
      <calculatedColumnFormula>INDEX(Table_Process_Details[Total '[Eutrophication (kg posphate equiv.) per kg API'] of Unique Inputs (WATER)], MATCH(Table_Process_Details[[#This Row],[Unique Inputs Sorted by '[Eutrophication (kg posphate equiv.) per kg API']]],Table_Process_Details[Unique Process Inputs],0))</calculatedColumnFormula>
    </tableColumn>
    <tableColumn id="222" xr3:uid="{63468BCB-F55A-4F44-9EE6-6B2564B8096B}" name="[Eutrophication (kg posphate equiv.) per kg API] of Unique Inputs Sorted by [Eutrophication (kg posphate equiv.) per kg API] (ENZ&amp;PLNT)" dataDxfId="79">
      <calculatedColumnFormula>INDEX(Table_Process_Details[Total '[Eutrophication (kg posphate equiv.) per kg API'] of Unique Inputs (ENZ&amp;PLNT)], MATCH(Table_Process_Details[[#This Row],[Unique Inputs Sorted by '[Eutrophication (kg posphate equiv.) per kg API']]],Table_Process_Details[Unique Process Inputs],0))</calculatedColumnFormula>
    </tableColumn>
    <tableColumn id="223" xr3:uid="{97BED2C2-B755-4831-953D-DEB3A8B82D19}" name="[Eutrophication (kg posphate equiv.) per kg API] of Unique Inputs Sorted by [Eutrophication (kg posphate equiv.) per kg API] (OTHER)" dataDxfId="78">
      <calculatedColumnFormula>INDEX(Table_Process_Details[Total '[Eutrophication (kg posphate equiv.) per kg API'] of Unique Inputs (OTHER)], MATCH(Table_Process_Details[[#This Row],[Unique Inputs Sorted by '[Eutrophication (kg posphate equiv.) per kg API']]],Table_Process_Details[Unique Process Inputs],0))</calculatedColumnFormula>
    </tableColumn>
    <tableColumn id="50" xr3:uid="{D03FDA64-ED9D-495D-A3E5-AEBBFEAB915E}" name="RV Water (kg) per kg API" dataDxfId="77">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calculatedColumnFormula>
    </tableColumn>
    <tableColumn id="164" xr3:uid="{4B5DFDE6-86D9-4A09-B5BE-74CABD787B5C}" name="RV Water (kg) per kg API (REAGENT)" dataDxfId="76">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calculatedColumnFormula>
    </tableColumn>
    <tableColumn id="165" xr3:uid="{F3052F8F-0FCA-4DBC-8393-FB85535F9624}" name="RV Water (kg) per kg API (METAL)" dataDxfId="75">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calculatedColumnFormula>
    </tableColumn>
    <tableColumn id="166" xr3:uid="{AB80B317-C593-49A1-85DB-D85A775DA657}" name="RV Water (kg) per kg API (SOLVENT)" dataDxfId="74">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calculatedColumnFormula>
    </tableColumn>
    <tableColumn id="167" xr3:uid="{6773A38B-100B-4CB1-97E5-37D8476D5DC5}" name="RV Water (kg) per kg API (WATER)" dataDxfId="73">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calculatedColumnFormula>
    </tableColumn>
    <tableColumn id="168" xr3:uid="{9EEE0746-CD08-4886-AE45-C35E687C73FB}" name="RV Water (kg) per kg API (ENZ&amp;PLNT)" dataDxfId="72">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calculatedColumnFormula>
    </tableColumn>
    <tableColumn id="169" xr3:uid="{13A5E917-F3BE-474E-8D1B-9977413608E6}" name="RV Water (kg) per kg API (OTHER)" dataDxfId="71">
      <calculatedColumnFormula>(Table_Process_Details[[#This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calculatedColumnFormula>
    </tableColumn>
    <tableColumn id="36" xr3:uid="{95DD5484-62B7-485B-88F3-DBA78E352F6A}" name="Total [Water (kg) per kg API] of Unique Inputs" dataDxfId="70">
      <calculatedColumnFormula>SUMIFS(Table_Process_Details[RV Water (kg) per kg API],Table_Process_Details[Display Name],Table_Process_Details[[#This Row],[Unique Process Inputs]],Table_Process_Details[Input or Output],"Input")</calculatedColumnFormula>
    </tableColumn>
    <tableColumn id="194" xr3:uid="{220F2525-DCF0-4BCB-88E7-4BA40E404A79}" name="Total [Water (kg) per kg API] of Unique Inputs (REAGENT)" dataDxfId="69">
      <calculatedColumnFormula>SUMIFS(Table_Process_Details[RV Water (kg) per kg API (REAGENT)],Table_Process_Details[Display Name],Table_Process_Details[[#This Row],[Unique Process Inputs]],Table_Process_Details[Input or Output],"Input")</calculatedColumnFormula>
    </tableColumn>
    <tableColumn id="195" xr3:uid="{ADC97D65-BA45-4823-8CD0-7C82846BEFDE}" name="Total [Water (kg) per kg API] of Unique Inputs (METAL)" dataDxfId="68">
      <calculatedColumnFormula>SUMIFS(Table_Process_Details[RV Water (kg) per kg API (METAL)],Table_Process_Details[Display Name],Table_Process_Details[[#This Row],[Unique Process Inputs]],Table_Process_Details[Input or Output],"Input")</calculatedColumnFormula>
    </tableColumn>
    <tableColumn id="196" xr3:uid="{D85EAB11-A33C-4ECB-9D11-66FA82E9AF15}" name="Total [Water (kg) per kg API] of Unique Inputs (SOLVENT)" dataDxfId="67">
      <calculatedColumnFormula>SUMIFS(Table_Process_Details[RV Water (kg) per kg API (SOLVENT)],Table_Process_Details[Display Name],Table_Process_Details[[#This Row],[Unique Process Inputs]],Table_Process_Details[Input or Output],"Input")</calculatedColumnFormula>
    </tableColumn>
    <tableColumn id="197" xr3:uid="{27DC35A9-3D06-4BED-A50C-755324C99490}" name="Total [Water (kg) per kg API] of Unique Inputs (WATER)" dataDxfId="66">
      <calculatedColumnFormula>SUMIFS(Table_Process_Details[RV Water (kg) per kg API (WATER)],Table_Process_Details[Display Name],Table_Process_Details[[#This Row],[Unique Process Inputs]],Table_Process_Details[Input or Output],"Input")</calculatedColumnFormula>
    </tableColumn>
    <tableColumn id="198" xr3:uid="{92854796-86E3-491B-A7B9-757DBF5FAA37}" name="Total [Water (kg) per kg API] of Unique Inputs (ENZ&amp;PLNT)" dataDxfId="65">
      <calculatedColumnFormula>SUMIFS(Table_Process_Details[RV Water (kg) per kg API (ENZ&amp;PLNT)],Table_Process_Details[Display Name],Table_Process_Details[[#This Row],[Unique Process Inputs]],Table_Process_Details[Input or Output],"Input")</calculatedColumnFormula>
    </tableColumn>
    <tableColumn id="199" xr3:uid="{AC446A24-9BB3-4807-AF0C-CAB505C3893C}" name="Total [Water (kg) per kg API] of Unique Inputs (OTHER)" dataDxfId="64">
      <calculatedColumnFormula>SUMIFS(Table_Process_Details[RV Water (kg) per kg API (OTHER)],Table_Process_Details[Display Name],Table_Process_Details[[#This Row],[Unique Process Inputs]],Table_Process_Details[Input or Output],"Input")</calculatedColumnFormula>
    </tableColumn>
    <tableColumn id="37" xr3:uid="{0A6FA708-EED7-4228-8602-B1341EE46CF3}" name="Unique Inputs Sorted by [Water (kg) per kg API]" dataDxfId="63">
      <calculatedColumnFormula>INDEX(Table_Process_Details[Unique Process Inputs],MATCH(Table_Process_Details[[#This Row],['[Water (kg) per kg API'] of Unique Inputs Sorted by '[Water (kg) per kg API']]],Table_Process_Details[Total '[Water (kg) per kg API'] of Unique Inputs],0))</calculatedColumnFormula>
    </tableColumn>
    <tableColumn id="38" xr3:uid="{DC1BB19F-ABE0-46BA-9F37-A28BA8380484}" name="[Water (kg) per kg API] of Unique Inputs Sorted by [Water (kg) per kg API]" dataDxfId="62">
      <calculatedColumnFormula>IF(LARGE(Table_Process_Details[Total '[Water (kg) per kg API'] of Unique Inputs],Table_Process_Details[[#This Row],[Table Row]])=0,NA(),LARGE(Table_Process_Details[Total '[Water (kg) per kg API'] of Unique Inputs],Table_Process_Details[[#This Row],[Table Row]]))</calculatedColumnFormula>
    </tableColumn>
    <tableColumn id="39" xr3:uid="{370FF9C6-C3B5-40EB-BF2C-A6DFF64352C2}" name="Cumulative Sum of [Water(kg) per kg API]" dataDxfId="61">
      <calculatedColumnFormula>SUM(OFFSET(Table_Process_Details['[Water (kg) per kg API'] of Unique Inputs Sorted by '[Water (kg) per kg API']],0,0,Table_Process_Details[[#This Row],[Table Row]]))</calculatedColumnFormula>
    </tableColumn>
    <tableColumn id="1" xr3:uid="{A3E48830-F941-40A5-8763-3F110ABF5143}" name="Labels for [Water (kg) per kg API]" dataDxfId="60">
      <calculatedColumnFormula>"("&amp;TEXT(Table_Process_Details[[#This Row],['[Water (kg) per kg API'] of Unique Inputs Sorted by '[Water (kg) per kg API']]]/SUMIF(Table_Process_Details['[Water (kg) per kg API'] of Unique Inputs Sorted by '[Water (kg) per kg API']],"&lt;&gt;#N/A"),"0%")&amp;")"</calculatedColumnFormula>
    </tableColumn>
    <tableColumn id="226" xr3:uid="{270179F6-5DA9-4C50-9192-86D2C575CF10}" name="[Water (kg) per kg API] of Unique Inputs Sorted by [Water (kg) per kg API] (REAGENT)" dataDxfId="59">
      <calculatedColumnFormula>INDEX(Table_Process_Details[Total '[Water (kg) per kg API'] of Unique Inputs (REAGENT)], MATCH(Table_Process_Details[[#This Row],[Unique Inputs Sorted by '[Water (kg) per kg API']]],Table_Process_Details[Unique Process Inputs],0))</calculatedColumnFormula>
    </tableColumn>
    <tableColumn id="227" xr3:uid="{43B95848-329F-412A-8DE2-8F681FD318FD}" name="[Water (kg) per kg API] of Unique Inputs Sorted by [Water (kg) per kg API] (METAL)" dataDxfId="58">
      <calculatedColumnFormula>INDEX(Table_Process_Details[Total '[Water (kg) per kg API'] of Unique Inputs (METAL)], MATCH(Table_Process_Details[[#This Row],[Unique Inputs Sorted by '[Water (kg) per kg API']]],Table_Process_Details[Unique Process Inputs],0))</calculatedColumnFormula>
    </tableColumn>
    <tableColumn id="228" xr3:uid="{9887AE09-D20E-4033-B135-CF51FB860B7D}" name="[Water (kg) per kg API] of Unique Inputs Sorted by [Water (kg) per kg API] (SOLVENT)" dataDxfId="57">
      <calculatedColumnFormula>INDEX(Table_Process_Details[Total '[Water (kg) per kg API'] of Unique Inputs (SOLVENT)], MATCH(Table_Process_Details[[#This Row],[Unique Inputs Sorted by '[Water (kg) per kg API']]],Table_Process_Details[Unique Process Inputs],0))</calculatedColumnFormula>
    </tableColumn>
    <tableColumn id="229" xr3:uid="{B35F0E09-0642-42D4-8C5A-BAB2F5D975B8}" name="[Water (kg) per kg API] of Unique Inputs Sorted by [Water (kg) per kg API] (WATER)" dataDxfId="56">
      <calculatedColumnFormula>INDEX(Table_Process_Details[Total '[Water (kg) per kg API'] of Unique Inputs (WATER)], MATCH(Table_Process_Details[[#This Row],[Unique Inputs Sorted by '[Water (kg) per kg API']]],Table_Process_Details[Unique Process Inputs],0))</calculatedColumnFormula>
    </tableColumn>
    <tableColumn id="224" xr3:uid="{AEE5E016-F58B-46A8-9E4F-708CF1CC1F6C}" name="[Water (kg) per kg API] of Unique Inputs Sorted by [Water (kg) per kg API] (ENZ&amp;PLNT)" dataDxfId="55">
      <calculatedColumnFormula>INDEX(Table_Process_Details[Total '[Water (kg) per kg API'] of Unique Inputs (ENZ&amp;PLNT)], MATCH(Table_Process_Details[[#This Row],[Unique Inputs Sorted by '[Water (kg) per kg API']]],Table_Process_Details[Unique Process Inputs],0))</calculatedColumnFormula>
    </tableColumn>
    <tableColumn id="225" xr3:uid="{7300BE5E-217C-4126-8721-E1A17DA9995B}" name="[Water (kg) per kg API] of Unique Inputs Sorted by [Water (kg) per kg API] (OTHER)" dataDxfId="54">
      <calculatedColumnFormula>INDEX(Table_Process_Details[Total '[Water (kg) per kg API'] of Unique Inputs (OTHER)], MATCH(Table_Process_Details[[#This Row],[Unique Inputs Sorted by '[Water (kg) per kg API']]],Table_Process_Details[Unique Process Inputs],0))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D929E13-C7F2-49B5-AEEA-581C4E6C3136}" name="Table_Process_Overview" displayName="Table_Process_Overview" ref="X49:AE56" totalsRowShown="0" tableBorderDxfId="53">
  <autoFilter ref="X49:AE56" xr:uid="{D82FD4FD-017D-49EC-9DC2-1452B9648A1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AC2A8B8-9A67-4267-AFC6-BF03C7C35609}" name="Process Metrics per kg API" dataDxfId="52"/>
    <tableColumn id="2" xr3:uid="{C7EAE7F3-4F95-4DF5-8E84-2D1771C6E4C4}" name="Total" dataDxfId="51"/>
    <tableColumn id="3" xr3:uid="{A4D996A0-B5EC-4267-B59A-E3303F19173F}" name="Reagent" dataDxfId="50"/>
    <tableColumn id="4" xr3:uid="{94558659-A2C1-4CBA-A5B3-8A8B392179F0}" name="Metal" dataDxfId="49"/>
    <tableColumn id="5" xr3:uid="{9C49E78E-4593-4755-86E4-D56A9E4348DE}" name="Solvent" dataDxfId="48"/>
    <tableColumn id="6" xr3:uid="{A288E032-B9CE-4621-B4D8-455584C598D5}" name="Water" dataDxfId="47"/>
    <tableColumn id="7" xr3:uid="{4A793E21-6856-41AE-B082-2061BACCBE5A}" name="Enzymes &amp; Plant Extracts" dataDxfId="46"/>
    <tableColumn id="8" xr3:uid="{30652D2D-D6E6-4DB2-A0CB-1868933AE8B7}" name="Other" dataDxfId="45"/>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C54E16-DF11-4AC0-B7B1-F97069FA60C1}" name="Input_or_Output" displayName="Input_or_Output" ref="D5:D7" totalsRowShown="0">
  <autoFilter ref="D5:D7" xr:uid="{6DFA957D-D863-43E4-8D68-98FA7D3F3563}">
    <filterColumn colId="0" hiddenButton="1"/>
  </autoFilter>
  <tableColumns count="1">
    <tableColumn id="1" xr3:uid="{3C0FD4BF-C6A6-458A-A146-F0D20BD67651}" name="Input_or_Output"/>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C74B7C8-45B1-48F2-B32C-AA9403244262}" name="Input" displayName="Input" ref="F5:F13" totalsRowShown="0">
  <autoFilter ref="F5:F13" xr:uid="{C7955E2F-B08F-411B-9E17-50D72DFA087C}">
    <filterColumn colId="0" hiddenButton="1"/>
  </autoFilter>
  <tableColumns count="1">
    <tableColumn id="1" xr3:uid="{1606A391-430C-4C42-95A8-344A94C0C66C}" name="Input"/>
  </tableColumns>
  <tableStyleInfo name="TableStyleMedium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D2061B-A11A-4187-B585-A3BF9EF4A40A}" name="Output" displayName="Output" ref="J5:J6" totalsRowShown="0">
  <autoFilter ref="J5:J6" xr:uid="{646E2886-AADE-42A4-8746-06E660FE5C7F}">
    <filterColumn colId="0" hiddenButton="1"/>
  </autoFilter>
  <tableColumns count="1">
    <tableColumn id="1" xr3:uid="{38F04352-EFD0-4FCF-898C-A1071E47D95D}" name="Output"/>
  </tableColumns>
  <tableStyleInfo name="TableStyleMedium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B7595FA-B5EA-4AAF-A311-2008D3744CE7}" name="None" displayName="None" ref="L5:L6" totalsRowShown="0">
  <autoFilter ref="L5:L6" xr:uid="{37125F84-6FE9-4648-9A78-5E60298EFB96}">
    <filterColumn colId="0" hiddenButton="1"/>
  </autoFilter>
  <tableColumns count="1">
    <tableColumn id="1" xr3:uid="{E158485F-5DC8-43E8-A223-C0EE52AC6277}" name="Name"/>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B89BABD-4982-41D0-9011-875FFED71A8E}" name="Real_or_Virtual" displayName="Real_or_Virtual" ref="B5:B7" totalsRowShown="0">
  <autoFilter ref="B5:B7" xr:uid="{6B15E9AF-7A4E-4C35-B48B-8D01FDA9189C}">
    <filterColumn colId="0" hiddenButton="1"/>
  </autoFilter>
  <tableColumns count="1">
    <tableColumn id="1" xr3:uid="{641E79B5-B9F9-48FF-A47A-1CB51146C3F7}" name="Real_or_Virtual"/>
  </tableColumns>
  <tableStyleInfo name="TableStyleMedium16"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4" dT="2019-11-13T00:19:17.17" personId="{089DC662-5C7F-4294-891A-230055CB1CB4}" id="{3DC16471-E397-47EC-86A6-DFEE5D5FCC05}">
    <text>User manually selects the name of a step from the dropdown menu to enter an input or output of that step in the columns to the right. The dropdown menu is populated by the step names in the Name column of Process_Steps.
Select the same step name in multiple rows to indicate multiple inputs to the step, or to indicate the step's output. Each step may have any number of inputs but only one output.
If a step has been selected using the dropdown menu and the name is later changed in Process_Steps, the new step name must be re-selected using the dropdown menu. Step names that were previously selected will not update automatically.
The text in this column is used in Index/Match pairings.</text>
  </threadedComment>
  <threadedComment ref="B4" dT="2019-11-13T00:31:22.93" personId="{089DC662-5C7F-4294-891A-230055CB1CB4}" id="{1A8AA154-7B59-4A59-B3B0-45A1E9A477C6}">
    <text>The user selects "Input" or "Output" from the in-cell dropdown menu to indicate if the information to be entered in the row relates to a step input (raw material, solvent, reagent, etc) or the step's product.
Each step may have any number of rows identified as "Input," but only one row identified as "Output."
The values for the dropdown list are contained in Input_or_Output using:
=INDIRECT("Input_or_Output")
The selected value is used by another =Indirect() reference in the LCA Data Source Class column to generate a dropdown list that is apporpriate for an input or output.
The entries in this column are used for Index/Match pairings or other calculation logic.</text>
  </threadedComment>
  <threadedComment ref="C4" dT="2019-11-13T00:41:29.16" personId="{089DC662-5C7F-4294-891A-230055CB1CB4}" id="{3A4F2EAD-1546-4DD5-8FF6-FFF71DB8D2A2}">
    <text>The user manually selects the LCA Data Source Class using the in-cell dropdown menu. The options available within the in-cell dropdown are determined by the entry in the Input or Output column via two nested =Indirect() commands:
=INDIRECT(INDIRECT("Table_Process_Details[@[Input or Output]]"))
The dropdown list options therefore the contents of the table Input or those of the table Output, depending on whether the entry in the Input or Ouput column is "Input" or "Output". If "Output" is selected, only the option "None" is available, as LCA data for outputs is calculated from inputs. 
If the input to this step is an output from a previous step, the user should select "Process_Steps" in the dropdown, so that the LCA Data Source Subclass dropdown will provide the names of the process steps that have been entered into the Process_Steps table.
The text within this column is used to select the table for the dropdown reference of the cells in LCA Data Source Subclass, and may also be used for other calculation logic, such as identifying all inputs within a certain class.</text>
  </threadedComment>
  <threadedComment ref="D4" dT="2019-11-13T00:59:31.16" personId="{089DC662-5C7F-4294-891A-230055CB1CB4}" id="{6FF18C6F-AB42-44FA-A851-F4CD185A58C2}">
    <text>The user selects the LCA Data Source Subclass (e.g., a particular solvent within the Common_Solvent class, a default or manually entered reagent in the iGAL_Aligned_Organic class, etc. 
Options are avalable via an in-cell dropdown menu that is populated based on the Name column of the table indicated by the entry in the LCA Data Source Class column via:
=INDIRECT(INDIRECT("Table_Process_Details[@[LCA Data Source Class]]")&amp;"[Name]")
Therefore, if the selected LCA Data Source Class is Common_Solvent, the dropdown list will provide the names of solvents in the Common_Solvent table. 
Similarly, if the selected LCA Data Source Class is Process_Steps, the dropdown list will allow the user to select the name of a process step that they have entered into the Name column of the Process_Steps table. If a process step name has been selected via the dropdown and the name in Process_Steps is later changed, the  user must re-select that name via the dropdown list. Previously selected step names will not update automatically. 
Do not enter the name of a step as its own input. 
The values entered here are used for Index/Match pairings to apply the right LCA data values to the step input.</text>
  </threadedComment>
  <threadedComment ref="E4" dT="2019-11-13T01:10:54.76" personId="{089DC662-5C7F-4294-891A-230055CB1CB4}" id="{25AF3FBC-3E52-4ACA-B29A-9C90A87E52DA}">
    <text>User enters a unique name or identifier for the corresponding process input or output. If the same material appears more than once in this column, the names must match exactly in each instance, or Excel will treat each entry as different materials. 
The text in this column is used for plot labels and categorical data ranges, as well as Index/Match pairings and other calculation logic.</text>
  </threadedComment>
  <threadedComment ref="F4" dT="2019-11-13T01:37:06.81" personId="{089DC662-5C7F-4294-891A-230055CB1CB4}" id="{51906813-27E7-448A-B431-1993FB0B230B}">
    <text>The user enters the mass of the corresponding step input or output in kilograms. 
This value is the basis for all numerical calculations within the spreadsheet, both for direct calculation of PMI, and as a multiplier for the LCA data values corresponding to the selected LCA Data Source Subclass.</text>
  </threadedComment>
  <threadedComment ref="I4" dT="2020-05-12T13:56:31.10" personId="{089DC662-5C7F-4294-891A-230055CB1CB4}" id="{880114FC-EEA6-4109-81D0-B0388917E660}">
    <text>Second person reviewer may add notes and comments here</text>
  </threadedComment>
  <threadedComment ref="J4" dT="2020-05-11T22:37:13.99" personId="{089DC662-5C7F-4294-891A-230055CB1CB4}" id="{D4932617-8726-40E7-904C-F43E9F10CFAF}">
    <text>This column is filled in automatically with the reference that was entered in Sheet '1. Define Process Steps.'</text>
  </threadedComment>
  <threadedComment ref="K4" dT="2019-11-13T00:27:40.37" personId="{089DC662-5C7F-4294-891A-230055CB1CB4}" id="{7A9E46C7-CF72-41BD-84F8-00F2E87F26E4}">
    <text>This column is filled in automatically, but is placed here to serve as a helpful reference and reminder when filling in step details. 
The values in this column will resolve to "Real" or "Virtual", by according to the entry in the Real or Virtual column of Process_Steps in the row corresponding to the step that has been selected in Step Name. 
The text in this column is used for Index/Match pairings or other calculation logic.</text>
  </threadedComment>
  <threadedComment ref="BI4" dT="2020-05-11T22:45:46.61" personId="{089DC662-5C7F-4294-891A-230055CB1CB4}" id="{8E773F8A-4196-48BC-82F4-45CE2F18A92C}">
    <text>This column is used for error-checking</text>
  </threadedComment>
  <threadedComment ref="BJ4" dT="2020-05-11T22:46:00.75" personId="{089DC662-5C7F-4294-891A-230055CB1CB4}" id="{D04DBA43-BE52-425D-AB26-EC30A9A0AA1B}">
    <text>This column is used for error-checking</text>
  </threadedComment>
</ThreadedComments>
</file>

<file path=xl/threadedComments/threadedComment2.xml><?xml version="1.0" encoding="utf-8"?>
<ThreadedComments xmlns="http://schemas.microsoft.com/office/spreadsheetml/2018/threadedcomments" xmlns:x="http://schemas.openxmlformats.org/spreadsheetml/2006/main">
  <threadedComment ref="Q5" dT="2020-02-14T12:29:32.15" personId="{089DC662-5C7F-4294-891A-230055CB1CB4}" id="{16527EB5-A09A-414C-9F62-06BD0E84D03C}">
    <text>NOTE: unlike most columns in mostTables in this tool, each row of the Status column in this table should have a DISTINCT formula. Each formula detects a particular error event. Some cells may contain CSE formulae.</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19-11-13T02:07:26.71" personId="{089DC662-5C7F-4294-891A-230055CB1CB4}" id="{29B07269-08C2-4BA8-B945-360734E15F36}">
    <text>Remember to set Other Organic equal to average of everything else if pasting in new database values.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13" Type="http://schemas.microsoft.com/office/2017/10/relationships/threadedComment" Target="../threadedComments/threadedComment2.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6.xml"/><Relationship Id="rId7" Type="http://schemas.openxmlformats.org/officeDocument/2006/relationships/table" Target="../tables/table20.xml"/><Relationship Id="rId2" Type="http://schemas.openxmlformats.org/officeDocument/2006/relationships/table" Target="../tables/table15.xml"/><Relationship Id="rId1" Type="http://schemas.openxmlformats.org/officeDocument/2006/relationships/printerSettings" Target="../printerSettings/printerSettings7.bin"/><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69939-F70D-44A9-9C7B-4F0BA32276B1}">
  <dimension ref="A1:D23"/>
  <sheetViews>
    <sheetView tabSelected="1" zoomScale="70" zoomScaleNormal="70" workbookViewId="0">
      <selection activeCell="L10" sqref="L10"/>
    </sheetView>
  </sheetViews>
  <sheetFormatPr defaultRowHeight="15" x14ac:dyDescent="0.25"/>
  <cols>
    <col min="1" max="1" width="143.28515625" customWidth="1"/>
  </cols>
  <sheetData>
    <row r="1" spans="1:4" ht="111.95" customHeight="1" x14ac:dyDescent="0.25">
      <c r="A1" s="112" t="s">
        <v>769</v>
      </c>
    </row>
    <row r="2" spans="1:4" ht="150" x14ac:dyDescent="0.25">
      <c r="A2" s="113" t="s">
        <v>754</v>
      </c>
      <c r="D2" s="43"/>
    </row>
    <row r="4" spans="1:4" ht="17.25" x14ac:dyDescent="0.3">
      <c r="A4" s="114" t="s">
        <v>755</v>
      </c>
    </row>
    <row r="5" spans="1:4" ht="122.25" customHeight="1" x14ac:dyDescent="0.3">
      <c r="A5" s="115" t="s">
        <v>768</v>
      </c>
    </row>
    <row r="6" spans="1:4" ht="17.25" x14ac:dyDescent="0.3">
      <c r="A6" s="116"/>
    </row>
    <row r="7" spans="1:4" ht="51.75" x14ac:dyDescent="0.3">
      <c r="A7" s="115" t="s">
        <v>766</v>
      </c>
    </row>
    <row r="8" spans="1:4" ht="17.25" x14ac:dyDescent="0.3">
      <c r="A8" s="116"/>
    </row>
    <row r="9" spans="1:4" ht="69" x14ac:dyDescent="0.3">
      <c r="A9" s="117" t="s">
        <v>765</v>
      </c>
    </row>
    <row r="10" spans="1:4" ht="17.25" x14ac:dyDescent="0.3">
      <c r="A10" s="115" t="s">
        <v>756</v>
      </c>
    </row>
    <row r="11" spans="1:4" ht="34.5" x14ac:dyDescent="0.3">
      <c r="A11" s="115" t="s">
        <v>757</v>
      </c>
    </row>
    <row r="12" spans="1:4" ht="17.25" x14ac:dyDescent="0.3">
      <c r="A12" s="116"/>
    </row>
    <row r="13" spans="1:4" ht="34.5" x14ac:dyDescent="0.3">
      <c r="A13" s="115" t="s">
        <v>758</v>
      </c>
    </row>
    <row r="14" spans="1:4" ht="17.25" x14ac:dyDescent="0.3">
      <c r="A14" s="115" t="s">
        <v>759</v>
      </c>
    </row>
    <row r="15" spans="1:4" ht="17.25" x14ac:dyDescent="0.3">
      <c r="A15" s="115" t="s">
        <v>760</v>
      </c>
    </row>
    <row r="16" spans="1:4" ht="17.25" x14ac:dyDescent="0.3">
      <c r="A16" s="115" t="s">
        <v>761</v>
      </c>
    </row>
    <row r="17" spans="1:1" ht="17.25" x14ac:dyDescent="0.3">
      <c r="A17" s="115" t="s">
        <v>762</v>
      </c>
    </row>
    <row r="18" spans="1:1" ht="17.25" x14ac:dyDescent="0.3">
      <c r="A18" s="115" t="s">
        <v>763</v>
      </c>
    </row>
    <row r="19" spans="1:1" ht="17.25" x14ac:dyDescent="0.3">
      <c r="A19" s="116"/>
    </row>
    <row r="20" spans="1:1" ht="17.25" x14ac:dyDescent="0.3">
      <c r="A20" s="116"/>
    </row>
    <row r="21" spans="1:1" ht="17.25" x14ac:dyDescent="0.3">
      <c r="A21" s="114" t="s">
        <v>764</v>
      </c>
    </row>
    <row r="22" spans="1:1" ht="51.75" x14ac:dyDescent="0.3">
      <c r="A22" s="115" t="s">
        <v>770</v>
      </c>
    </row>
    <row r="23" spans="1:1" ht="17.25" x14ac:dyDescent="0.3">
      <c r="A23" s="116"/>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DA82-57F5-45F4-BF50-B47177EF40F6}">
  <sheetPr codeName="Sheet1">
    <tabColor rgb="FF00D5E1"/>
    <pageSetUpPr autoPageBreaks="0"/>
  </sheetPr>
  <dimension ref="A1:DZ30"/>
  <sheetViews>
    <sheetView topLeftCell="A4" workbookViewId="0">
      <selection activeCell="C27" sqref="C27"/>
    </sheetView>
  </sheetViews>
  <sheetFormatPr defaultColWidth="9.85546875" defaultRowHeight="15" x14ac:dyDescent="0.25"/>
  <cols>
    <col min="1" max="1" width="82.28515625" customWidth="1"/>
    <col min="2" max="3" width="28.140625" bestFit="1" customWidth="1"/>
    <col min="4" max="4" width="32.85546875" bestFit="1" customWidth="1"/>
    <col min="5" max="5" width="24.42578125" customWidth="1"/>
    <col min="6" max="7" width="23" customWidth="1"/>
    <col min="8" max="9" width="12.28515625" bestFit="1" customWidth="1"/>
    <col min="11" max="14" width="7.7109375" customWidth="1"/>
    <col min="15" max="130" width="24.140625" customWidth="1"/>
    <col min="133" max="133" width="43.5703125" bestFit="1" customWidth="1"/>
    <col min="138" max="138" width="50.5703125" bestFit="1" customWidth="1"/>
    <col min="143" max="143" width="27.5703125" bestFit="1" customWidth="1"/>
    <col min="153" max="180" width="8.7109375" customWidth="1"/>
  </cols>
  <sheetData>
    <row r="1" spans="1:130" ht="114.6" customHeight="1" x14ac:dyDescent="0.25">
      <c r="A1" s="112" t="s">
        <v>769</v>
      </c>
    </row>
    <row r="2" spans="1:130" ht="33.6" customHeight="1" x14ac:dyDescent="0.3">
      <c r="A2" s="31" t="s">
        <v>560</v>
      </c>
      <c r="B2" s="47" t="str">
        <f>INDEX(Process_Steps[Product Display Name],MATCH(1,INDEX(((Process_Steps[Name]="PACKAGE")*(1)),0),0))</f>
        <v>Packaged Fictional API</v>
      </c>
      <c r="I2" s="44"/>
    </row>
    <row r="3" spans="1:130" ht="18.75" x14ac:dyDescent="0.3">
      <c r="A3" s="87"/>
      <c r="B3" s="47"/>
      <c r="E3" s="144" t="s">
        <v>674</v>
      </c>
    </row>
    <row r="4" spans="1:130" ht="18.75" x14ac:dyDescent="0.3">
      <c r="A4" s="31" t="s">
        <v>182</v>
      </c>
      <c r="E4" s="144"/>
      <c r="L4" s="143" t="s">
        <v>248</v>
      </c>
      <c r="M4" s="143"/>
      <c r="N4" s="143"/>
      <c r="O4" s="143"/>
      <c r="P4" s="143"/>
      <c r="Q4" s="143"/>
      <c r="R4" s="143"/>
      <c r="S4" s="143"/>
      <c r="T4" s="143"/>
      <c r="U4" s="143"/>
      <c r="V4" s="143"/>
      <c r="W4" s="143"/>
      <c r="X4" s="143"/>
      <c r="Y4" s="143"/>
      <c r="Z4" s="143"/>
      <c r="AA4" s="143"/>
      <c r="AB4" s="143"/>
      <c r="AC4" s="146" t="s">
        <v>249</v>
      </c>
      <c r="AD4" s="146"/>
      <c r="AE4" s="146"/>
      <c r="AF4" s="146"/>
      <c r="AG4" s="146"/>
      <c r="AH4" s="146"/>
      <c r="AI4" s="146"/>
      <c r="AJ4" s="146"/>
      <c r="AK4" s="146"/>
      <c r="AL4" s="146"/>
      <c r="AM4" s="146"/>
      <c r="AN4" s="57"/>
      <c r="AO4" s="57"/>
      <c r="AP4" s="57"/>
      <c r="AQ4" s="57"/>
      <c r="AR4" s="57"/>
      <c r="AS4" s="57"/>
      <c r="AT4" s="143" t="s">
        <v>250</v>
      </c>
      <c r="AU4" s="143"/>
      <c r="AV4" s="143"/>
      <c r="AW4" s="143"/>
      <c r="AX4" s="143"/>
      <c r="AY4" s="143"/>
      <c r="AZ4" s="143"/>
      <c r="BA4" s="143"/>
      <c r="BB4" s="143"/>
      <c r="BC4" s="143"/>
      <c r="BD4" s="143"/>
      <c r="BE4" s="143"/>
      <c r="BF4" s="143"/>
      <c r="BG4" s="143"/>
      <c r="BH4" s="143"/>
      <c r="BI4" s="143"/>
      <c r="BJ4" s="143"/>
      <c r="BK4" s="146" t="s">
        <v>251</v>
      </c>
      <c r="BL4" s="146"/>
      <c r="BM4" s="146"/>
      <c r="BN4" s="146"/>
      <c r="BO4" s="146"/>
      <c r="BP4" s="146"/>
      <c r="BQ4" s="146"/>
      <c r="BR4" s="146"/>
      <c r="BS4" s="146"/>
      <c r="BT4" s="146"/>
      <c r="BU4" s="146"/>
      <c r="BV4" s="146"/>
      <c r="BW4" s="146"/>
      <c r="BX4" s="146"/>
      <c r="BY4" s="146"/>
      <c r="BZ4" s="146"/>
      <c r="CA4" s="146"/>
      <c r="CB4" s="143" t="s">
        <v>252</v>
      </c>
      <c r="CC4" s="143"/>
      <c r="CD4" s="143"/>
      <c r="CE4" s="143"/>
      <c r="CF4" s="143"/>
      <c r="CG4" s="143"/>
      <c r="CH4" s="143"/>
      <c r="CI4" s="143"/>
      <c r="CJ4" s="143"/>
      <c r="CK4" s="143"/>
      <c r="CL4" s="143"/>
      <c r="CM4" s="143"/>
      <c r="CN4" s="143"/>
      <c r="CO4" s="143"/>
      <c r="CP4" s="143"/>
      <c r="CQ4" s="143"/>
      <c r="CR4" s="143"/>
      <c r="CS4" s="146" t="s">
        <v>253</v>
      </c>
      <c r="CT4" s="146"/>
      <c r="CU4" s="146"/>
      <c r="CV4" s="146"/>
      <c r="CW4" s="146"/>
      <c r="CX4" s="146"/>
      <c r="CY4" s="146"/>
      <c r="CZ4" s="146"/>
      <c r="DA4" s="146"/>
      <c r="DB4" s="146"/>
      <c r="DC4" s="146"/>
      <c r="DD4" s="146"/>
      <c r="DE4" s="146"/>
      <c r="DF4" s="146"/>
      <c r="DG4" s="146"/>
      <c r="DH4" s="146"/>
      <c r="DI4" s="146"/>
      <c r="DJ4" s="143" t="s">
        <v>254</v>
      </c>
      <c r="DK4" s="143"/>
      <c r="DL4" s="143"/>
      <c r="DM4" s="143"/>
      <c r="DN4" s="143"/>
      <c r="DO4" s="143"/>
      <c r="DP4" s="143"/>
      <c r="DQ4" s="143"/>
      <c r="DR4" s="143"/>
      <c r="DS4" s="143"/>
      <c r="DT4" s="143"/>
      <c r="DU4" s="143"/>
      <c r="DV4" s="143"/>
      <c r="DW4" s="143"/>
      <c r="DX4" s="143"/>
      <c r="DY4" s="143"/>
      <c r="DZ4" s="143"/>
    </row>
    <row r="5" spans="1:130" ht="45" x14ac:dyDescent="0.25">
      <c r="A5" s="48" t="s">
        <v>307</v>
      </c>
      <c r="B5" s="48" t="s">
        <v>307</v>
      </c>
      <c r="C5" s="48" t="s">
        <v>307</v>
      </c>
      <c r="D5" s="48" t="s">
        <v>307</v>
      </c>
      <c r="E5" s="93" t="s">
        <v>675</v>
      </c>
      <c r="F5" s="48" t="s">
        <v>586</v>
      </c>
      <c r="G5" s="145" t="s">
        <v>639</v>
      </c>
      <c r="H5" s="145"/>
      <c r="I5" s="58"/>
      <c r="K5" s="55" t="s">
        <v>330</v>
      </c>
      <c r="L5" s="55" t="s">
        <v>330</v>
      </c>
      <c r="M5" s="140" t="s">
        <v>331</v>
      </c>
      <c r="N5" s="140"/>
      <c r="O5" s="140"/>
      <c r="P5" s="140"/>
      <c r="Q5" s="140"/>
      <c r="R5" s="140"/>
      <c r="S5" s="141" t="s">
        <v>330</v>
      </c>
      <c r="T5" s="141"/>
      <c r="U5" s="141"/>
      <c r="V5" s="141"/>
      <c r="W5" s="140" t="s">
        <v>331</v>
      </c>
      <c r="X5" s="140"/>
      <c r="Y5" s="140"/>
      <c r="Z5" s="140"/>
      <c r="AA5" s="140"/>
      <c r="AB5" s="140"/>
      <c r="AC5" s="55" t="s">
        <v>330</v>
      </c>
      <c r="AD5" s="140" t="s">
        <v>331</v>
      </c>
      <c r="AE5" s="140"/>
      <c r="AF5" s="140"/>
      <c r="AG5" s="140"/>
      <c r="AH5" s="140"/>
      <c r="AI5" s="140"/>
      <c r="AJ5" s="141" t="s">
        <v>330</v>
      </c>
      <c r="AK5" s="141"/>
      <c r="AL5" s="141"/>
      <c r="AM5" s="141"/>
      <c r="AN5" s="140" t="s">
        <v>331</v>
      </c>
      <c r="AO5" s="140"/>
      <c r="AP5" s="140"/>
      <c r="AQ5" s="140"/>
      <c r="AR5" s="140"/>
      <c r="AS5" s="140"/>
      <c r="AT5" s="55" t="s">
        <v>330</v>
      </c>
      <c r="AU5" s="140" t="s">
        <v>331</v>
      </c>
      <c r="AV5" s="140"/>
      <c r="AW5" s="140"/>
      <c r="AX5" s="140"/>
      <c r="AY5" s="140"/>
      <c r="AZ5" s="140"/>
      <c r="BA5" s="141" t="s">
        <v>330</v>
      </c>
      <c r="BB5" s="141"/>
      <c r="BC5" s="141"/>
      <c r="BD5" s="141"/>
      <c r="BE5" s="140" t="s">
        <v>331</v>
      </c>
      <c r="BF5" s="140"/>
      <c r="BG5" s="140"/>
      <c r="BH5" s="140"/>
      <c r="BI5" s="140"/>
      <c r="BJ5" s="140"/>
      <c r="BK5" s="55" t="s">
        <v>330</v>
      </c>
      <c r="BL5" s="140" t="s">
        <v>331</v>
      </c>
      <c r="BM5" s="140"/>
      <c r="BN5" s="140"/>
      <c r="BO5" s="140"/>
      <c r="BP5" s="140"/>
      <c r="BQ5" s="140"/>
      <c r="BR5" s="141" t="s">
        <v>330</v>
      </c>
      <c r="BS5" s="141"/>
      <c r="BT5" s="141"/>
      <c r="BU5" s="141"/>
      <c r="BV5" s="140" t="s">
        <v>331</v>
      </c>
      <c r="BW5" s="140"/>
      <c r="BX5" s="140"/>
      <c r="BY5" s="140"/>
      <c r="BZ5" s="140"/>
      <c r="CA5" s="140"/>
      <c r="CB5" s="55" t="s">
        <v>330</v>
      </c>
      <c r="CC5" s="140" t="s">
        <v>331</v>
      </c>
      <c r="CD5" s="140"/>
      <c r="CE5" s="140"/>
      <c r="CF5" s="140"/>
      <c r="CG5" s="140"/>
      <c r="CH5" s="140"/>
      <c r="CI5" s="141" t="s">
        <v>330</v>
      </c>
      <c r="CJ5" s="141"/>
      <c r="CK5" s="141"/>
      <c r="CL5" s="141"/>
      <c r="CM5" s="140" t="s">
        <v>331</v>
      </c>
      <c r="CN5" s="140"/>
      <c r="CO5" s="140"/>
      <c r="CP5" s="140"/>
      <c r="CQ5" s="140"/>
      <c r="CR5" s="140"/>
      <c r="CS5" s="55" t="s">
        <v>330</v>
      </c>
      <c r="CT5" s="140" t="s">
        <v>331</v>
      </c>
      <c r="CU5" s="140"/>
      <c r="CV5" s="140"/>
      <c r="CW5" s="140"/>
      <c r="CX5" s="140"/>
      <c r="CY5" s="140"/>
      <c r="CZ5" s="141" t="s">
        <v>330</v>
      </c>
      <c r="DA5" s="141"/>
      <c r="DB5" s="141"/>
      <c r="DC5" s="141"/>
      <c r="DD5" s="140" t="s">
        <v>331</v>
      </c>
      <c r="DE5" s="140"/>
      <c r="DF5" s="140"/>
      <c r="DG5" s="140"/>
      <c r="DH5" s="140"/>
      <c r="DI5" s="140"/>
      <c r="DJ5" s="55" t="s">
        <v>330</v>
      </c>
      <c r="DK5" s="140" t="s">
        <v>331</v>
      </c>
      <c r="DL5" s="140"/>
      <c r="DM5" s="140"/>
      <c r="DN5" s="140"/>
      <c r="DO5" s="140"/>
      <c r="DP5" s="140"/>
      <c r="DQ5" s="141" t="s">
        <v>330</v>
      </c>
      <c r="DR5" s="141"/>
      <c r="DS5" s="141"/>
      <c r="DT5" s="141"/>
      <c r="DU5" s="140" t="s">
        <v>331</v>
      </c>
      <c r="DV5" s="140"/>
      <c r="DW5" s="140"/>
      <c r="DX5" s="140"/>
      <c r="DY5" s="140"/>
      <c r="DZ5" s="140"/>
    </row>
    <row r="6" spans="1:130" s="44" customFormat="1" ht="105" x14ac:dyDescent="0.25">
      <c r="A6" s="50" t="s">
        <v>21</v>
      </c>
      <c r="B6" s="50" t="s">
        <v>177</v>
      </c>
      <c r="C6" s="50" t="s">
        <v>171</v>
      </c>
      <c r="D6" s="50" t="s">
        <v>2</v>
      </c>
      <c r="E6" s="110" t="s">
        <v>653</v>
      </c>
      <c r="F6" s="44" t="s">
        <v>558</v>
      </c>
      <c r="G6" s="44" t="s">
        <v>557</v>
      </c>
      <c r="H6" s="44" t="s">
        <v>559</v>
      </c>
      <c r="I6" s="44" t="s">
        <v>240</v>
      </c>
      <c r="J6" s="44" t="s">
        <v>184</v>
      </c>
      <c r="K6" s="59" t="s">
        <v>180</v>
      </c>
      <c r="L6" s="59" t="s">
        <v>236</v>
      </c>
      <c r="M6" s="59" t="s">
        <v>465</v>
      </c>
      <c r="N6" s="59" t="s">
        <v>466</v>
      </c>
      <c r="O6" s="59" t="s">
        <v>467</v>
      </c>
      <c r="P6" s="59" t="s">
        <v>468</v>
      </c>
      <c r="Q6" s="59" t="s">
        <v>469</v>
      </c>
      <c r="R6" s="59" t="s">
        <v>470</v>
      </c>
      <c r="S6" s="44" t="s">
        <v>239</v>
      </c>
      <c r="T6" s="44" t="s">
        <v>241</v>
      </c>
      <c r="U6" s="44" t="s">
        <v>246</v>
      </c>
      <c r="V6" s="44" t="s">
        <v>247</v>
      </c>
      <c r="W6" s="44" t="s">
        <v>471</v>
      </c>
      <c r="X6" s="44" t="s">
        <v>472</v>
      </c>
      <c r="Y6" s="44" t="s">
        <v>473</v>
      </c>
      <c r="Z6" s="44" t="s">
        <v>474</v>
      </c>
      <c r="AA6" s="44" t="s">
        <v>475</v>
      </c>
      <c r="AB6" s="44" t="s">
        <v>476</v>
      </c>
      <c r="AC6" s="44" t="s">
        <v>215</v>
      </c>
      <c r="AD6" s="44" t="s">
        <v>477</v>
      </c>
      <c r="AE6" s="44" t="s">
        <v>478</v>
      </c>
      <c r="AF6" s="44" t="s">
        <v>479</v>
      </c>
      <c r="AG6" s="44" t="s">
        <v>480</v>
      </c>
      <c r="AH6" s="44" t="s">
        <v>482</v>
      </c>
      <c r="AI6" s="44" t="s">
        <v>481</v>
      </c>
      <c r="AJ6" s="44" t="s">
        <v>242</v>
      </c>
      <c r="AK6" s="44" t="s">
        <v>243</v>
      </c>
      <c r="AL6" s="44" t="s">
        <v>255</v>
      </c>
      <c r="AM6" s="44" t="s">
        <v>256</v>
      </c>
      <c r="AN6" s="44" t="s">
        <v>483</v>
      </c>
      <c r="AO6" s="44" t="s">
        <v>484</v>
      </c>
      <c r="AP6" s="44" t="s">
        <v>485</v>
      </c>
      <c r="AQ6" s="44" t="s">
        <v>486</v>
      </c>
      <c r="AR6" s="44" t="s">
        <v>487</v>
      </c>
      <c r="AS6" s="44" t="s">
        <v>488</v>
      </c>
      <c r="AT6" s="44" t="s">
        <v>216</v>
      </c>
      <c r="AU6" s="44" t="s">
        <v>489</v>
      </c>
      <c r="AV6" s="44" t="s">
        <v>490</v>
      </c>
      <c r="AW6" s="44" t="s">
        <v>491</v>
      </c>
      <c r="AX6" s="44" t="s">
        <v>492</v>
      </c>
      <c r="AY6" s="44" t="s">
        <v>493</v>
      </c>
      <c r="AZ6" s="44" t="s">
        <v>494</v>
      </c>
      <c r="BA6" s="44" t="s">
        <v>245</v>
      </c>
      <c r="BB6" s="44" t="s">
        <v>244</v>
      </c>
      <c r="BC6" s="44" t="s">
        <v>257</v>
      </c>
      <c r="BD6" s="44" t="s">
        <v>258</v>
      </c>
      <c r="BE6" s="44" t="s">
        <v>495</v>
      </c>
      <c r="BF6" s="44" t="s">
        <v>496</v>
      </c>
      <c r="BG6" s="44" t="s">
        <v>497</v>
      </c>
      <c r="BH6" s="44" t="s">
        <v>498</v>
      </c>
      <c r="BI6" s="44" t="s">
        <v>499</v>
      </c>
      <c r="BJ6" s="44" t="s">
        <v>500</v>
      </c>
      <c r="BK6" s="44" t="s">
        <v>217</v>
      </c>
      <c r="BL6" s="44" t="s">
        <v>501</v>
      </c>
      <c r="BM6" s="44" t="s">
        <v>502</v>
      </c>
      <c r="BN6" s="44" t="s">
        <v>503</v>
      </c>
      <c r="BO6" s="44" t="s">
        <v>504</v>
      </c>
      <c r="BP6" s="44" t="s">
        <v>505</v>
      </c>
      <c r="BQ6" s="44" t="s">
        <v>506</v>
      </c>
      <c r="BR6" s="44" t="s">
        <v>259</v>
      </c>
      <c r="BS6" s="44" t="s">
        <v>260</v>
      </c>
      <c r="BT6" s="44" t="s">
        <v>261</v>
      </c>
      <c r="BU6" s="44" t="s">
        <v>262</v>
      </c>
      <c r="BV6" s="44" t="s">
        <v>507</v>
      </c>
      <c r="BW6" s="44" t="s">
        <v>508</v>
      </c>
      <c r="BX6" s="44" t="s">
        <v>509</v>
      </c>
      <c r="BY6" s="44" t="s">
        <v>510</v>
      </c>
      <c r="BZ6" s="44" t="s">
        <v>511</v>
      </c>
      <c r="CA6" s="44" t="s">
        <v>512</v>
      </c>
      <c r="CB6" s="44" t="s">
        <v>218</v>
      </c>
      <c r="CC6" s="44" t="s">
        <v>513</v>
      </c>
      <c r="CD6" s="44" t="s">
        <v>514</v>
      </c>
      <c r="CE6" s="44" t="s">
        <v>515</v>
      </c>
      <c r="CF6" s="44" t="s">
        <v>516</v>
      </c>
      <c r="CG6" s="44" t="s">
        <v>517</v>
      </c>
      <c r="CH6" s="44" t="s">
        <v>518</v>
      </c>
      <c r="CI6" s="44" t="s">
        <v>263</v>
      </c>
      <c r="CJ6" s="44" t="s">
        <v>264</v>
      </c>
      <c r="CK6" s="44" t="s">
        <v>265</v>
      </c>
      <c r="CL6" s="44" t="s">
        <v>266</v>
      </c>
      <c r="CM6" s="44" t="s">
        <v>519</v>
      </c>
      <c r="CN6" s="44" t="s">
        <v>520</v>
      </c>
      <c r="CO6" s="44" t="s">
        <v>521</v>
      </c>
      <c r="CP6" s="44" t="s">
        <v>522</v>
      </c>
      <c r="CQ6" s="44" t="s">
        <v>523</v>
      </c>
      <c r="CR6" s="44" t="s">
        <v>524</v>
      </c>
      <c r="CS6" s="44" t="s">
        <v>219</v>
      </c>
      <c r="CT6" s="44" t="s">
        <v>525</v>
      </c>
      <c r="CU6" s="44" t="s">
        <v>526</v>
      </c>
      <c r="CV6" s="44" t="s">
        <v>527</v>
      </c>
      <c r="CW6" s="44" t="s">
        <v>528</v>
      </c>
      <c r="CX6" s="44" t="s">
        <v>529</v>
      </c>
      <c r="CY6" s="44" t="s">
        <v>530</v>
      </c>
      <c r="CZ6" s="44" t="s">
        <v>267</v>
      </c>
      <c r="DA6" s="44" t="s">
        <v>268</v>
      </c>
      <c r="DB6" s="44" t="s">
        <v>269</v>
      </c>
      <c r="DC6" s="44" t="s">
        <v>270</v>
      </c>
      <c r="DD6" s="44" t="s">
        <v>531</v>
      </c>
      <c r="DE6" s="44" t="s">
        <v>532</v>
      </c>
      <c r="DF6" s="44" t="s">
        <v>533</v>
      </c>
      <c r="DG6" s="44" t="s">
        <v>534</v>
      </c>
      <c r="DH6" s="44" t="s">
        <v>535</v>
      </c>
      <c r="DI6" s="44" t="s">
        <v>536</v>
      </c>
      <c r="DJ6" s="44" t="s">
        <v>220</v>
      </c>
      <c r="DK6" s="44" t="s">
        <v>537</v>
      </c>
      <c r="DL6" s="44" t="s">
        <v>538</v>
      </c>
      <c r="DM6" s="44" t="s">
        <v>539</v>
      </c>
      <c r="DN6" s="44" t="s">
        <v>540</v>
      </c>
      <c r="DO6" s="44" t="s">
        <v>541</v>
      </c>
      <c r="DP6" s="44" t="s">
        <v>542</v>
      </c>
      <c r="DQ6" s="44" t="s">
        <v>271</v>
      </c>
      <c r="DR6" s="44" t="s">
        <v>272</v>
      </c>
      <c r="DS6" s="44" t="s">
        <v>273</v>
      </c>
      <c r="DT6" s="44" t="s">
        <v>274</v>
      </c>
      <c r="DU6" s="44" t="s">
        <v>543</v>
      </c>
      <c r="DV6" s="44" t="s">
        <v>544</v>
      </c>
      <c r="DW6" s="44" t="s">
        <v>545</v>
      </c>
      <c r="DX6" s="44" t="s">
        <v>546</v>
      </c>
      <c r="DY6" s="44" t="s">
        <v>547</v>
      </c>
      <c r="DZ6" s="44" t="s">
        <v>548</v>
      </c>
    </row>
    <row r="7" spans="1:130" x14ac:dyDescent="0.25">
      <c r="A7" t="s">
        <v>772</v>
      </c>
      <c r="B7" t="s">
        <v>175</v>
      </c>
      <c r="C7" t="s">
        <v>773</v>
      </c>
      <c r="D7" t="s">
        <v>842</v>
      </c>
      <c r="F7" s="25">
        <f>INDEX(Table_Process_Details[Physical Mass (kg)],MATCH(1,INDEX((Process_Steps[[#This Row],[Name]]=Table_Process_Details[Step Name])*(Table_Process_Details[Input or Output]="Output"),0),0))</f>
        <v>100</v>
      </c>
      <c r="G7" s="25">
        <f t="array" aca="1" ref="G7"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5.5920820445784669E-2</v>
      </c>
      <c r="H7" s="28">
        <f ca="1">Process_Steps[[#This Row],[Total Mass that must be produced]]/Process_Steps[[#This Row],[Unscaled Step Product Mass]]</f>
        <v>5.5920820445784665E-4</v>
      </c>
      <c r="I7" s="17" t="e">
        <f>IF(Process_Steps[[#This Row],[Real or Virtual?]]="Real",Process_Steps[[#This Row],[Name]],NA())</f>
        <v>#N/A</v>
      </c>
      <c r="J7" s="30">
        <f>ROW()-ROW(Process_Steps[[#Headers],[Table Row]])</f>
        <v>1</v>
      </c>
      <c r="K7" s="20"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7" s="20" t="e">
        <f>IF(Process_Steps[[#This Row],[Real or Virtual?]]="Real",SUMIFS(Table_Process_Details[RV Physical Mass per kg API],Table_Process_Details[Input or Output],"Input",Table_Process_Details[Step Name],Process_Steps[[#This Row],[Name]]),NA())</f>
        <v>#N/A</v>
      </c>
      <c r="M7" s="20" t="e">
        <f>IF(Process_Steps[[#This Row],[Real or Virtual?]]="Real",SUMIFS(Table_Process_Details[RV Physical Mass per kg API (REAGENT)],Table_Process_Details[Input or Output],"Input",Table_Process_Details[Step Name],Process_Steps[[#This Row],[Name]]),NA())</f>
        <v>#N/A</v>
      </c>
      <c r="N7" s="20" t="e">
        <f>IF(Process_Steps[[#This Row],[Real or Virtual?]]="Real",SUMIFS(Table_Process_Details[RV Physical Mass per kg API (METAL)],Table_Process_Details[Input or Output],"Input",Table_Process_Details[Step Name],Process_Steps[[#This Row],[Name]]),NA())</f>
        <v>#N/A</v>
      </c>
      <c r="O7" s="20" t="e">
        <f>IF(Process_Steps[[#This Row],[Real or Virtual?]]="Real",SUMIFS(Table_Process_Details[RV Physical Mass per kg API (SOLVENT)],Table_Process_Details[Input or Output],"Input",Table_Process_Details[Step Name],Process_Steps[[#This Row],[Name]]),NA())</f>
        <v>#N/A</v>
      </c>
      <c r="P7" s="20" t="e">
        <f>IF(Process_Steps[[#This Row],[Real or Virtual?]]="Real",SUMIFS(Table_Process_Details[RV Physical Mass per kg API (WATER)],Table_Process_Details[Input or Output],"Input",Table_Process_Details[Step Name],Process_Steps[[#This Row],[Name]]),NA())</f>
        <v>#N/A</v>
      </c>
      <c r="Q7" s="20" t="e">
        <f>IF(Process_Steps[[#This Row],[Real or Virtual?]]="Real",SUMIFS(Table_Process_Details[RV Physical Mass per kg API (ENZ&amp;PLNT)],Table_Process_Details[Input or Output],"Input",Table_Process_Details[Step Name],Process_Steps[[#This Row],[Name]]),NA())</f>
        <v>#N/A</v>
      </c>
      <c r="R7" s="20" t="e">
        <f>IF(Process_Steps[[#This Row],[Real or Virtual?]]="Real",SUMIFS(Table_Process_Details[RV Physical Mass per kg API (OTHER)],Table_Process_Details[Input or Output],"Input",Table_Process_Details[Step Name],Process_Steps[[#This Row],[Name]]),NA())</f>
        <v>#N/A</v>
      </c>
      <c r="S7" s="17" t="str">
        <f ca="1">INDEX(Process_Steps[Name if Real],MATCH(Process_Steps[[#This Row],['[RV Step PMI per kg API'] of Each Step Sorted by '[RV Step PMI per kg API']]],Process_Steps[RV Step PMI per kg API],0))</f>
        <v>4) Synthesis of Intermediate (4)</v>
      </c>
      <c r="T7" s="17">
        <f t="array" aca="1" ref="T7" ca="1">IF(LARGE(_xlfn.IFNA(Process_Steps[RV Step PMI per kg API],0),Process_Steps[[#This Row],[Table Row]])=0,NA(),LARGE(_xlfn.IFNA(Process_Steps[RV Step PMI per kg API],0),Process_Steps[[#This Row],[Table Row]]))</f>
        <v>41.820517526151619</v>
      </c>
      <c r="U7" s="17">
        <f ca="1">SUM(OFFSET(Process_Steps['[RV Step PMI per kg API'] of Each Step Sorted by '[RV Step PMI per kg API']],0,0,Process_Steps[[#This Row],[Table Row]]))</f>
        <v>41.820517526151619</v>
      </c>
      <c r="V7" s="17" t="str">
        <f ca="1">"("&amp;TEXT(Process_Steps[[#This Row],['[RV Step PMI per kg API'] of Each Step Sorted by '[RV Step PMI per kg API']]]/SUMIF(Process_Steps['[RV Step PMI per kg API'] of Each Step Sorted by '[RV Step PMI per kg API']],"&lt;&gt;#N/A"),"0%")&amp;")"</f>
        <v>(28%)</v>
      </c>
      <c r="W7" s="17">
        <f ca="1">INDEX(Process_Steps[RV Step PMI per kg API (REAGENT)],MATCH(Process_Steps[[#This Row],[Steps Sorted by '[RV Step PMI per kg API']]],Process_Steps[Name],0))</f>
        <v>4.9765812634149107</v>
      </c>
      <c r="X7" s="17">
        <f ca="1">INDEX(Process_Steps[RV Step PMI per kg API (METAL)],MATCH(Process_Steps[[#This Row],[Steps Sorted by '[RV Step PMI per kg API']]],Process_Steps[Name],0))</f>
        <v>0</v>
      </c>
      <c r="Y7" s="17">
        <f ca="1">INDEX(Process_Steps[RV Step PMI per kg API (SOLVENT)],MATCH(Process_Steps[[#This Row],[Steps Sorted by '[RV Step PMI per kg API']]],Process_Steps[Name],0))</f>
        <v>5.7258212516058036</v>
      </c>
      <c r="Z7" s="17">
        <f ca="1">INDEX(Process_Steps[RV Step PMI per kg API (WATER)],MATCH(Process_Steps[[#This Row],[Steps Sorted by '[RV Step PMI per kg API']]],Process_Steps[Name],0))</f>
        <v>31.118115011130907</v>
      </c>
      <c r="AA7" s="17">
        <f ca="1">INDEX(Process_Steps[RV Step PMI per kg API (ENZ&amp;PLNT)],MATCH(Process_Steps[[#This Row],[Steps Sorted by '[RV Step PMI per kg API']]],Process_Steps[Name],0))</f>
        <v>0</v>
      </c>
      <c r="AB7" s="17">
        <f ca="1">INDEX(Process_Steps[RV Step PMI per kg API (OTHER)],MATCH(Process_Steps[[#This Row],[Steps Sorted by '[RV Step PMI per kg API']]],Process_Steps[Name],0))</f>
        <v>0</v>
      </c>
      <c r="AC7" s="20" t="e">
        <f>IF(Process_Steps[[#This Row],[Real or Virtual?]]="Real",SUMIFS(Table_Process_Details[RV Mass Net (kg) per kg API],Table_Process_Details[Step Name],Process_Steps[[#This Row],[Name]]),NA())</f>
        <v>#N/A</v>
      </c>
      <c r="AD7" s="20" t="e">
        <f>IF(Process_Steps[[#This Row],[Real or Virtual?]]="Real",SUMIFS(Table_Process_Details[RV Mass Net (kg) per kg API (REAGENT)],Table_Process_Details[Step Name],Process_Steps[[#This Row],[Name]]),NA())</f>
        <v>#N/A</v>
      </c>
      <c r="AE7" s="20" t="e">
        <f>IF(Process_Steps[[#This Row],[Real or Virtual?]]="Real",SUMIFS(Table_Process_Details[RV Mass Net (kg) per kg API (METAL)],Table_Process_Details[Step Name],Process_Steps[[#This Row],[Name]]),NA())</f>
        <v>#N/A</v>
      </c>
      <c r="AF7" s="20" t="e">
        <f>IF(Process_Steps[[#This Row],[Real or Virtual?]]="Real",SUMIFS(Table_Process_Details[RV Mass Net (kg) per kg API (SOLVENT)],Table_Process_Details[Step Name],Process_Steps[[#This Row],[Name]]),NA())</f>
        <v>#N/A</v>
      </c>
      <c r="AG7" s="20" t="e">
        <f>IF(Process_Steps[[#This Row],[Real or Virtual?]]="Real",SUMIFS(Table_Process_Details[RV Mass Net (kg) per kg API (WATER)],Table_Process_Details[Step Name],Process_Steps[[#This Row],[Name]]),NA())</f>
        <v>#N/A</v>
      </c>
      <c r="AH7" s="20" t="e">
        <f>IF(Process_Steps[[#This Row],[Real or Virtual?]]="Real",SUMIFS(Table_Process_Details[RV Mass Net (kg) per kg API (ENZ&amp;PLNT)],Table_Process_Details[Step Name],Process_Steps[[#This Row],[Name]]),NA())</f>
        <v>#N/A</v>
      </c>
      <c r="AI7" s="20" t="e">
        <f>IF(Process_Steps[[#This Row],[Real or Virtual?]]="Real",SUMIFS(Table_Process_Details[RV Mass Net (kg) per kg API (OTHER)],Table_Process_Details[Step Name],Process_Steps[[#This Row],[Name]]),NA())</f>
        <v>#N/A</v>
      </c>
      <c r="AJ7" s="23" t="str">
        <f ca="1">INDEX(Process_Steps[Name if Real],MATCH(Process_Steps[[#This Row],['[RV Step Mass Net (kg) per kg API'] of Each Step Sorted by '[RV Step Mass Net (kg) per kg API']]],Process_Steps[RV Step Mass Net (kg) per kg API],0))</f>
        <v>5) Pure Step</v>
      </c>
      <c r="AK7" s="23">
        <f t="array" aca="1" ref="AK7" ca="1">IF(LARGE(_xlfn.IFNA(Process_Steps[RV Step Mass Net (kg) per kg API],0),Process_Steps[[#This Row],[Table Row]])=0,NA(),LARGE(_xlfn.IFNA(Process_Steps[RV Step Mass Net (kg) per kg API],0),Process_Steps[[#This Row],[Table Row]]))</f>
        <v>44.068430609445159</v>
      </c>
      <c r="AL7" s="23">
        <f ca="1">SUM(OFFSET(Process_Steps['[RV Step Mass Net (kg) per kg API'] of Each Step Sorted by '[RV Step Mass Net (kg) per kg API']],0,0,Process_Steps[[#This Row],[Table Row]]))</f>
        <v>44.068430609445159</v>
      </c>
      <c r="AM7" s="23" t="str">
        <f ca="1">"("&amp;TEXT(Process_Steps[[#This Row],['[RV Step Mass Net (kg) per kg API'] of Each Step Sorted by '[RV Step Mass Net (kg) per kg API']]]/SUMIF(Process_Steps['[RV Step Mass Net (kg) per kg API'] of Each Step Sorted by '[RV Step Mass Net (kg) per kg API']],"&lt;&gt;#N/A"),"0%")&amp;")"</f>
        <v>(35%)</v>
      </c>
      <c r="AN7" s="23">
        <f ca="1">INDEX(Process_Steps[RV Step Mass Net (kg) per kg API (REAGENT)],MATCH(Process_Steps[[#This Row],[Steps Sorted by '[RV Step Mass Net (kg) per kg API']]],Process_Steps[Name],0))</f>
        <v>4.0053519694451616</v>
      </c>
      <c r="AO7" s="23">
        <f ca="1">INDEX(Process_Steps[RV Step Mass Net (kg) per kg API (METAL)],MATCH(Process_Steps[[#This Row],[Steps Sorted by '[RV Step Mass Net (kg) per kg API']]],Process_Steps[Name],0))</f>
        <v>0</v>
      </c>
      <c r="AP7" s="23">
        <f ca="1">INDEX(Process_Steps[RV Step Mass Net (kg) per kg API (SOLVENT)],MATCH(Process_Steps[[#This Row],[Steps Sorted by '[RV Step Mass Net (kg) per kg API']]],Process_Steps[Name],0))</f>
        <v>40.063078640000001</v>
      </c>
      <c r="AQ7" s="23">
        <f ca="1">INDEX(Process_Steps[RV Step Mass Net (kg) per kg API (WATER)],MATCH(Process_Steps[[#This Row],[Steps Sorted by '[RV Step Mass Net (kg) per kg API']]],Process_Steps[Name],0))</f>
        <v>0</v>
      </c>
      <c r="AR7" s="23">
        <f ca="1">INDEX(Process_Steps[RV Step Mass Net (kg) per kg API (ENZ&amp;PLNT)],MATCH(Process_Steps[[#This Row],[Steps Sorted by '[RV Step Mass Net (kg) per kg API']]],Process_Steps[Name],0))</f>
        <v>0</v>
      </c>
      <c r="AS7" s="23">
        <f ca="1">INDEX(Process_Steps[RV Step Mass Net (kg) per kg API (OTHER)],MATCH(Process_Steps[[#This Row],[Steps Sorted by '[RV Step Mass Net (kg) per kg API']]],Process_Steps[Name],0))</f>
        <v>0</v>
      </c>
      <c r="AT7" s="20" t="e">
        <f>IF(Process_Steps[[#This Row],[Real or Virtual?]]="Real",SUMIFS(Table_Process_Details[RV Energy (MJ) per kg API],Table_Process_Details[Step Name],Process_Steps[[#This Row],[Name]]),NA())</f>
        <v>#N/A</v>
      </c>
      <c r="AU7" s="20" t="e">
        <f>IF(Process_Steps[[#This Row],[Real or Virtual?]]="Real",SUMIFS(Table_Process_Details[RV Energy (MJ) per kg API (REAGENT)],Table_Process_Details[Step Name],Process_Steps[[#This Row],[Name]]),NA())</f>
        <v>#N/A</v>
      </c>
      <c r="AV7" s="20" t="e">
        <f>IF(Process_Steps[[#This Row],[Real or Virtual?]]="Real",SUMIFS(Table_Process_Details[RV Energy (MJ) per kg API (METAL)],Table_Process_Details[Step Name],Process_Steps[[#This Row],[Name]]),NA())</f>
        <v>#N/A</v>
      </c>
      <c r="AW7" s="20" t="e">
        <f>IF(Process_Steps[[#This Row],[Real or Virtual?]]="Real",SUMIFS(Table_Process_Details[RV Energy (MJ) per kg API (SOLVENT)],Table_Process_Details[Step Name],Process_Steps[[#This Row],[Name]]),NA())</f>
        <v>#N/A</v>
      </c>
      <c r="AX7" s="20" t="e">
        <f>IF(Process_Steps[[#This Row],[Real or Virtual?]]="Real",SUMIFS(Table_Process_Details[RV Energy (MJ) per kg API (WATER)],Table_Process_Details[Step Name],Process_Steps[[#This Row],[Name]]),NA())</f>
        <v>#N/A</v>
      </c>
      <c r="AY7" s="20" t="e">
        <f>IF(Process_Steps[[#This Row],[Real or Virtual?]]="Real",SUMIFS(Table_Process_Details[RV Energy (MJ) per kg API (ENZ&amp;PLNT)],Table_Process_Details[Step Name],Process_Steps[[#This Row],[Name]]),NA())</f>
        <v>#N/A</v>
      </c>
      <c r="AZ7" s="20" t="e">
        <f>IF(Process_Steps[[#This Row],[Real or Virtual?]]="Real",SUMIFS(Table_Process_Details[RV Energy (MJ) per kg API (OTHER)],Table_Process_Details[Step Name],Process_Steps[[#This Row],[Name]]),NA())</f>
        <v>#N/A</v>
      </c>
      <c r="BA7" s="23" t="str">
        <f ca="1">INDEX(Process_Steps[Name if Real],MATCH(Process_Steps[[#This Row],['[RV Step Energy (MJ) per kg API'] of Each Step Sorted by '[RV Step Energy (MJ) per kg API']]],Process_Steps[RV Step Energy (MJ) per kg API],0))</f>
        <v>5) Pure Step</v>
      </c>
      <c r="BB7" s="23">
        <f t="array" aca="1" ref="BB7" ca="1">IF(LARGE(_xlfn.IFNA(Process_Steps[RV Step Energy (MJ) per kg API],0),Process_Steps[[#This Row],[Table Row]])=0,NA(),LARGE(_xlfn.IFNA(Process_Steps[RV Step Energy (MJ) per kg API],0),Process_Steps[[#This Row],[Table Row]]))</f>
        <v>1999.5910381367742</v>
      </c>
      <c r="BC7" s="23">
        <f ca="1">SUM(OFFSET(Process_Steps['[RV Step Energy (MJ) per kg API'] of Each Step Sorted by '[RV Step Energy (MJ) per kg API']],0,0,Process_Steps[[#This Row],[Table Row]]))</f>
        <v>1999.5910381367742</v>
      </c>
      <c r="BD7" s="23" t="str">
        <f ca="1">"("&amp;TEXT(Process_Steps[[#This Row],['[RV Step Energy (MJ) per kg API'] of Each Step Sorted by '[RV Step Energy (MJ) per kg API']]]/SUMIF(Process_Steps['[RV Step Energy (MJ) per kg API'] of Each Step Sorted by '[RV Step Energy (MJ) per kg API']],"&lt;&gt;#N/A"),"0%")&amp;")"</f>
        <v>(39%)</v>
      </c>
      <c r="BE7" s="23">
        <f ca="1">INDEX(Process_Steps[RV Step Energy (MJ) per kg API (REAGENT)],MATCH(Process_Steps[[#This Row],[Steps Sorted by '[RV Step Energy (MJ) per kg API']]],Process_Steps[Name],0))</f>
        <v>143.74519413677422</v>
      </c>
      <c r="BF7" s="23">
        <f ca="1">INDEX(Process_Steps[RV Step Energy (MJ) per kg API (METAL)],MATCH(Process_Steps[[#This Row],[Steps Sorted by '[RV Step Energy (MJ) per kg API']]],Process_Steps[Name],0))</f>
        <v>0</v>
      </c>
      <c r="BG7" s="23">
        <f ca="1">INDEX(Process_Steps[RV Step Energy (MJ) per kg API (SOLVENT)],MATCH(Process_Steps[[#This Row],[Steps Sorted by '[RV Step Energy (MJ) per kg API']]],Process_Steps[Name],0))</f>
        <v>1855.8458439999999</v>
      </c>
      <c r="BH7" s="23">
        <f ca="1">INDEX(Process_Steps[RV Step Energy (MJ) per kg API (WATER)],MATCH(Process_Steps[[#This Row],[Steps Sorted by '[RV Step Energy (MJ) per kg API']]],Process_Steps[Name],0))</f>
        <v>0</v>
      </c>
      <c r="BI7" s="23">
        <f ca="1">INDEX(Process_Steps[RV Step Energy (MJ) per kg API (ENZ&amp;PLNT)],MATCH(Process_Steps[[#This Row],[Steps Sorted by '[RV Step Energy (MJ) per kg API']]],Process_Steps[Name],0))</f>
        <v>0</v>
      </c>
      <c r="BJ7" s="23">
        <f ca="1">INDEX(Process_Steps[RV Step Energy (MJ) per kg API (OTHER)],MATCH(Process_Steps[[#This Row],[Steps Sorted by '[RV Step Energy (MJ) per kg API']]],Process_Steps[Name],0))</f>
        <v>0</v>
      </c>
      <c r="BK7" s="20" t="e">
        <f>IF(Process_Steps[[#This Row],[Real or Virtual?]]="Real",SUMIFS(Table_Process_Details[RV GWP (kg CO2 equiv.) per kg API],Table_Process_Details[Step Name],Process_Steps[[#This Row],[Name]]),NA())</f>
        <v>#N/A</v>
      </c>
      <c r="BL7" s="20" t="e">
        <f>IF(Process_Steps[[#This Row],[Real or Virtual?]]="Real",SUMIFS(Table_Process_Details[RV GWP (kg CO2 equiv.) per kg API (REAGENT)],Table_Process_Details[Step Name],Process_Steps[[#This Row],[Name]]),NA())</f>
        <v>#N/A</v>
      </c>
      <c r="BM7" s="20" t="e">
        <f>IF(Process_Steps[[#This Row],[Real or Virtual?]]="Real",SUMIFS(Table_Process_Details[RV GWP (kg CO2 equiv.) per kg API (METAL)],Table_Process_Details[Step Name],Process_Steps[[#This Row],[Name]]),NA())</f>
        <v>#N/A</v>
      </c>
      <c r="BN7" s="20" t="e">
        <f>IF(Process_Steps[[#This Row],[Real or Virtual?]]="Real",SUMIFS(Table_Process_Details[RV GWP (kg CO2 equiv.) per kg API (SOLVENT)],Table_Process_Details[Step Name],Process_Steps[[#This Row],[Name]]),NA())</f>
        <v>#N/A</v>
      </c>
      <c r="BO7" s="20" t="e">
        <f>IF(Process_Steps[[#This Row],[Real or Virtual?]]="Real",SUMIFS(Table_Process_Details[RV GWP (kg CO2 equiv.) per kg API (WATER)],Table_Process_Details[Step Name],Process_Steps[[#This Row],[Name]]),NA())</f>
        <v>#N/A</v>
      </c>
      <c r="BP7" s="20" t="e">
        <f>IF(Process_Steps[[#This Row],[Real or Virtual?]]="Real",SUMIFS(Table_Process_Details[RV GWP (kg CO2 equiv.) per kg API (ENZ&amp;PLNT)],Table_Process_Details[Step Name],Process_Steps[[#This Row],[Name]]),NA())</f>
        <v>#N/A</v>
      </c>
      <c r="BQ7" s="20" t="e">
        <f>IF(Process_Steps[[#This Row],[Real or Virtual?]]="Real",SUMIFS(Table_Process_Details[RV GWP (kg CO2 equiv.) per kg API (OTHER)],Table_Process_Details[Step Name],Process_Steps[[#This Row],[Name]]),NA())</f>
        <v>#N/A</v>
      </c>
      <c r="BR7" s="23" t="str">
        <f ca="1">INDEX(Process_Steps[Name if Real],MATCH(Process_Steps[[#This Row],['[RV Step GWP (kg CO2 equiv.) per kg API'] of Each Step Sorted by '[RV Step GWP (kg CO2 equiv.) per kg API']]],Process_Steps[RV Step GWP (kg CO2 equiv.) per kg API],0))</f>
        <v>5) Pure Step</v>
      </c>
      <c r="BS7" s="23">
        <f t="array" aca="1" ref="BS7" ca="1">IF(LARGE(_xlfn.IFNA(Process_Steps[RV Step GWP (kg CO2 equiv.) per kg API],0),Process_Steps[[#This Row],[Table Row]])=0,NA(),LARGE(_xlfn.IFNA(Process_Steps[RV Step GWP (kg CO2 equiv.) per kg API],0),Process_Steps[[#This Row],[Table Row]]))</f>
        <v>53.909326907148383</v>
      </c>
      <c r="BT7" s="23">
        <f ca="1">SUM(OFFSET(Process_Steps['[RV Step GWP (kg CO2 equiv.) per kg API'] of Each Step Sorted by '[RV Step GWP (kg CO2 equiv.) per kg API']],0,0,Process_Steps[[#This Row],[Table Row]]))</f>
        <v>53.909326907148383</v>
      </c>
      <c r="BU7" s="23" t="str">
        <f ca="1">"("&amp;TEXT(Process_Steps[[#This Row],['[RV Step GWP (kg CO2 equiv.) per kg API'] of Each Step Sorted by '[RV Step GWP (kg CO2 equiv.) per kg API']]]/SUMIF(Process_Steps['[RV Step GWP (kg CO2 equiv.) per kg API'] of Each Step Sorted by '[RV Step GWP (kg CO2 equiv.) per kg API']],"&lt;&gt;#N/A"),"0%")&amp;")"</f>
        <v>(34%)</v>
      </c>
      <c r="BV7" s="23">
        <f ca="1">INDEX(Process_Steps[RV Step GWP (kg CO2 equiv.) per kg API (REAGENT)],MATCH(Process_Steps[[#This Row],[Steps Sorted by '[RV Step GWP (kg CO2 equiv.) per kg API']]],Process_Steps[Name],0))</f>
        <v>5.038854827148386</v>
      </c>
      <c r="BW7" s="23">
        <f ca="1">INDEX(Process_Steps[RV Step GWP (kg CO2 equiv.) per kg API (METAL)],MATCH(Process_Steps[[#This Row],[Steps Sorted by '[RV Step GWP (kg CO2 equiv.) per kg API']]],Process_Steps[Name],0))</f>
        <v>0</v>
      </c>
      <c r="BX7" s="23">
        <f ca="1">INDEX(Process_Steps[RV Step GWP (kg CO2 equiv.) per kg API (SOLVENT)],MATCH(Process_Steps[[#This Row],[Steps Sorted by '[RV Step GWP (kg CO2 equiv.) per kg API']]],Process_Steps[Name],0))</f>
        <v>48.870472079999999</v>
      </c>
      <c r="BY7" s="23">
        <f ca="1">INDEX(Process_Steps[RV Step GWP (kg CO2 equiv.) per kg API (WATER)],MATCH(Process_Steps[[#This Row],[Steps Sorted by '[RV Step GWP (kg CO2 equiv.) per kg API']]],Process_Steps[Name],0))</f>
        <v>0</v>
      </c>
      <c r="BZ7" s="23">
        <f ca="1">INDEX(Process_Steps[RV Step GWP (kg CO2 equiv.) per kg API (ENZ&amp;PLNT)],MATCH(Process_Steps[[#This Row],[Steps Sorted by '[RV Step GWP (kg CO2 equiv.) per kg API']]],Process_Steps[Name],0))</f>
        <v>0</v>
      </c>
      <c r="CA7" s="23">
        <f ca="1">INDEX(Process_Steps[RV Step GWP (kg CO2 equiv.) per kg API (OTHER)],MATCH(Process_Steps[[#This Row],[Steps Sorted by '[RV Step GWP (kg CO2 equiv.) per kg API']]],Process_Steps[Name],0))</f>
        <v>0</v>
      </c>
      <c r="CB7" s="20" t="e">
        <f>IF(Process_Steps[[#This Row],[Real or Virtual?]]="Real",SUMIFS(Table_Process_Details[RV Acidification (kg SO2 equiv.) per kg API],Table_Process_Details[Step Name],Process_Steps[[#This Row],[Name]]),NA())</f>
        <v>#N/A</v>
      </c>
      <c r="CC7" s="20" t="e">
        <f>IF(Process_Steps[[#This Row],[Real or Virtual?]]="Real",SUMIFS(Table_Process_Details[RV Acidification (kg SO2 equiv.) per kg API (REAGENT)],Table_Process_Details[Step Name],Process_Steps[[#This Row],[Name]]),NA())</f>
        <v>#N/A</v>
      </c>
      <c r="CD7" s="20" t="e">
        <f>IF(Process_Steps[[#This Row],[Real or Virtual?]]="Real",SUMIFS(Table_Process_Details[RV Acidification (kg SO2 equiv.) per kg API (METAL)],Table_Process_Details[Step Name],Process_Steps[[#This Row],[Name]]),NA())</f>
        <v>#N/A</v>
      </c>
      <c r="CE7" s="20" t="e">
        <f>IF(Process_Steps[[#This Row],[Real or Virtual?]]="Real",SUMIFS(Table_Process_Details[RV Acidification (kg SO2 equiv.) per kg API (SOLVENT)],Table_Process_Details[Step Name],Process_Steps[[#This Row],[Name]]),NA())</f>
        <v>#N/A</v>
      </c>
      <c r="CF7" s="20" t="e">
        <f>IF(Process_Steps[[#This Row],[Real or Virtual?]]="Real",SUMIFS(Table_Process_Details[RV Acidification (kg SO2 equiv.) per kg API (WATER)],Table_Process_Details[Step Name],Process_Steps[[#This Row],[Name]]),NA())</f>
        <v>#N/A</v>
      </c>
      <c r="CG7" s="20" t="e">
        <f>IF(Process_Steps[[#This Row],[Real or Virtual?]]="Real",SUMIFS(Table_Process_Details[RV Acidification (kg SO2 equiv.) per kg API (ENZ&amp;PLNT)],Table_Process_Details[Step Name],Process_Steps[[#This Row],[Name]]),NA())</f>
        <v>#N/A</v>
      </c>
      <c r="CH7" s="20" t="e">
        <f>IF(Process_Steps[[#This Row],[Real or Virtual?]]="Real",SUMIFS(Table_Process_Details[RV Acidification (kg SO2 equiv.) per kg API (OTHER)],Table_Process_Details[Step Name],Process_Steps[[#This Row],[Name]]),NA())</f>
        <v>#N/A</v>
      </c>
      <c r="CI7" s="23" t="str">
        <f ca="1">INDEX(Process_Steps[Name if Real],MATCH(Process_Steps[[#This Row],['[RV Step Acidification (kg SO2 equiv.) per kg API'] of Each Step Sorted by '[RV Step Acidification (kg SO2 equiv.) per kg API']]],Process_Steps[RV Step Acidification (kg SO2 equiv.) per kg API],0))</f>
        <v>5) Pure Step</v>
      </c>
      <c r="CJ7" s="23">
        <f t="array" aca="1" ref="CJ7" ca="1">IF(LARGE(_xlfn.IFNA(Process_Steps[RV Step Acidification (kg SO2 equiv.) per kg API],0),Process_Steps[[#This Row],[Table Row]])=0,NA(),LARGE(_xlfn.IFNA(Process_Steps[RV Step Acidification (kg SO2 equiv.) per kg API],0),Process_Steps[[#This Row],[Table Row]]))</f>
        <v>0.19639608718761289</v>
      </c>
      <c r="CK7" s="23">
        <f ca="1">SUM(OFFSET(Process_Steps['[RV Step Acidification (kg SO2 equiv.) per kg API'] of Each Step Sorted by '[RV Step Acidification (kg SO2 equiv.) per kg API']],0,0,Process_Steps[[#This Row],[Table Row]]))</f>
        <v>0.19639608718761289</v>
      </c>
      <c r="CL7"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(30%)</v>
      </c>
      <c r="CM7" s="23">
        <f ca="1">INDEX(Process_Steps[RV Step Acidification (kg SO2 equiv.) per kg API (REAGENT)],MATCH(Process_Steps[[#This Row],[Steps Sorted by '[RV Step Acidification (kg SO2 equiv.) per kg API']]],Process_Steps[Name],0))</f>
        <v>2.1548378387612907E-2</v>
      </c>
      <c r="CN7" s="23">
        <f ca="1">INDEX(Process_Steps[RV Step Acidification (kg SO2 equiv.) per kg API (METAL)],MATCH(Process_Steps[[#This Row],[Steps Sorted by '[RV Step Acidification (kg SO2 equiv.) per kg API']]],Process_Steps[Name],0))</f>
        <v>0</v>
      </c>
      <c r="CO7" s="23">
        <f ca="1">INDEX(Process_Steps[RV Step Acidification (kg SO2 equiv.) per kg API (SOLVENT)],MATCH(Process_Steps[[#This Row],[Steps Sorted by '[RV Step Acidification (kg SO2 equiv.) per kg API']]],Process_Steps[Name],0))</f>
        <v>0.1748477088</v>
      </c>
      <c r="CP7" s="23">
        <f ca="1">INDEX(Process_Steps[RV Step Acidification (kg SO2 equiv.) per kg API (WATER)],MATCH(Process_Steps[[#This Row],[Steps Sorted by '[RV Step Acidification (kg SO2 equiv.) per kg API']]],Process_Steps[Name],0))</f>
        <v>0</v>
      </c>
      <c r="CQ7" s="23">
        <f ca="1">INDEX(Process_Steps[RV Step Acidification (kg SO2 equiv.) per kg API (ENZ&amp;PLNT)],MATCH(Process_Steps[[#This Row],[Steps Sorted by '[RV Step Acidification (kg SO2 equiv.) per kg API']]],Process_Steps[Name],0))</f>
        <v>0</v>
      </c>
      <c r="CR7" s="23">
        <f ca="1">INDEX(Process_Steps[RV Step Acidification (kg SO2 equiv.) per kg API (OTHER)],MATCH(Process_Steps[[#This Row],[Steps Sorted by '[RV Step Acidification (kg SO2 equiv.) per kg API']]],Process_Steps[Name],0))</f>
        <v>0</v>
      </c>
      <c r="CS7" s="20" t="e">
        <f>IF(Process_Steps[[#This Row],[Real or Virtual?]]="Real",SUMIFS(Table_Process_Details[RV Eutrophication (kg phosphate equiv.) per kg API],Table_Process_Details[Step Name],Process_Steps[[#This Row],[Name]]),NA())</f>
        <v>#N/A</v>
      </c>
      <c r="CT7" s="20" t="e">
        <f>IF(Process_Steps[[#This Row],[Real or Virtual?]]="Real",SUMIFS(Table_Process_Details[RV Eutrophication (kg phosphate equiv.) per kg API (REAGENT)],Table_Process_Details[Step Name],Process_Steps[[#This Row],[Name]]),NA())</f>
        <v>#N/A</v>
      </c>
      <c r="CU7" s="20" t="e">
        <f>IF(Process_Steps[[#This Row],[Real or Virtual?]]="Real",SUMIFS(Table_Process_Details[RV Eutrophication (kg phosphate equiv.) per kg API (METAL)],Table_Process_Details[Step Name],Process_Steps[[#This Row],[Name]]),NA())</f>
        <v>#N/A</v>
      </c>
      <c r="CV7" s="20" t="e">
        <f>IF(Process_Steps[[#This Row],[Real or Virtual?]]="Real",SUMIFS(Table_Process_Details[RV Eutrophication (kg phosphate equiv.) per kg API (SOLVENT)],Table_Process_Details[Step Name],Process_Steps[[#This Row],[Name]]),NA())</f>
        <v>#N/A</v>
      </c>
      <c r="CW7" s="20" t="e">
        <f>IF(Process_Steps[[#This Row],[Real or Virtual?]]="Real",SUMIFS(Table_Process_Details[RV Eutrophication (kg phosphate equiv.) per kg API (WATER)],Table_Process_Details[Step Name],Process_Steps[[#This Row],[Name]]),NA())</f>
        <v>#N/A</v>
      </c>
      <c r="CX7" s="20" t="e">
        <f>IF(Process_Steps[[#This Row],[Real or Virtual?]]="Real",SUMIFS(Table_Process_Details[RV Eutrophication (kg phosphate equiv.) per kg API (ENZ&amp;PLNT)],Table_Process_Details[Step Name],Process_Steps[[#This Row],[Name]]),NA())</f>
        <v>#N/A</v>
      </c>
      <c r="CY7" s="20" t="e">
        <f>IF(Process_Steps[[#This Row],[Real or Virtual?]]="Real",SUMIFS(Table_Process_Details[RV Eutrophication (kg phosphate equiv.) per kg API (OTHER)],Table_Process_Details[Step Name],Process_Steps[[#This Row],[Name]]),NA())</f>
        <v>#N/A</v>
      </c>
      <c r="CZ7" s="23" t="str">
        <f ca="1">INDEX(Process_Steps[Name if Real],MATCH(Process_Steps[[#This Row],['[RV Step Eutrophication (kg phosphate equiv.) per kg API'] of Each Step Sorted by '[RV Step Eutrophication (kg phosphate equiv.) per kg API']]],Process_Steps[RV Step Eutrophication (kg posphate equiv.) per kg API],0))</f>
        <v>3) Synthesis of Intermediate (3)</v>
      </c>
      <c r="DA7" s="23">
        <f t="array" aca="1" ref="DA7" ca="1">IF(LARGE(_xlfn.IFNA(Process_Steps[RV Step Eutrophication (kg posphate equiv.) per kg API],0),Process_Steps[[#This Row],[Table Row]])=0,NA(),LARGE(_xlfn.IFNA(Process_Steps[RV Step Eutrophication (kg posphate equiv.) per kg API],0),Process_Steps[[#This Row],[Table Row]]))</f>
        <v>0.53637991561224418</v>
      </c>
      <c r="DB7" s="23">
        <f ca="1">SUM(OFFSET(Process_Steps['[RV Step Eutrophication (kg phosphate equiv.) per kg API'] of Each Step Sorted by '[RV Step Eutrophication (kg phosphate equiv.) per kg API']],0,0,Process_Steps[[#This Row],[Table Row]]))</f>
        <v>0.53637991561224418</v>
      </c>
      <c r="DC7"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(39%)</v>
      </c>
      <c r="DD7" s="23">
        <f ca="1">INDEX(Process_Steps[RV Step Eutrophication (kg posphate equiv.) per kg API (REAGENT)],MATCH(Process_Steps[[#This Row],[Steps Sorted by '[RV Step Eutrophication (kg phosphate equiv.) per kg API']]],Process_Steps[Name],0))</f>
        <v>9.400401110058737E-2</v>
      </c>
      <c r="DE7" s="23">
        <f ca="1">INDEX(Process_Steps[RV Step Eutrophication (kg posphate equiv.) per kg API (METAL)],MATCH(Process_Steps[[#This Row],[Steps Sorted by '[RV Step Eutrophication (kg phosphate equiv.) per kg API']]],Process_Steps[Name],0))</f>
        <v>0</v>
      </c>
      <c r="DF7" s="23">
        <f ca="1">INDEX(Process_Steps[RV Step Eutrophication (kg posphate equiv.) per kg API (SOLVENT)],MATCH(Process_Steps[[#This Row],[Steps Sorted by '[RV Step Eutrophication (kg phosphate equiv.) per kg API']]],Process_Steps[Name],0))</f>
        <v>0.44235037869701188</v>
      </c>
      <c r="DG7" s="23">
        <f ca="1">INDEX(Process_Steps[RV Step Eutrophication (kg posphate equiv.) per kg API (WATER)],MATCH(Process_Steps[[#This Row],[Steps Sorted by '[RV Step Eutrophication (kg phosphate equiv.) per kg API']]],Process_Steps[Name],0))</f>
        <v>2.5525814644889162E-5</v>
      </c>
      <c r="DH7" s="23">
        <f ca="1">INDEX(Process_Steps[RV Step Eutrophication (kg posphate equiv.) per kg API (ENZ&amp;PLNT)],MATCH(Process_Steps[[#This Row],[Steps Sorted by '[RV Step Eutrophication (kg phosphate equiv.) per kg API']]],Process_Steps[Name],0))</f>
        <v>0</v>
      </c>
      <c r="DI7" s="23">
        <f ca="1">INDEX(Process_Steps[RV Step Eutrophication (kg posphate equiv.) per kg API (OTHER)],MATCH(Process_Steps[[#This Row],[Steps Sorted by '[RV Step Eutrophication (kg phosphate equiv.) per kg API']]],Process_Steps[Name],0))</f>
        <v>0</v>
      </c>
      <c r="DJ7" s="20" t="e">
        <f>IF(Process_Steps[[#This Row],[Real or Virtual?]]="Real",SUMIFS(Table_Process_Details[RV Water (kg) per kg API],Table_Process_Details[Step Name],Process_Steps[[#This Row],[Name]]),NA())</f>
        <v>#N/A</v>
      </c>
      <c r="DK7" s="20" t="e">
        <f>IF(Process_Steps[[#This Row],[Real or Virtual?]]="Real",SUMIFS(Table_Process_Details[RV Water (kg) per kg API (REAGENT)],Table_Process_Details[Step Name],Process_Steps[[#This Row],[Name]]),NA())</f>
        <v>#N/A</v>
      </c>
      <c r="DL7" s="20" t="e">
        <f>IF(Process_Steps[[#This Row],[Real or Virtual?]]="Real",SUMIFS(Table_Process_Details[RV Water (kg) per kg API (METAL)],Table_Process_Details[Step Name],Process_Steps[[#This Row],[Name]]),NA())</f>
        <v>#N/A</v>
      </c>
      <c r="DM7" s="20" t="e">
        <f>IF(Process_Steps[[#This Row],[Real or Virtual?]]="Real",SUMIFS(Table_Process_Details[RV Water (kg) per kg API (SOLVENT)],Table_Process_Details[Step Name],Process_Steps[[#This Row],[Name]]),NA())</f>
        <v>#N/A</v>
      </c>
      <c r="DN7" s="20" t="e">
        <f>IF(Process_Steps[[#This Row],[Real or Virtual?]]="Real",SUMIFS(Table_Process_Details[RV Water (kg) per kg API (WATER)],Table_Process_Details[Step Name],Process_Steps[[#This Row],[Name]]),NA())</f>
        <v>#N/A</v>
      </c>
      <c r="DO7" s="20" t="e">
        <f>IF(Process_Steps[[#This Row],[Real or Virtual?]]="Real",SUMIFS(Table_Process_Details[RV Water (kg) per kg API (ENZ&amp;PLNT)],Table_Process_Details[Step Name],Process_Steps[[#This Row],[Name]]),NA())</f>
        <v>#N/A</v>
      </c>
      <c r="DP7" s="20" t="e">
        <f>IF(Process_Steps[[#This Row],[Real or Virtual?]]="Real",SUMIFS(Table_Process_Details[RV Water (kg) per kg API (OTHER)],Table_Process_Details[Step Name],Process_Steps[[#This Row],[Name]]),NA())</f>
        <v>#N/A</v>
      </c>
      <c r="DQ7" s="23" t="str">
        <f ca="1">INDEX(Process_Steps[Name if Real],MATCH(Process_Steps[[#This Row],['[RV Step Water (kg) per kg API'] of Each Step Sorted by '[RV Step Water (kg) per kg API']]],Process_Steps[RV Step Water (kg) per kg API],0))</f>
        <v>5) Pure Step</v>
      </c>
      <c r="DR7" s="23">
        <f t="array" aca="1" ref="DR7" ca="1">IF(LARGE(_xlfn.IFNA(Process_Steps[RV Step Water (kg) per kg API],0),Process_Steps[[#This Row],[Table Row]])=0,NA(),LARGE(_xlfn.IFNA(Process_Steps[RV Step Water (kg) per kg API],0),Process_Steps[[#This Row],[Table Row]]))</f>
        <v>404.10553286059354</v>
      </c>
      <c r="DS7" s="23">
        <f ca="1">SUM(OFFSET(Process_Steps['[RV Step Water (kg) per kg API'] of Each Step Sorted by '[RV Step Water (kg) per kg API']],0,0,Process_Steps[[#This Row],[Table Row]]))</f>
        <v>404.10553286059354</v>
      </c>
      <c r="DT7" s="23" t="str">
        <f ca="1">"("&amp;TEXT(Process_Steps[[#This Row],['[RV Step Water (kg) per kg API'] of Each Step Sorted by '[RV Step Water (kg) per kg API']]]/SUMIF(Process_Steps['[RV Step Water (kg) per kg API'] of Each Step Sorted by '[RV Step Water (kg) per kg API']],"&lt;&gt;#N/A"),"0%")&amp;")"</f>
        <v>(45%)</v>
      </c>
      <c r="DU7" s="23">
        <f ca="1">INDEX(Process_Steps[RV Step Water (kg) per kg API (REAGENT)],MATCH(Process_Steps[[#This Row],[Steps Sorted by '[RV Step Water (kg) per kg API']]],Process_Steps[Name],0))</f>
        <v>28.21501286059355</v>
      </c>
      <c r="DV7" s="23">
        <f ca="1">INDEX(Process_Steps[RV Step Water (kg) per kg API (METAL)],MATCH(Process_Steps[[#This Row],[Steps Sorted by '[RV Step Water (kg) per kg API']]],Process_Steps[Name],0))</f>
        <v>0</v>
      </c>
      <c r="DW7" s="23">
        <f ca="1">INDEX(Process_Steps[RV Step Water (kg) per kg API (SOLVENT)],MATCH(Process_Steps[[#This Row],[Steps Sorted by '[RV Step Water (kg) per kg API']]],Process_Steps[Name],0))</f>
        <v>375.89051999999998</v>
      </c>
      <c r="DX7" s="23">
        <f ca="1">INDEX(Process_Steps[RV Step Water (kg) per kg API (WATER)],MATCH(Process_Steps[[#This Row],[Steps Sorted by '[RV Step Water (kg) per kg API']]],Process_Steps[Name],0))</f>
        <v>0</v>
      </c>
      <c r="DY7" s="23">
        <f ca="1">INDEX(Process_Steps[RV Step Water (kg) per kg API (ENZ&amp;PLNT)],MATCH(Process_Steps[[#This Row],[Steps Sorted by '[RV Step Water (kg) per kg API']]],Process_Steps[Name],0))</f>
        <v>0</v>
      </c>
      <c r="DZ7" s="23">
        <f ca="1">INDEX(Process_Steps[RV Step Water (kg) per kg API (OTHER)],MATCH(Process_Steps[[#This Row],[Steps Sorted by '[RV Step Water (kg) per kg API']]],Process_Steps[Name],0))</f>
        <v>0</v>
      </c>
    </row>
    <row r="8" spans="1:130" x14ac:dyDescent="0.25">
      <c r="A8" t="s">
        <v>774</v>
      </c>
      <c r="B8" t="s">
        <v>175</v>
      </c>
      <c r="C8" t="s">
        <v>775</v>
      </c>
      <c r="D8" t="s">
        <v>842</v>
      </c>
      <c r="F8" s="25">
        <f>INDEX(Table_Process_Details[Physical Mass (kg)],MATCH(1,INDEX((Process_Steps[[#This Row],[Name]]=Table_Process_Details[Step Name])*(Table_Process_Details[Input or Output]="Output"),0),0))</f>
        <v>100</v>
      </c>
      <c r="G8" s="25" cm="1">
        <f t="array" aca="1" ref="G8"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1.1184164089156934</v>
      </c>
      <c r="H8" s="28">
        <f ca="1">Process_Steps[[#This Row],[Total Mass that must be produced]]/Process_Steps[[#This Row],[Unscaled Step Product Mass]]</f>
        <v>1.1184164089156933E-2</v>
      </c>
      <c r="I8" s="23" t="e">
        <f>IF(Process_Steps[[#This Row],[Real or Virtual?]]="Real",Process_Steps[[#This Row],[Name]],NA())</f>
        <v>#N/A</v>
      </c>
      <c r="J8" s="30">
        <f>ROW()-ROW(Process_Steps[[#Headers],[Table Row]])</f>
        <v>2</v>
      </c>
      <c r="K8"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8" s="118" t="e">
        <f>IF(Process_Steps[[#This Row],[Real or Virtual?]]="Real",SUMIFS(Table_Process_Details[RV Physical Mass per kg API],Table_Process_Details[Input or Output],"Input",Table_Process_Details[Step Name],Process_Steps[[#This Row],[Name]]),NA())</f>
        <v>#N/A</v>
      </c>
      <c r="M8" s="20" t="e">
        <f>IF(Process_Steps[[#This Row],[Real or Virtual?]]="Real",SUMIFS(Table_Process_Details[RV Physical Mass per kg API (REAGENT)],Table_Process_Details[Input or Output],"Input",Table_Process_Details[Step Name],Process_Steps[[#This Row],[Name]]),NA())</f>
        <v>#N/A</v>
      </c>
      <c r="N8" s="20" t="e">
        <f>IF(Process_Steps[[#This Row],[Real or Virtual?]]="Real",SUMIFS(Table_Process_Details[RV Physical Mass per kg API (METAL)],Table_Process_Details[Input or Output],"Input",Table_Process_Details[Step Name],Process_Steps[[#This Row],[Name]]),NA())</f>
        <v>#N/A</v>
      </c>
      <c r="O8" s="20" t="e">
        <f>IF(Process_Steps[[#This Row],[Real or Virtual?]]="Real",SUMIFS(Table_Process_Details[RV Physical Mass per kg API (SOLVENT)],Table_Process_Details[Input or Output],"Input",Table_Process_Details[Step Name],Process_Steps[[#This Row],[Name]]),NA())</f>
        <v>#N/A</v>
      </c>
      <c r="P8" s="20" t="e">
        <f>IF(Process_Steps[[#This Row],[Real or Virtual?]]="Real",SUMIFS(Table_Process_Details[RV Physical Mass per kg API (WATER)],Table_Process_Details[Input or Output],"Input",Table_Process_Details[Step Name],Process_Steps[[#This Row],[Name]]),NA())</f>
        <v>#N/A</v>
      </c>
      <c r="Q8" s="20" t="e">
        <f>IF(Process_Steps[[#This Row],[Real or Virtual?]]="Real",SUMIFS(Table_Process_Details[RV Physical Mass per kg API (ENZ&amp;PLNT)],Table_Process_Details[Input or Output],"Input",Table_Process_Details[Step Name],Process_Steps[[#This Row],[Name]]),NA())</f>
        <v>#N/A</v>
      </c>
      <c r="R8" s="20" t="e">
        <f>IF(Process_Steps[[#This Row],[Real or Virtual?]]="Real",SUMIFS(Table_Process_Details[RV Physical Mass per kg API (OTHER)],Table_Process_Details[Input or Output],"Input",Table_Process_Details[Step Name],Process_Steps[[#This Row],[Name]]),NA())</f>
        <v>#N/A</v>
      </c>
      <c r="S8" s="118" t="str">
        <f ca="1">INDEX(Process_Steps[Name if Real],MATCH(Process_Steps[[#This Row],['[RV Step PMI per kg API'] of Each Step Sorted by '[RV Step PMI per kg API']]],Process_Steps[RV Step PMI per kg API],0))</f>
        <v>5) Pure Step</v>
      </c>
      <c r="T8" s="118" cm="1">
        <f t="array" aca="1" ref="T8" ca="1">IF(LARGE(_xlfn.IFNA(Process_Steps[RV Step PMI per kg API],0),Process_Steps[[#This Row],[Table Row]])=0,NA(),LARGE(_xlfn.IFNA(Process_Steps[RV Step PMI per kg API],0),Process_Steps[[#This Row],[Table Row]]))</f>
        <v>37.92</v>
      </c>
      <c r="U8" s="118">
        <f ca="1">SUM(OFFSET(Process_Steps['[RV Step PMI per kg API'] of Each Step Sorted by '[RV Step PMI per kg API']],0,0,Process_Steps[[#This Row],[Table Row]]))</f>
        <v>79.740517526151621</v>
      </c>
      <c r="V8" s="118" t="str">
        <f ca="1">"("&amp;TEXT(Process_Steps[[#This Row],['[RV Step PMI per kg API'] of Each Step Sorted by '[RV Step PMI per kg API']]]/SUMIF(Process_Steps['[RV Step PMI per kg API'] of Each Step Sorted by '[RV Step PMI per kg API']],"&lt;&gt;#N/A"),"0%")&amp;")"</f>
        <v>(26%)</v>
      </c>
      <c r="W8" s="23">
        <f ca="1">INDEX(Process_Steps[RV Step PMI per kg API (REAGENT)],MATCH(Process_Steps[[#This Row],[Steps Sorted by '[RV Step PMI per kg API']]],Process_Steps[Name],0))</f>
        <v>1.9200000000000002</v>
      </c>
      <c r="X8" s="23">
        <f ca="1">INDEX(Process_Steps[RV Step PMI per kg API (METAL)],MATCH(Process_Steps[[#This Row],[Steps Sorted by '[RV Step PMI per kg API']]],Process_Steps[Name],0))</f>
        <v>0</v>
      </c>
      <c r="Y8" s="23">
        <f ca="1">INDEX(Process_Steps[RV Step PMI per kg API (SOLVENT)],MATCH(Process_Steps[[#This Row],[Steps Sorted by '[RV Step PMI per kg API']]],Process_Steps[Name],0))</f>
        <v>36</v>
      </c>
      <c r="Z8" s="23">
        <f ca="1">INDEX(Process_Steps[RV Step PMI per kg API (WATER)],MATCH(Process_Steps[[#This Row],[Steps Sorted by '[RV Step PMI per kg API']]],Process_Steps[Name],0))</f>
        <v>0</v>
      </c>
      <c r="AA8" s="23">
        <f ca="1">INDEX(Process_Steps[RV Step PMI per kg API (ENZ&amp;PLNT)],MATCH(Process_Steps[[#This Row],[Steps Sorted by '[RV Step PMI per kg API']]],Process_Steps[Name],0))</f>
        <v>0</v>
      </c>
      <c r="AB8" s="23">
        <f ca="1">INDEX(Process_Steps[RV Step PMI per kg API (OTHER)],MATCH(Process_Steps[[#This Row],[Steps Sorted by '[RV Step PMI per kg API']]],Process_Steps[Name],0))</f>
        <v>0</v>
      </c>
      <c r="AC8" s="118" t="e">
        <f>IF(Process_Steps[[#This Row],[Real or Virtual?]]="Real",SUMIFS(Table_Process_Details[RV Mass Net (kg) per kg API],Table_Process_Details[Step Name],Process_Steps[[#This Row],[Name]]),NA())</f>
        <v>#N/A</v>
      </c>
      <c r="AD8" s="20" t="e">
        <f>IF(Process_Steps[[#This Row],[Real or Virtual?]]="Real",SUMIFS(Table_Process_Details[RV Mass Net (kg) per kg API (REAGENT)],Table_Process_Details[Step Name],Process_Steps[[#This Row],[Name]]),NA())</f>
        <v>#N/A</v>
      </c>
      <c r="AE8" s="20" t="e">
        <f>IF(Process_Steps[[#This Row],[Real or Virtual?]]="Real",SUMIFS(Table_Process_Details[RV Mass Net (kg) per kg API (METAL)],Table_Process_Details[Step Name],Process_Steps[[#This Row],[Name]]),NA())</f>
        <v>#N/A</v>
      </c>
      <c r="AF8" s="20" t="e">
        <f>IF(Process_Steps[[#This Row],[Real or Virtual?]]="Real",SUMIFS(Table_Process_Details[RV Mass Net (kg) per kg API (SOLVENT)],Table_Process_Details[Step Name],Process_Steps[[#This Row],[Name]]),NA())</f>
        <v>#N/A</v>
      </c>
      <c r="AG8" s="20" t="e">
        <f>IF(Process_Steps[[#This Row],[Real or Virtual?]]="Real",SUMIFS(Table_Process_Details[RV Mass Net (kg) per kg API (WATER)],Table_Process_Details[Step Name],Process_Steps[[#This Row],[Name]]),NA())</f>
        <v>#N/A</v>
      </c>
      <c r="AH8" s="20" t="e">
        <f>IF(Process_Steps[[#This Row],[Real or Virtual?]]="Real",SUMIFS(Table_Process_Details[RV Mass Net (kg) per kg API (ENZ&amp;PLNT)],Table_Process_Details[Step Name],Process_Steps[[#This Row],[Name]]),NA())</f>
        <v>#N/A</v>
      </c>
      <c r="AI8" s="20" t="e">
        <f>IF(Process_Steps[[#This Row],[Real or Virtual?]]="Real",SUMIFS(Table_Process_Details[RV Mass Net (kg) per kg API (OTHER)],Table_Process_Details[Step Name],Process_Steps[[#This Row],[Name]]),NA())</f>
        <v>#N/A</v>
      </c>
      <c r="AJ8" s="23" t="str">
        <f ca="1">INDEX(Process_Steps[Name if Real],MATCH(Process_Steps[[#This Row],['[RV Step Mass Net (kg) per kg API'] of Each Step Sorted by '[RV Step Mass Net (kg) per kg API']]],Process_Steps[RV Step Mass Net (kg) per kg API],0))</f>
        <v>3) Synthesis of Intermediate (3)</v>
      </c>
      <c r="AK8" s="23" cm="1">
        <f t="array" aca="1" ref="AK8" ca="1">IF(LARGE(_xlfn.IFNA(Process_Steps[RV Step Mass Net (kg) per kg API],0),Process_Steps[[#This Row],[Table Row]])=0,NA(),LARGE(_xlfn.IFNA(Process_Steps[RV Step Mass Net (kg) per kg API],0),Process_Steps[[#This Row],[Table Row]]))</f>
        <v>38.412716463737347</v>
      </c>
      <c r="AL8" s="23">
        <f ca="1">SUM(OFFSET(Process_Steps['[RV Step Mass Net (kg) per kg API'] of Each Step Sorted by '[RV Step Mass Net (kg) per kg API']],0,0,Process_Steps[[#This Row],[Table Row]]))</f>
        <v>82.481147073182512</v>
      </c>
      <c r="AM8" s="23" t="str">
        <f ca="1">"("&amp;TEXT(Process_Steps[[#This Row],['[RV Step Mass Net (kg) per kg API'] of Each Step Sorted by '[RV Step Mass Net (kg) per kg API']]]/SUMIF(Process_Steps['[RV Step Mass Net (kg) per kg API'] of Each Step Sorted by '[RV Step Mass Net (kg) per kg API']],"&lt;&gt;#N/A"),"0%")&amp;")"</f>
        <v>(30%)</v>
      </c>
      <c r="AN8" s="23">
        <f ca="1">INDEX(Process_Steps[RV Step Mass Net (kg) per kg API (REAGENT)],MATCH(Process_Steps[[#This Row],[Steps Sorted by '[RV Step Mass Net (kg) per kg API']]],Process_Steps[Name],0))</f>
        <v>21.822148392898534</v>
      </c>
      <c r="AO8" s="23">
        <f ca="1">INDEX(Process_Steps[RV Step Mass Net (kg) per kg API (METAL)],MATCH(Process_Steps[[#This Row],[Steps Sorted by '[RV Step Mass Net (kg) per kg API']]],Process_Steps[Name],0))</f>
        <v>0</v>
      </c>
      <c r="AP8" s="23">
        <f ca="1">INDEX(Process_Steps[RV Step Mass Net (kg) per kg API (SOLVENT)],MATCH(Process_Steps[[#This Row],[Steps Sorted by '[RV Step Mass Net (kg) per kg API']]],Process_Steps[Name],0))</f>
        <v>16.573718021655473</v>
      </c>
      <c r="AQ8" s="23">
        <f ca="1">INDEX(Process_Steps[RV Step Mass Net (kg) per kg API (WATER)],MATCH(Process_Steps[[#This Row],[Steps Sorted by '[RV Step Mass Net (kg) per kg API']]],Process_Steps[Name],0))</f>
        <v>1.6850049183336515E-2</v>
      </c>
      <c r="AR8" s="23">
        <f ca="1">INDEX(Process_Steps[RV Step Mass Net (kg) per kg API (ENZ&amp;PLNT)],MATCH(Process_Steps[[#This Row],[Steps Sorted by '[RV Step Mass Net (kg) per kg API']]],Process_Steps[Name],0))</f>
        <v>0</v>
      </c>
      <c r="AS8" s="23">
        <f ca="1">INDEX(Process_Steps[RV Step Mass Net (kg) per kg API (OTHER)],MATCH(Process_Steps[[#This Row],[Steps Sorted by '[RV Step Mass Net (kg) per kg API']]],Process_Steps[Name],0))</f>
        <v>0</v>
      </c>
      <c r="AT8" s="118" t="e">
        <f>IF(Process_Steps[[#This Row],[Real or Virtual?]]="Real",SUMIFS(Table_Process_Details[RV Energy (MJ) per kg API],Table_Process_Details[Step Name],Process_Steps[[#This Row],[Name]]),NA())</f>
        <v>#N/A</v>
      </c>
      <c r="AU8" s="20" t="e">
        <f>IF(Process_Steps[[#This Row],[Real or Virtual?]]="Real",SUMIFS(Table_Process_Details[RV Energy (MJ) per kg API (REAGENT)],Table_Process_Details[Step Name],Process_Steps[[#This Row],[Name]]),NA())</f>
        <v>#N/A</v>
      </c>
      <c r="AV8" s="20" t="e">
        <f>IF(Process_Steps[[#This Row],[Real or Virtual?]]="Real",SUMIFS(Table_Process_Details[RV Energy (MJ) per kg API (METAL)],Table_Process_Details[Step Name],Process_Steps[[#This Row],[Name]]),NA())</f>
        <v>#N/A</v>
      </c>
      <c r="AW8" s="20" t="e">
        <f>IF(Process_Steps[[#This Row],[Real or Virtual?]]="Real",SUMIFS(Table_Process_Details[RV Energy (MJ) per kg API (SOLVENT)],Table_Process_Details[Step Name],Process_Steps[[#This Row],[Name]]),NA())</f>
        <v>#N/A</v>
      </c>
      <c r="AX8" s="20" t="e">
        <f>IF(Process_Steps[[#This Row],[Real or Virtual?]]="Real",SUMIFS(Table_Process_Details[RV Energy (MJ) per kg API (WATER)],Table_Process_Details[Step Name],Process_Steps[[#This Row],[Name]]),NA())</f>
        <v>#N/A</v>
      </c>
      <c r="AY8" s="20" t="e">
        <f>IF(Process_Steps[[#This Row],[Real or Virtual?]]="Real",SUMIFS(Table_Process_Details[RV Energy (MJ) per kg API (ENZ&amp;PLNT)],Table_Process_Details[Step Name],Process_Steps[[#This Row],[Name]]),NA())</f>
        <v>#N/A</v>
      </c>
      <c r="AZ8" s="20" t="e">
        <f>IF(Process_Steps[[#This Row],[Real or Virtual?]]="Real",SUMIFS(Table_Process_Details[RV Energy (MJ) per kg API (OTHER)],Table_Process_Details[Step Name],Process_Steps[[#This Row],[Name]]),NA())</f>
        <v>#N/A</v>
      </c>
      <c r="BA8" s="23" t="str">
        <f ca="1">INDEX(Process_Steps[Name if Real],MATCH(Process_Steps[[#This Row],['[RV Step Energy (MJ) per kg API'] of Each Step Sorted by '[RV Step Energy (MJ) per kg API']]],Process_Steps[RV Step Energy (MJ) per kg API],0))</f>
        <v>3) Synthesis of Intermediate (3)</v>
      </c>
      <c r="BB8" s="23" cm="1">
        <f t="array" aca="1" ref="BB8" ca="1">IF(LARGE(_xlfn.IFNA(Process_Steps[RV Step Energy (MJ) per kg API],0),Process_Steps[[#This Row],[Table Row]])=0,NA(),LARGE(_xlfn.IFNA(Process_Steps[RV Step Energy (MJ) per kg API],0),Process_Steps[[#This Row],[Table Row]]))</f>
        <v>1487.5659384209112</v>
      </c>
      <c r="BC8" s="23">
        <f ca="1">SUM(OFFSET(Process_Steps['[RV Step Energy (MJ) per kg API'] of Each Step Sorted by '[RV Step Energy (MJ) per kg API']],0,0,Process_Steps[[#This Row],[Table Row]]))</f>
        <v>3487.1569765576851</v>
      </c>
      <c r="BD8" s="23" t="str">
        <f ca="1">"("&amp;TEXT(Process_Steps[[#This Row],['[RV Step Energy (MJ) per kg API'] of Each Step Sorted by '[RV Step Energy (MJ) per kg API']]]/SUMIF(Process_Steps['[RV Step Energy (MJ) per kg API'] of Each Step Sorted by '[RV Step Energy (MJ) per kg API']],"&lt;&gt;#N/A"),"0%")&amp;")"</f>
        <v>(29%)</v>
      </c>
      <c r="BE8" s="23">
        <f ca="1">INDEX(Process_Steps[RV Step Energy (MJ) per kg API (REAGENT)],MATCH(Process_Steps[[#This Row],[Steps Sorted by '[RV Step Energy (MJ) per kg API']]],Process_Steps[Name],0))</f>
        <v>783.1593780391845</v>
      </c>
      <c r="BF8" s="23">
        <f ca="1">INDEX(Process_Steps[RV Step Energy (MJ) per kg API (METAL)],MATCH(Process_Steps[[#This Row],[Steps Sorted by '[RV Step Energy (MJ) per kg API']]],Process_Steps[Name],0))</f>
        <v>0</v>
      </c>
      <c r="BG8" s="23">
        <f ca="1">INDEX(Process_Steps[RV Step Energy (MJ) per kg API (SOLVENT)],MATCH(Process_Steps[[#This Row],[Steps Sorted by '[RV Step Energy (MJ) per kg API']]],Process_Steps[Name],0))</f>
        <v>704.19670691870579</v>
      </c>
      <c r="BH8" s="23">
        <f ca="1">INDEX(Process_Steps[RV Step Energy (MJ) per kg API (WATER)],MATCH(Process_Steps[[#This Row],[Steps Sorted by '[RV Step Energy (MJ) per kg API']]],Process_Steps[Name],0))</f>
        <v>0.20985346302073932</v>
      </c>
      <c r="BI8" s="23">
        <f ca="1">INDEX(Process_Steps[RV Step Energy (MJ) per kg API (ENZ&amp;PLNT)],MATCH(Process_Steps[[#This Row],[Steps Sorted by '[RV Step Energy (MJ) per kg API']]],Process_Steps[Name],0))</f>
        <v>0</v>
      </c>
      <c r="BJ8" s="23">
        <f ca="1">INDEX(Process_Steps[RV Step Energy (MJ) per kg API (OTHER)],MATCH(Process_Steps[[#This Row],[Steps Sorted by '[RV Step Energy (MJ) per kg API']]],Process_Steps[Name],0))</f>
        <v>0</v>
      </c>
      <c r="BK8" s="118" t="e">
        <f>IF(Process_Steps[[#This Row],[Real or Virtual?]]="Real",SUMIFS(Table_Process_Details[RV GWP (kg CO2 equiv.) per kg API],Table_Process_Details[Step Name],Process_Steps[[#This Row],[Name]]),NA())</f>
        <v>#N/A</v>
      </c>
      <c r="BL8" s="20" t="e">
        <f>IF(Process_Steps[[#This Row],[Real or Virtual?]]="Real",SUMIFS(Table_Process_Details[RV GWP (kg CO2 equiv.) per kg API (REAGENT)],Table_Process_Details[Step Name],Process_Steps[[#This Row],[Name]]),NA())</f>
        <v>#N/A</v>
      </c>
      <c r="BM8" s="20" t="e">
        <f>IF(Process_Steps[[#This Row],[Real or Virtual?]]="Real",SUMIFS(Table_Process_Details[RV GWP (kg CO2 equiv.) per kg API (METAL)],Table_Process_Details[Step Name],Process_Steps[[#This Row],[Name]]),NA())</f>
        <v>#N/A</v>
      </c>
      <c r="BN8" s="20" t="e">
        <f>IF(Process_Steps[[#This Row],[Real or Virtual?]]="Real",SUMIFS(Table_Process_Details[RV GWP (kg CO2 equiv.) per kg API (SOLVENT)],Table_Process_Details[Step Name],Process_Steps[[#This Row],[Name]]),NA())</f>
        <v>#N/A</v>
      </c>
      <c r="BO8" s="20" t="e">
        <f>IF(Process_Steps[[#This Row],[Real or Virtual?]]="Real",SUMIFS(Table_Process_Details[RV GWP (kg CO2 equiv.) per kg API (WATER)],Table_Process_Details[Step Name],Process_Steps[[#This Row],[Name]]),NA())</f>
        <v>#N/A</v>
      </c>
      <c r="BP8" s="20" t="e">
        <f>IF(Process_Steps[[#This Row],[Real or Virtual?]]="Real",SUMIFS(Table_Process_Details[RV GWP (kg CO2 equiv.) per kg API (ENZ&amp;PLNT)],Table_Process_Details[Step Name],Process_Steps[[#This Row],[Name]]),NA())</f>
        <v>#N/A</v>
      </c>
      <c r="BQ8" s="20" t="e">
        <f>IF(Process_Steps[[#This Row],[Real or Virtual?]]="Real",SUMIFS(Table_Process_Details[RV GWP (kg CO2 equiv.) per kg API (OTHER)],Table_Process_Details[Step Name],Process_Steps[[#This Row],[Name]]),NA())</f>
        <v>#N/A</v>
      </c>
      <c r="BR8" s="23" t="str">
        <f ca="1">INDEX(Process_Steps[Name if Real],MATCH(Process_Steps[[#This Row],['[RV Step GWP (kg CO2 equiv.) per kg API'] of Each Step Sorted by '[RV Step GWP (kg CO2 equiv.) per kg API']]],Process_Steps[RV Step GWP (kg CO2 equiv.) per kg API],0))</f>
        <v>3) Synthesis of Intermediate (3)</v>
      </c>
      <c r="BS8" s="23" cm="1">
        <f t="array" aca="1" ref="BS8" ca="1">IF(LARGE(_xlfn.IFNA(Process_Steps[RV Step GWP (kg CO2 equiv.) per kg API],0),Process_Steps[[#This Row],[Table Row]])=0,NA(),LARGE(_xlfn.IFNA(Process_Steps[RV Step GWP (kg CO2 equiv.) per kg API],0),Process_Steps[[#This Row],[Table Row]]))</f>
        <v>46.711228243892393</v>
      </c>
      <c r="BT8" s="23">
        <f ca="1">SUM(OFFSET(Process_Steps['[RV Step GWP (kg CO2 equiv.) per kg API'] of Each Step Sorted by '[RV Step GWP (kg CO2 equiv.) per kg API']],0,0,Process_Steps[[#This Row],[Table Row]]))</f>
        <v>100.62055515104078</v>
      </c>
      <c r="BU8" s="23" t="str">
        <f ca="1">"("&amp;TEXT(Process_Steps[[#This Row],['[RV Step GWP (kg CO2 equiv.) per kg API'] of Each Step Sorted by '[RV Step GWP (kg CO2 equiv.) per kg API']]]/SUMIF(Process_Steps['[RV Step GWP (kg CO2 equiv.) per kg API'] of Each Step Sorted by '[RV Step GWP (kg CO2 equiv.) per kg API']],"&lt;&gt;#N/A"),"0%")&amp;")"</f>
        <v>(30%)</v>
      </c>
      <c r="BV8" s="23">
        <f ca="1">INDEX(Process_Steps[RV Step GWP (kg CO2 equiv.) per kg API (REAGENT)],MATCH(Process_Steps[[#This Row],[Steps Sorted by '[RV Step GWP (kg CO2 equiv.) per kg API']]],Process_Steps[Name],0))</f>
        <v>27.452927634606134</v>
      </c>
      <c r="BW8" s="23">
        <f ca="1">INDEX(Process_Steps[RV Step GWP (kg CO2 equiv.) per kg API (METAL)],MATCH(Process_Steps[[#This Row],[Steps Sorted by '[RV Step GWP (kg CO2 equiv.) per kg API']]],Process_Steps[Name],0))</f>
        <v>0</v>
      </c>
      <c r="BX8" s="23">
        <f ca="1">INDEX(Process_Steps[RV Step GWP (kg CO2 equiv.) per kg API (SOLVENT)],MATCH(Process_Steps[[#This Row],[Steps Sorted by '[RV Step GWP (kg CO2 equiv.) per kg API']]],Process_Steps[Name],0))</f>
        <v>19.247116076344426</v>
      </c>
      <c r="BY8" s="23">
        <f ca="1">INDEX(Process_Steps[RV Step GWP (kg CO2 equiv.) per kg API (WATER)],MATCH(Process_Steps[[#This Row],[Steps Sorted by '[RV Step GWP (kg CO2 equiv.) per kg API']]],Process_Steps[Name],0))</f>
        <v>1.1184532941824272E-2</v>
      </c>
      <c r="BZ8" s="23">
        <f ca="1">INDEX(Process_Steps[RV Step GWP (kg CO2 equiv.) per kg API (ENZ&amp;PLNT)],MATCH(Process_Steps[[#This Row],[Steps Sorted by '[RV Step GWP (kg CO2 equiv.) per kg API']]],Process_Steps[Name],0))</f>
        <v>0</v>
      </c>
      <c r="CA8" s="23">
        <f ca="1">INDEX(Process_Steps[RV Step GWP (kg CO2 equiv.) per kg API (OTHER)],MATCH(Process_Steps[[#This Row],[Steps Sorted by '[RV Step GWP (kg CO2 equiv.) per kg API']]],Process_Steps[Name],0))</f>
        <v>0</v>
      </c>
      <c r="CB8" s="118" t="e">
        <f>IF(Process_Steps[[#This Row],[Real or Virtual?]]="Real",SUMIFS(Table_Process_Details[RV Acidification (kg SO2 equiv.) per kg API],Table_Process_Details[Step Name],Process_Steps[[#This Row],[Name]]),NA())</f>
        <v>#N/A</v>
      </c>
      <c r="CC8" s="20" t="e">
        <f>IF(Process_Steps[[#This Row],[Real or Virtual?]]="Real",SUMIFS(Table_Process_Details[RV Acidification (kg SO2 equiv.) per kg API (REAGENT)],Table_Process_Details[Step Name],Process_Steps[[#This Row],[Name]]),NA())</f>
        <v>#N/A</v>
      </c>
      <c r="CD8" s="20" t="e">
        <f>IF(Process_Steps[[#This Row],[Real or Virtual?]]="Real",SUMIFS(Table_Process_Details[RV Acidification (kg SO2 equiv.) per kg API (METAL)],Table_Process_Details[Step Name],Process_Steps[[#This Row],[Name]]),NA())</f>
        <v>#N/A</v>
      </c>
      <c r="CE8" s="20" t="e">
        <f>IF(Process_Steps[[#This Row],[Real or Virtual?]]="Real",SUMIFS(Table_Process_Details[RV Acidification (kg SO2 equiv.) per kg API (SOLVENT)],Table_Process_Details[Step Name],Process_Steps[[#This Row],[Name]]),NA())</f>
        <v>#N/A</v>
      </c>
      <c r="CF8" s="20" t="e">
        <f>IF(Process_Steps[[#This Row],[Real or Virtual?]]="Real",SUMIFS(Table_Process_Details[RV Acidification (kg SO2 equiv.) per kg API (WATER)],Table_Process_Details[Step Name],Process_Steps[[#This Row],[Name]]),NA())</f>
        <v>#N/A</v>
      </c>
      <c r="CG8" s="20" t="e">
        <f>IF(Process_Steps[[#This Row],[Real or Virtual?]]="Real",SUMIFS(Table_Process_Details[RV Acidification (kg SO2 equiv.) per kg API (ENZ&amp;PLNT)],Table_Process_Details[Step Name],Process_Steps[[#This Row],[Name]]),NA())</f>
        <v>#N/A</v>
      </c>
      <c r="CH8" s="20" t="e">
        <f>IF(Process_Steps[[#This Row],[Real or Virtual?]]="Real",SUMIFS(Table_Process_Details[RV Acidification (kg SO2 equiv.) per kg API (OTHER)],Table_Process_Details[Step Name],Process_Steps[[#This Row],[Name]]),NA())</f>
        <v>#N/A</v>
      </c>
      <c r="CI8" s="23" t="str">
        <f ca="1">INDEX(Process_Steps[Name if Real],MATCH(Process_Steps[[#This Row],['[RV Step Acidification (kg SO2 equiv.) per kg API'] of Each Step Sorted by '[RV Step Acidification (kg SO2 equiv.) per kg API']]],Process_Steps[RV Step Acidification (kg SO2 equiv.) per kg API],0))</f>
        <v>3) Synthesis of Intermediate (3)</v>
      </c>
      <c r="CJ8" s="23" cm="1">
        <f t="array" aca="1" ref="CJ8" ca="1">IF(LARGE(_xlfn.IFNA(Process_Steps[RV Step Acidification (kg SO2 equiv.) per kg API],0),Process_Steps[[#This Row],[Table Row]])=0,NA(),LARGE(_xlfn.IFNA(Process_Steps[RV Step Acidification (kg SO2 equiv.) per kg API],0),Process_Steps[[#This Row],[Table Row]]))</f>
        <v>0.18376335119880077</v>
      </c>
      <c r="CK8" s="23">
        <f ca="1">SUM(OFFSET(Process_Steps['[RV Step Acidification (kg SO2 equiv.) per kg API'] of Each Step Sorted by '[RV Step Acidification (kg SO2 equiv.) per kg API']],0,0,Process_Steps[[#This Row],[Table Row]]))</f>
        <v>0.38015943838641364</v>
      </c>
      <c r="CL8"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(28%)</v>
      </c>
      <c r="CM8" s="23">
        <f ca="1">INDEX(Process_Steps[RV Step Acidification (kg SO2 equiv.) per kg API (REAGENT)],MATCH(Process_Steps[[#This Row],[Steps Sorted by '[RV Step Acidification (kg SO2 equiv.) per kg API']]],Process_Steps[Name],0))</f>
        <v>0.1174008961978827</v>
      </c>
      <c r="CN8" s="23">
        <f ca="1">INDEX(Process_Steps[RV Step Acidification (kg SO2 equiv.) per kg API (METAL)],MATCH(Process_Steps[[#This Row],[Steps Sorted by '[RV Step Acidification (kg SO2 equiv.) per kg API']]],Process_Steps[Name],0))</f>
        <v>0</v>
      </c>
      <c r="CO8" s="23">
        <f ca="1">INDEX(Process_Steps[RV Step Acidification (kg SO2 equiv.) per kg API (SOLVENT)],MATCH(Process_Steps[[#This Row],[Steps Sorted by '[RV Step Acidification (kg SO2 equiv.) per kg API']]],Process_Steps[Name],0))</f>
        <v>6.6319605652413779E-2</v>
      </c>
      <c r="CP8" s="23">
        <f ca="1">INDEX(Process_Steps[RV Step Acidification (kg SO2 equiv.) per kg API (WATER)],MATCH(Process_Steps[[#This Row],[Steps Sorted by '[RV Step Acidification (kg SO2 equiv.) per kg API']]],Process_Steps[Name],0))</f>
        <v>4.284934850431303E-5</v>
      </c>
      <c r="CQ8" s="23">
        <f ca="1">INDEX(Process_Steps[RV Step Acidification (kg SO2 equiv.) per kg API (ENZ&amp;PLNT)],MATCH(Process_Steps[[#This Row],[Steps Sorted by '[RV Step Acidification (kg SO2 equiv.) per kg API']]],Process_Steps[Name],0))</f>
        <v>0</v>
      </c>
      <c r="CR8" s="23">
        <f ca="1">INDEX(Process_Steps[RV Step Acidification (kg SO2 equiv.) per kg API (OTHER)],MATCH(Process_Steps[[#This Row],[Steps Sorted by '[RV Step Acidification (kg SO2 equiv.) per kg API']]],Process_Steps[Name],0))</f>
        <v>0</v>
      </c>
      <c r="CS8" s="118" t="e">
        <f>IF(Process_Steps[[#This Row],[Real or Virtual?]]="Real",SUMIFS(Table_Process_Details[RV Eutrophication (kg phosphate equiv.) per kg API],Table_Process_Details[Step Name],Process_Steps[[#This Row],[Name]]),NA())</f>
        <v>#N/A</v>
      </c>
      <c r="CT8" s="20" t="e">
        <f>IF(Process_Steps[[#This Row],[Real or Virtual?]]="Real",SUMIFS(Table_Process_Details[RV Eutrophication (kg phosphate equiv.) per kg API (REAGENT)],Table_Process_Details[Step Name],Process_Steps[[#This Row],[Name]]),NA())</f>
        <v>#N/A</v>
      </c>
      <c r="CU8" s="20" t="e">
        <f>IF(Process_Steps[[#This Row],[Real or Virtual?]]="Real",SUMIFS(Table_Process_Details[RV Eutrophication (kg phosphate equiv.) per kg API (METAL)],Table_Process_Details[Step Name],Process_Steps[[#This Row],[Name]]),NA())</f>
        <v>#N/A</v>
      </c>
      <c r="CV8" s="20" t="e">
        <f>IF(Process_Steps[[#This Row],[Real or Virtual?]]="Real",SUMIFS(Table_Process_Details[RV Eutrophication (kg phosphate equiv.) per kg API (SOLVENT)],Table_Process_Details[Step Name],Process_Steps[[#This Row],[Name]]),NA())</f>
        <v>#N/A</v>
      </c>
      <c r="CW8" s="20" t="e">
        <f>IF(Process_Steps[[#This Row],[Real or Virtual?]]="Real",SUMIFS(Table_Process_Details[RV Eutrophication (kg phosphate equiv.) per kg API (WATER)],Table_Process_Details[Step Name],Process_Steps[[#This Row],[Name]]),NA())</f>
        <v>#N/A</v>
      </c>
      <c r="CX8" s="20" t="e">
        <f>IF(Process_Steps[[#This Row],[Real or Virtual?]]="Real",SUMIFS(Table_Process_Details[RV Eutrophication (kg phosphate equiv.) per kg API (ENZ&amp;PLNT)],Table_Process_Details[Step Name],Process_Steps[[#This Row],[Name]]),NA())</f>
        <v>#N/A</v>
      </c>
      <c r="CY8" s="20" t="e">
        <f>IF(Process_Steps[[#This Row],[Real or Virtual?]]="Real",SUMIFS(Table_Process_Details[RV Eutrophication (kg phosphate equiv.) per kg API (OTHER)],Table_Process_Details[Step Name],Process_Steps[[#This Row],[Name]]),NA())</f>
        <v>#N/A</v>
      </c>
      <c r="CZ8" s="23" t="str">
        <f ca="1">INDEX(Process_Steps[Name if Real],MATCH(Process_Steps[[#This Row],['[RV Step Eutrophication (kg phosphate equiv.) per kg API'] of Each Step Sorted by '[RV Step Eutrophication (kg phosphate equiv.) per kg API']]],Process_Steps[RV Step Eutrophication (kg posphate equiv.) per kg API],0))</f>
        <v>1f) Virtual solution prep for (1) and (3): 20 wt% reagent D (organic) in DMF</v>
      </c>
      <c r="DA8" s="23" cm="1">
        <f t="array" aca="1" ref="DA8" ca="1">IF(LARGE(_xlfn.IFNA(Process_Steps[RV Step Eutrophication (kg posphate equiv.) per kg API],0),Process_Steps[[#This Row],[Table Row]])=0,NA(),LARGE(_xlfn.IFNA(Process_Steps[RV Step Eutrophication (kg posphate equiv.) per kg API],0),Process_Steps[[#This Row],[Table Row]]))</f>
        <v>0.44449484357815799</v>
      </c>
      <c r="DB8" s="23">
        <f ca="1">SUM(OFFSET(Process_Steps['[RV Step Eutrophication (kg phosphate equiv.) per kg API'] of Each Step Sorted by '[RV Step Eutrophication (kg phosphate equiv.) per kg API']],0,0,Process_Steps[[#This Row],[Table Row]]))</f>
        <v>0.98087475919040212</v>
      </c>
      <c r="DC8"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(32%)</v>
      </c>
      <c r="DD8" s="23">
        <f ca="1">INDEX(Process_Steps[RV Step Eutrophication (kg posphate equiv.) per kg API (REAGENT)],MATCH(Process_Steps[[#This Row],[Steps Sorted by '[RV Step Eutrophication (kg phosphate equiv.) per kg API']]],Process_Steps[Name],0))</f>
        <v>1.0962394032659225E-2</v>
      </c>
      <c r="DE8" s="23">
        <f ca="1">INDEX(Process_Steps[RV Step Eutrophication (kg posphate equiv.) per kg API (METAL)],MATCH(Process_Steps[[#This Row],[Steps Sorted by '[RV Step Eutrophication (kg phosphate equiv.) per kg API']]],Process_Steps[Name],0))</f>
        <v>0</v>
      </c>
      <c r="DF8" s="23">
        <f ca="1">INDEX(Process_Steps[RV Step Eutrophication (kg posphate equiv.) per kg API (SOLVENT)],MATCH(Process_Steps[[#This Row],[Steps Sorted by '[RV Step Eutrophication (kg phosphate equiv.) per kg API']]],Process_Steps[Name],0))</f>
        <v>0.43353244954549874</v>
      </c>
      <c r="DG8" s="23">
        <f ca="1">INDEX(Process_Steps[RV Step Eutrophication (kg posphate equiv.) per kg API (WATER)],MATCH(Process_Steps[[#This Row],[Steps Sorted by '[RV Step Eutrophication (kg phosphate equiv.) per kg API']]],Process_Steps[Name],0))</f>
        <v>0</v>
      </c>
      <c r="DH8" s="23">
        <f ca="1">INDEX(Process_Steps[RV Step Eutrophication (kg posphate equiv.) per kg API (ENZ&amp;PLNT)],MATCH(Process_Steps[[#This Row],[Steps Sorted by '[RV Step Eutrophication (kg phosphate equiv.) per kg API']]],Process_Steps[Name],0))</f>
        <v>0</v>
      </c>
      <c r="DI8" s="23">
        <f ca="1">INDEX(Process_Steps[RV Step Eutrophication (kg posphate equiv.) per kg API (OTHER)],MATCH(Process_Steps[[#This Row],[Steps Sorted by '[RV Step Eutrophication (kg phosphate equiv.) per kg API']]],Process_Steps[Name],0))</f>
        <v>0</v>
      </c>
      <c r="DJ8" s="118" t="e">
        <f>IF(Process_Steps[[#This Row],[Real or Virtual?]]="Real",SUMIFS(Table_Process_Details[RV Water (kg) per kg API],Table_Process_Details[Step Name],Process_Steps[[#This Row],[Name]]),NA())</f>
        <v>#N/A</v>
      </c>
      <c r="DK8" s="20" t="e">
        <f>IF(Process_Steps[[#This Row],[Real or Virtual?]]="Real",SUMIFS(Table_Process_Details[RV Water (kg) per kg API (REAGENT)],Table_Process_Details[Step Name],Process_Steps[[#This Row],[Name]]),NA())</f>
        <v>#N/A</v>
      </c>
      <c r="DL8" s="20" t="e">
        <f>IF(Process_Steps[[#This Row],[Real or Virtual?]]="Real",SUMIFS(Table_Process_Details[RV Water (kg) per kg API (METAL)],Table_Process_Details[Step Name],Process_Steps[[#This Row],[Name]]),NA())</f>
        <v>#N/A</v>
      </c>
      <c r="DM8" s="20" t="e">
        <f>IF(Process_Steps[[#This Row],[Real or Virtual?]]="Real",SUMIFS(Table_Process_Details[RV Water (kg) per kg API (SOLVENT)],Table_Process_Details[Step Name],Process_Steps[[#This Row],[Name]]),NA())</f>
        <v>#N/A</v>
      </c>
      <c r="DN8" s="20" t="e">
        <f>IF(Process_Steps[[#This Row],[Real or Virtual?]]="Real",SUMIFS(Table_Process_Details[RV Water (kg) per kg API (WATER)],Table_Process_Details[Step Name],Process_Steps[[#This Row],[Name]]),NA())</f>
        <v>#N/A</v>
      </c>
      <c r="DO8" s="20" t="e">
        <f>IF(Process_Steps[[#This Row],[Real or Virtual?]]="Real",SUMIFS(Table_Process_Details[RV Water (kg) per kg API (ENZ&amp;PLNT)],Table_Process_Details[Step Name],Process_Steps[[#This Row],[Name]]),NA())</f>
        <v>#N/A</v>
      </c>
      <c r="DP8" s="20" t="e">
        <f>IF(Process_Steps[[#This Row],[Real or Virtual?]]="Real",SUMIFS(Table_Process_Details[RV Water (kg) per kg API (OTHER)],Table_Process_Details[Step Name],Process_Steps[[#This Row],[Name]]),NA())</f>
        <v>#N/A</v>
      </c>
      <c r="DQ8" s="23" t="str">
        <f ca="1">INDEX(Process_Steps[Name if Real],MATCH(Process_Steps[[#This Row],['[RV Step Water (kg) per kg API'] of Each Step Sorted by '[RV Step Water (kg) per kg API']]],Process_Steps[RV Step Water (kg) per kg API],0))</f>
        <v>3) Synthesis of Intermediate (3)</v>
      </c>
      <c r="DR8" s="23" cm="1">
        <f t="array" aca="1" ref="DR8" ca="1">IF(LARGE(_xlfn.IFNA(Process_Steps[RV Step Water (kg) per kg API],0),Process_Steps[[#This Row],[Table Row]])=0,NA(),LARGE(_xlfn.IFNA(Process_Steps[RV Step Water (kg) per kg API],0),Process_Steps[[#This Row],[Table Row]]))</f>
        <v>222.39994815541937</v>
      </c>
      <c r="DS8" s="23">
        <f ca="1">SUM(OFFSET(Process_Steps['[RV Step Water (kg) per kg API'] of Each Step Sorted by '[RV Step Water (kg) per kg API']],0,0,Process_Steps[[#This Row],[Table Row]]))</f>
        <v>626.50548101601294</v>
      </c>
      <c r="DT8" s="23" t="str">
        <f ca="1">"("&amp;TEXT(Process_Steps[[#This Row],['[RV Step Water (kg) per kg API'] of Each Step Sorted by '[RV Step Water (kg) per kg API']]]/SUMIF(Process_Steps['[RV Step Water (kg) per kg API'] of Each Step Sorted by '[RV Step Water (kg) per kg API']],"&lt;&gt;#N/A"),"0%")&amp;")"</f>
        <v>(25%)</v>
      </c>
      <c r="DU8" s="23">
        <f ca="1">INDEX(Process_Steps[RV Step Water (kg) per kg API (REAGENT)],MATCH(Process_Steps[[#This Row],[Steps Sorted by '[RV Step Water (kg) per kg API']]],Process_Steps[Name],0))</f>
        <v>153.72237003099235</v>
      </c>
      <c r="DV8" s="23">
        <f ca="1">INDEX(Process_Steps[RV Step Water (kg) per kg API (METAL)],MATCH(Process_Steps[[#This Row],[Steps Sorted by '[RV Step Water (kg) per kg API']]],Process_Steps[Name],0))</f>
        <v>0</v>
      </c>
      <c r="DW8" s="23">
        <f ca="1">INDEX(Process_Steps[RV Step Water (kg) per kg API (SOLVENT)],MATCH(Process_Steps[[#This Row],[Steps Sorted by '[RV Step Water (kg) per kg API']]],Process_Steps[Name],0))</f>
        <v>54.766595191778713</v>
      </c>
      <c r="DX8" s="23">
        <f ca="1">INDEX(Process_Steps[RV Step Water (kg) per kg API (WATER)],MATCH(Process_Steps[[#This Row],[Steps Sorted by '[RV Step Water (kg) per kg API']]],Process_Steps[Name],0))</f>
        <v>13.910982932648295</v>
      </c>
      <c r="DY8" s="23">
        <f ca="1">INDEX(Process_Steps[RV Step Water (kg) per kg API (ENZ&amp;PLNT)],MATCH(Process_Steps[[#This Row],[Steps Sorted by '[RV Step Water (kg) per kg API']]],Process_Steps[Name],0))</f>
        <v>0</v>
      </c>
      <c r="DZ8" s="23">
        <f ca="1">INDEX(Process_Steps[RV Step Water (kg) per kg API (OTHER)],MATCH(Process_Steps[[#This Row],[Steps Sorted by '[RV Step Water (kg) per kg API']]],Process_Steps[Name],0))</f>
        <v>0</v>
      </c>
    </row>
    <row r="9" spans="1:130" x14ac:dyDescent="0.25">
      <c r="A9" t="s">
        <v>776</v>
      </c>
      <c r="B9" t="s">
        <v>175</v>
      </c>
      <c r="C9" t="s">
        <v>777</v>
      </c>
      <c r="D9" t="s">
        <v>842</v>
      </c>
      <c r="F9" s="25">
        <f>INDEX(Table_Process_Details[Physical Mass (kg)],MATCH(1,INDEX((Process_Steps[[#This Row],[Name]]=Table_Process_Details[Step Name])*(Table_Process_Details[Input or Output]="Output"),0),0))</f>
        <v>100</v>
      </c>
      <c r="G9" s="25" cm="1">
        <f t="array" aca="1" ref="G9"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1.1184164089156934</v>
      </c>
      <c r="H9" s="28">
        <f ca="1">Process_Steps[[#This Row],[Total Mass that must be produced]]/Process_Steps[[#This Row],[Unscaled Step Product Mass]]</f>
        <v>1.1184164089156933E-2</v>
      </c>
      <c r="I9" s="23" t="e">
        <f>IF(Process_Steps[[#This Row],[Real or Virtual?]]="Real",Process_Steps[[#This Row],[Name]],NA())</f>
        <v>#N/A</v>
      </c>
      <c r="J9" s="30">
        <f>ROW()-ROW(Process_Steps[[#Headers],[Table Row]])</f>
        <v>3</v>
      </c>
      <c r="K9"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9" s="118" t="e">
        <f>IF(Process_Steps[[#This Row],[Real or Virtual?]]="Real",SUMIFS(Table_Process_Details[RV Physical Mass per kg API],Table_Process_Details[Input or Output],"Input",Table_Process_Details[Step Name],Process_Steps[[#This Row],[Name]]),NA())</f>
        <v>#N/A</v>
      </c>
      <c r="M9" s="20" t="e">
        <f>IF(Process_Steps[[#This Row],[Real or Virtual?]]="Real",SUMIFS(Table_Process_Details[RV Physical Mass per kg API (REAGENT)],Table_Process_Details[Input or Output],"Input",Table_Process_Details[Step Name],Process_Steps[[#This Row],[Name]]),NA())</f>
        <v>#N/A</v>
      </c>
      <c r="N9" s="20" t="e">
        <f>IF(Process_Steps[[#This Row],[Real or Virtual?]]="Real",SUMIFS(Table_Process_Details[RV Physical Mass per kg API (METAL)],Table_Process_Details[Input or Output],"Input",Table_Process_Details[Step Name],Process_Steps[[#This Row],[Name]]),NA())</f>
        <v>#N/A</v>
      </c>
      <c r="O9" s="20" t="e">
        <f>IF(Process_Steps[[#This Row],[Real or Virtual?]]="Real",SUMIFS(Table_Process_Details[RV Physical Mass per kg API (SOLVENT)],Table_Process_Details[Input or Output],"Input",Table_Process_Details[Step Name],Process_Steps[[#This Row],[Name]]),NA())</f>
        <v>#N/A</v>
      </c>
      <c r="P9" s="20" t="e">
        <f>IF(Process_Steps[[#This Row],[Real or Virtual?]]="Real",SUMIFS(Table_Process_Details[RV Physical Mass per kg API (WATER)],Table_Process_Details[Input or Output],"Input",Table_Process_Details[Step Name],Process_Steps[[#This Row],[Name]]),NA())</f>
        <v>#N/A</v>
      </c>
      <c r="Q9" s="20" t="e">
        <f>IF(Process_Steps[[#This Row],[Real or Virtual?]]="Real",SUMIFS(Table_Process_Details[RV Physical Mass per kg API (ENZ&amp;PLNT)],Table_Process_Details[Input or Output],"Input",Table_Process_Details[Step Name],Process_Steps[[#This Row],[Name]]),NA())</f>
        <v>#N/A</v>
      </c>
      <c r="R9" s="20" t="e">
        <f>IF(Process_Steps[[#This Row],[Real or Virtual?]]="Real",SUMIFS(Table_Process_Details[RV Physical Mass per kg API (OTHER)],Table_Process_Details[Input or Output],"Input",Table_Process_Details[Step Name],Process_Steps[[#This Row],[Name]]),NA())</f>
        <v>#N/A</v>
      </c>
      <c r="S9" s="118" t="str">
        <f ca="1">INDEX(Process_Steps[Name if Real],MATCH(Process_Steps[[#This Row],['[RV Step PMI per kg API'] of Each Step Sorted by '[RV Step PMI per kg API']]],Process_Steps[RV Step PMI per kg API],0))</f>
        <v>3) Synthesis of Intermediate (3)</v>
      </c>
      <c r="T9" s="118" cm="1">
        <f t="array" aca="1" ref="T9" ca="1">IF(LARGE(_xlfn.IFNA(Process_Steps[RV Step PMI per kg API],0),Process_Steps[[#This Row],[Table Row]])=0,NA(),LARGE(_xlfn.IFNA(Process_Steps[RV Step PMI per kg API],0),Process_Steps[[#This Row],[Table Row]]))</f>
        <v>33.033584143879857</v>
      </c>
      <c r="U9" s="118">
        <f ca="1">SUM(OFFSET(Process_Steps['[RV Step PMI per kg API'] of Each Step Sorted by '[RV Step PMI per kg API']],0,0,Process_Steps[[#This Row],[Table Row]]))</f>
        <v>112.77410167003148</v>
      </c>
      <c r="V9" s="118" t="str">
        <f ca="1">"("&amp;TEXT(Process_Steps[[#This Row],['[RV Step PMI per kg API'] of Each Step Sorted by '[RV Step PMI per kg API']]]/SUMIF(Process_Steps['[RV Step PMI per kg API'] of Each Step Sorted by '[RV Step PMI per kg API']],"&lt;&gt;#N/A"),"0%")&amp;")"</f>
        <v>(22%)</v>
      </c>
      <c r="W9" s="23">
        <f ca="1">INDEX(Process_Steps[RV Step PMI per kg API (REAGENT)],MATCH(Process_Steps[[#This Row],[Steps Sorted by '[RV Step PMI per kg API']]],Process_Steps[Name],0))</f>
        <v>10.460634978895289</v>
      </c>
      <c r="X9" s="23">
        <f ca="1">INDEX(Process_Steps[RV Step PMI per kg API (METAL)],MATCH(Process_Steps[[#This Row],[Steps Sorted by '[RV Step PMI per kg API']]],Process_Steps[Name],0))</f>
        <v>0</v>
      </c>
      <c r="Y9" s="23">
        <f ca="1">INDEX(Process_Steps[RV Step PMI per kg API (SOLVENT)],MATCH(Process_Steps[[#This Row],[Steps Sorted by '[RV Step PMI per kg API']]],Process_Steps[Name],0))</f>
        <v>11.561754450357949</v>
      </c>
      <c r="Z9" s="23">
        <f ca="1">INDEX(Process_Steps[RV Step PMI per kg API (WATER)],MATCH(Process_Steps[[#This Row],[Steps Sorted by '[RV Step PMI per kg API']]],Process_Steps[Name],0))</f>
        <v>11.011194714626619</v>
      </c>
      <c r="AA9" s="23">
        <f ca="1">INDEX(Process_Steps[RV Step PMI per kg API (ENZ&amp;PLNT)],MATCH(Process_Steps[[#This Row],[Steps Sorted by '[RV Step PMI per kg API']]],Process_Steps[Name],0))</f>
        <v>0</v>
      </c>
      <c r="AB9" s="23">
        <f ca="1">INDEX(Process_Steps[RV Step PMI per kg API (OTHER)],MATCH(Process_Steps[[#This Row],[Steps Sorted by '[RV Step PMI per kg API']]],Process_Steps[Name],0))</f>
        <v>0</v>
      </c>
      <c r="AC9" s="118" t="e">
        <f>IF(Process_Steps[[#This Row],[Real or Virtual?]]="Real",SUMIFS(Table_Process_Details[RV Mass Net (kg) per kg API],Table_Process_Details[Step Name],Process_Steps[[#This Row],[Name]]),NA())</f>
        <v>#N/A</v>
      </c>
      <c r="AD9" s="20" t="e">
        <f>IF(Process_Steps[[#This Row],[Real or Virtual?]]="Real",SUMIFS(Table_Process_Details[RV Mass Net (kg) per kg API (REAGENT)],Table_Process_Details[Step Name],Process_Steps[[#This Row],[Name]]),NA())</f>
        <v>#N/A</v>
      </c>
      <c r="AE9" s="20" t="e">
        <f>IF(Process_Steps[[#This Row],[Real or Virtual?]]="Real",SUMIFS(Table_Process_Details[RV Mass Net (kg) per kg API (METAL)],Table_Process_Details[Step Name],Process_Steps[[#This Row],[Name]]),NA())</f>
        <v>#N/A</v>
      </c>
      <c r="AF9" s="20" t="e">
        <f>IF(Process_Steps[[#This Row],[Real or Virtual?]]="Real",SUMIFS(Table_Process_Details[RV Mass Net (kg) per kg API (SOLVENT)],Table_Process_Details[Step Name],Process_Steps[[#This Row],[Name]]),NA())</f>
        <v>#N/A</v>
      </c>
      <c r="AG9" s="20" t="e">
        <f>IF(Process_Steps[[#This Row],[Real or Virtual?]]="Real",SUMIFS(Table_Process_Details[RV Mass Net (kg) per kg API (WATER)],Table_Process_Details[Step Name],Process_Steps[[#This Row],[Name]]),NA())</f>
        <v>#N/A</v>
      </c>
      <c r="AH9" s="20" t="e">
        <f>IF(Process_Steps[[#This Row],[Real or Virtual?]]="Real",SUMIFS(Table_Process_Details[RV Mass Net (kg) per kg API (ENZ&amp;PLNT)],Table_Process_Details[Step Name],Process_Steps[[#This Row],[Name]]),NA())</f>
        <v>#N/A</v>
      </c>
      <c r="AI9" s="20" t="e">
        <f>IF(Process_Steps[[#This Row],[Real or Virtual?]]="Real",SUMIFS(Table_Process_Details[RV Mass Net (kg) per kg API (OTHER)],Table_Process_Details[Step Name],Process_Steps[[#This Row],[Name]]),NA())</f>
        <v>#N/A</v>
      </c>
      <c r="AJ9" s="23" t="str">
        <f ca="1">INDEX(Process_Steps[Name if Real],MATCH(Process_Steps[[#This Row],['[RV Step Mass Net (kg) per kg API'] of Each Step Sorted by '[RV Step Mass Net (kg) per kg API']]],Process_Steps[RV Step Mass Net (kg) per kg API],0))</f>
        <v>4) Synthesis of Intermediate (4)</v>
      </c>
      <c r="AK9" s="23" cm="1">
        <f t="array" aca="1" ref="AK9" ca="1">IF(LARGE(_xlfn.IFNA(Process_Steps[RV Step Mass Net (kg) per kg API],0),Process_Steps[[#This Row],[Table Row]])=0,NA(),LARGE(_xlfn.IFNA(Process_Steps[RV Step Mass Net (kg) per kg API],0),Process_Steps[[#This Row],[Table Row]]))</f>
        <v>19.189369584989308</v>
      </c>
      <c r="AL9" s="23">
        <f ca="1">SUM(OFFSET(Process_Steps['[RV Step Mass Net (kg) per kg API'] of Each Step Sorted by '[RV Step Mass Net (kg) per kg API']],0,0,Process_Steps[[#This Row],[Table Row]]))</f>
        <v>101.67051665817182</v>
      </c>
      <c r="AM9" s="23" t="str">
        <f ca="1">"("&amp;TEXT(Process_Steps[[#This Row],['[RV Step Mass Net (kg) per kg API'] of Each Step Sorted by '[RV Step Mass Net (kg) per kg API']]]/SUMIF(Process_Steps['[RV Step Mass Net (kg) per kg API'] of Each Step Sorted by '[RV Step Mass Net (kg) per kg API']],"&lt;&gt;#N/A"),"0%")&amp;")"</f>
        <v>(15%)</v>
      </c>
      <c r="AN9" s="23">
        <f ca="1">INDEX(Process_Steps[RV Step Mass Net (kg) per kg API (REAGENT)],MATCH(Process_Steps[[#This Row],[Steps Sorted by '[RV Step Mass Net (kg) per kg API']]],Process_Steps[Name],0))</f>
        <v>7.4901870531000636</v>
      </c>
      <c r="AO9" s="23">
        <f ca="1">INDEX(Process_Steps[RV Step Mass Net (kg) per kg API (METAL)],MATCH(Process_Steps[[#This Row],[Steps Sorted by '[RV Step Mass Net (kg) per kg API']]],Process_Steps[Name],0))</f>
        <v>0</v>
      </c>
      <c r="AP9" s="23">
        <f ca="1">INDEX(Process_Steps[RV Step Mass Net (kg) per kg API (SOLVENT)],MATCH(Process_Steps[[#This Row],[Steps Sorted by '[RV Step Mass Net (kg) per kg API']]],Process_Steps[Name],0))</f>
        <v>11.6515635602863</v>
      </c>
      <c r="AQ9" s="23">
        <f ca="1">INDEX(Process_Steps[RV Step Mass Net (kg) per kg API (WATER)],MATCH(Process_Steps[[#This Row],[Steps Sorted by '[RV Step Mass Net (kg) per kg API']]],Process_Steps[Name],0))</f>
        <v>4.761897160294274E-2</v>
      </c>
      <c r="AR9" s="23">
        <f ca="1">INDEX(Process_Steps[RV Step Mass Net (kg) per kg API (ENZ&amp;PLNT)],MATCH(Process_Steps[[#This Row],[Steps Sorted by '[RV Step Mass Net (kg) per kg API']]],Process_Steps[Name],0))</f>
        <v>0</v>
      </c>
      <c r="AS9" s="23">
        <f ca="1">INDEX(Process_Steps[RV Step Mass Net (kg) per kg API (OTHER)],MATCH(Process_Steps[[#This Row],[Steps Sorted by '[RV Step Mass Net (kg) per kg API']]],Process_Steps[Name],0))</f>
        <v>0</v>
      </c>
      <c r="AT9" s="118" t="e">
        <f>IF(Process_Steps[[#This Row],[Real or Virtual?]]="Real",SUMIFS(Table_Process_Details[RV Energy (MJ) per kg API],Table_Process_Details[Step Name],Process_Steps[[#This Row],[Name]]),NA())</f>
        <v>#N/A</v>
      </c>
      <c r="AU9" s="20" t="e">
        <f>IF(Process_Steps[[#This Row],[Real or Virtual?]]="Real",SUMIFS(Table_Process_Details[RV Energy (MJ) per kg API (REAGENT)],Table_Process_Details[Step Name],Process_Steps[[#This Row],[Name]]),NA())</f>
        <v>#N/A</v>
      </c>
      <c r="AV9" s="20" t="e">
        <f>IF(Process_Steps[[#This Row],[Real or Virtual?]]="Real",SUMIFS(Table_Process_Details[RV Energy (MJ) per kg API (METAL)],Table_Process_Details[Step Name],Process_Steps[[#This Row],[Name]]),NA())</f>
        <v>#N/A</v>
      </c>
      <c r="AW9" s="20" t="e">
        <f>IF(Process_Steps[[#This Row],[Real or Virtual?]]="Real",SUMIFS(Table_Process_Details[RV Energy (MJ) per kg API (SOLVENT)],Table_Process_Details[Step Name],Process_Steps[[#This Row],[Name]]),NA())</f>
        <v>#N/A</v>
      </c>
      <c r="AX9" s="20" t="e">
        <f>IF(Process_Steps[[#This Row],[Real or Virtual?]]="Real",SUMIFS(Table_Process_Details[RV Energy (MJ) per kg API (WATER)],Table_Process_Details[Step Name],Process_Steps[[#This Row],[Name]]),NA())</f>
        <v>#N/A</v>
      </c>
      <c r="AY9" s="20" t="e">
        <f>IF(Process_Steps[[#This Row],[Real or Virtual?]]="Real",SUMIFS(Table_Process_Details[RV Energy (MJ) per kg API (ENZ&amp;PLNT)],Table_Process_Details[Step Name],Process_Steps[[#This Row],[Name]]),NA())</f>
        <v>#N/A</v>
      </c>
      <c r="AZ9" s="20" t="e">
        <f>IF(Process_Steps[[#This Row],[Real or Virtual?]]="Real",SUMIFS(Table_Process_Details[RV Energy (MJ) per kg API (OTHER)],Table_Process_Details[Step Name],Process_Steps[[#This Row],[Name]]),NA())</f>
        <v>#N/A</v>
      </c>
      <c r="BA9" s="23" t="str">
        <f ca="1">INDEX(Process_Steps[Name if Real],MATCH(Process_Steps[[#This Row],['[RV Step Energy (MJ) per kg API'] of Each Step Sorted by '[RV Step Energy (MJ) per kg API']]],Process_Steps[RV Step Energy (MJ) per kg API],0))</f>
        <v>4) Synthesis of Intermediate (4)</v>
      </c>
      <c r="BB9" s="23" cm="1">
        <f t="array" aca="1" ref="BB9" ca="1">IF(LARGE(_xlfn.IFNA(Process_Steps[RV Step Energy (MJ) per kg API],0),Process_Steps[[#This Row],[Table Row]])=0,NA(),LARGE(_xlfn.IFNA(Process_Steps[RV Step Energy (MJ) per kg API],0),Process_Steps[[#This Row],[Table Row]]))</f>
        <v>620.49080190772293</v>
      </c>
      <c r="BC9" s="23">
        <f ca="1">SUM(OFFSET(Process_Steps['[RV Step Energy (MJ) per kg API'] of Each Step Sorted by '[RV Step Energy (MJ) per kg API']],0,0,Process_Steps[[#This Row],[Table Row]]))</f>
        <v>4107.647778465408</v>
      </c>
      <c r="BD9" s="23" t="str">
        <f ca="1">"("&amp;TEXT(Process_Steps[[#This Row],['[RV Step Energy (MJ) per kg API'] of Each Step Sorted by '[RV Step Energy (MJ) per kg API']]]/SUMIF(Process_Steps['[RV Step Energy (MJ) per kg API'] of Each Step Sorted by '[RV Step Energy (MJ) per kg API']],"&lt;&gt;#N/A"),"0%")&amp;")"</f>
        <v>(12%)</v>
      </c>
      <c r="BE9" s="23">
        <f ca="1">INDEX(Process_Steps[RV Step Energy (MJ) per kg API (REAGENT)],MATCH(Process_Steps[[#This Row],[Steps Sorted by '[RV Step Energy (MJ) per kg API']]],Process_Steps[Name],0))</f>
        <v>123.63398811573452</v>
      </c>
      <c r="BF9" s="23">
        <f ca="1">INDEX(Process_Steps[RV Step Energy (MJ) per kg API (METAL)],MATCH(Process_Steps[[#This Row],[Steps Sorted by '[RV Step Energy (MJ) per kg API']]],Process_Steps[Name],0))</f>
        <v>0</v>
      </c>
      <c r="BG9" s="23">
        <f ca="1">INDEX(Process_Steps[RV Step Energy (MJ) per kg API (SOLVENT)],MATCH(Process_Steps[[#This Row],[Steps Sorted by '[RV Step Energy (MJ) per kg API']]],Process_Steps[Name],0))</f>
        <v>496.26375878142818</v>
      </c>
      <c r="BH9" s="23">
        <f ca="1">INDEX(Process_Steps[RV Step Energy (MJ) per kg API (WATER)],MATCH(Process_Steps[[#This Row],[Steps Sorted by '[RV Step Energy (MJ) per kg API']]],Process_Steps[Name],0))</f>
        <v>0.59305501056021503</v>
      </c>
      <c r="BI9" s="23">
        <f ca="1">INDEX(Process_Steps[RV Step Energy (MJ) per kg API (ENZ&amp;PLNT)],MATCH(Process_Steps[[#This Row],[Steps Sorted by '[RV Step Energy (MJ) per kg API']]],Process_Steps[Name],0))</f>
        <v>0</v>
      </c>
      <c r="BJ9" s="23">
        <f ca="1">INDEX(Process_Steps[RV Step Energy (MJ) per kg API (OTHER)],MATCH(Process_Steps[[#This Row],[Steps Sorted by '[RV Step Energy (MJ) per kg API']]],Process_Steps[Name],0))</f>
        <v>0</v>
      </c>
      <c r="BK9" s="118" t="e">
        <f>IF(Process_Steps[[#This Row],[Real or Virtual?]]="Real",SUMIFS(Table_Process_Details[RV GWP (kg CO2 equiv.) per kg API],Table_Process_Details[Step Name],Process_Steps[[#This Row],[Name]]),NA())</f>
        <v>#N/A</v>
      </c>
      <c r="BL9" s="20" t="e">
        <f>IF(Process_Steps[[#This Row],[Real or Virtual?]]="Real",SUMIFS(Table_Process_Details[RV GWP (kg CO2 equiv.) per kg API (REAGENT)],Table_Process_Details[Step Name],Process_Steps[[#This Row],[Name]]),NA())</f>
        <v>#N/A</v>
      </c>
      <c r="BM9" s="20" t="e">
        <f>IF(Process_Steps[[#This Row],[Real or Virtual?]]="Real",SUMIFS(Table_Process_Details[RV GWP (kg CO2 equiv.) per kg API (METAL)],Table_Process_Details[Step Name],Process_Steps[[#This Row],[Name]]),NA())</f>
        <v>#N/A</v>
      </c>
      <c r="BN9" s="20" t="e">
        <f>IF(Process_Steps[[#This Row],[Real or Virtual?]]="Real",SUMIFS(Table_Process_Details[RV GWP (kg CO2 equiv.) per kg API (SOLVENT)],Table_Process_Details[Step Name],Process_Steps[[#This Row],[Name]]),NA())</f>
        <v>#N/A</v>
      </c>
      <c r="BO9" s="20" t="e">
        <f>IF(Process_Steps[[#This Row],[Real or Virtual?]]="Real",SUMIFS(Table_Process_Details[RV GWP (kg CO2 equiv.) per kg API (WATER)],Table_Process_Details[Step Name],Process_Steps[[#This Row],[Name]]),NA())</f>
        <v>#N/A</v>
      </c>
      <c r="BP9" s="20" t="e">
        <f>IF(Process_Steps[[#This Row],[Real or Virtual?]]="Real",SUMIFS(Table_Process_Details[RV GWP (kg CO2 equiv.) per kg API (ENZ&amp;PLNT)],Table_Process_Details[Step Name],Process_Steps[[#This Row],[Name]]),NA())</f>
        <v>#N/A</v>
      </c>
      <c r="BQ9" s="20" t="e">
        <f>IF(Process_Steps[[#This Row],[Real or Virtual?]]="Real",SUMIFS(Table_Process_Details[RV GWP (kg CO2 equiv.) per kg API (OTHER)],Table_Process_Details[Step Name],Process_Steps[[#This Row],[Name]]),NA())</f>
        <v>#N/A</v>
      </c>
      <c r="BR9" s="23" t="str">
        <f ca="1">INDEX(Process_Steps[Name if Real],MATCH(Process_Steps[[#This Row],['[RV Step GWP (kg CO2 equiv.) per kg API'] of Each Step Sorted by '[RV Step GWP (kg CO2 equiv.) per kg API']]],Process_Steps[RV Step GWP (kg CO2 equiv.) per kg API],0))</f>
        <v>4) Synthesis of Intermediate (4)</v>
      </c>
      <c r="BS9" s="23" cm="1">
        <f t="array" aca="1" ref="BS9" ca="1">IF(LARGE(_xlfn.IFNA(Process_Steps[RV Step GWP (kg CO2 equiv.) per kg API],0),Process_Steps[[#This Row],[Table Row]])=0,NA(),LARGE(_xlfn.IFNA(Process_Steps[RV Step GWP (kg CO2 equiv.) per kg API],0),Process_Steps[[#This Row],[Table Row]]))</f>
        <v>25.739380684742894</v>
      </c>
      <c r="BT9" s="23">
        <f ca="1">SUM(OFFSET(Process_Steps['[RV Step GWP (kg CO2 equiv.) per kg API'] of Each Step Sorted by '[RV Step GWP (kg CO2 equiv.) per kg API']],0,0,Process_Steps[[#This Row],[Table Row]]))</f>
        <v>126.35993583578367</v>
      </c>
      <c r="BU9" s="23" t="str">
        <f ca="1">"("&amp;TEXT(Process_Steps[[#This Row],['[RV Step GWP (kg CO2 equiv.) per kg API'] of Each Step Sorted by '[RV Step GWP (kg CO2 equiv.) per kg API']]]/SUMIF(Process_Steps['[RV Step GWP (kg CO2 equiv.) per kg API'] of Each Step Sorted by '[RV Step GWP (kg CO2 equiv.) per kg API']],"&lt;&gt;#N/A"),"0%")&amp;")"</f>
        <v>(16%)</v>
      </c>
      <c r="BV9" s="23">
        <f ca="1">INDEX(Process_Steps[RV Step GWP (kg CO2 equiv.) per kg API (REAGENT)],MATCH(Process_Steps[[#This Row],[Steps Sorted by '[RV Step GWP (kg CO2 equiv.) per kg API']]],Process_Steps[Name],0))</f>
        <v>8.2588466228449668</v>
      </c>
      <c r="BW9" s="23">
        <f ca="1">INDEX(Process_Steps[RV Step GWP (kg CO2 equiv.) per kg API (METAL)],MATCH(Process_Steps[[#This Row],[Steps Sorted by '[RV Step GWP (kg CO2 equiv.) per kg API']]],Process_Steps[Name],0))</f>
        <v>0</v>
      </c>
      <c r="BX9" s="23">
        <f ca="1">INDEX(Process_Steps[RV Step GWP (kg CO2 equiv.) per kg API (SOLVENT)],MATCH(Process_Steps[[#This Row],[Steps Sorted by '[RV Step GWP (kg CO2 equiv.) per kg API']]],Process_Steps[Name],0))</f>
        <v>17.448926085520291</v>
      </c>
      <c r="BY9" s="23">
        <f ca="1">INDEX(Process_Steps[RV Step GWP (kg CO2 equiv.) per kg API (WATER)],MATCH(Process_Steps[[#This Row],[Steps Sorted by '[RV Step GWP (kg CO2 equiv.) per kg API']]],Process_Steps[Name],0))</f>
        <v>3.1607976377636127E-2</v>
      </c>
      <c r="BZ9" s="23">
        <f ca="1">INDEX(Process_Steps[RV Step GWP (kg CO2 equiv.) per kg API (ENZ&amp;PLNT)],MATCH(Process_Steps[[#This Row],[Steps Sorted by '[RV Step GWP (kg CO2 equiv.) per kg API']]],Process_Steps[Name],0))</f>
        <v>0</v>
      </c>
      <c r="CA9" s="23">
        <f ca="1">INDEX(Process_Steps[RV Step GWP (kg CO2 equiv.) per kg API (OTHER)],MATCH(Process_Steps[[#This Row],[Steps Sorted by '[RV Step GWP (kg CO2 equiv.) per kg API']]],Process_Steps[Name],0))</f>
        <v>0</v>
      </c>
      <c r="CB9" s="118" t="e">
        <f>IF(Process_Steps[[#This Row],[Real or Virtual?]]="Real",SUMIFS(Table_Process_Details[RV Acidification (kg SO2 equiv.) per kg API],Table_Process_Details[Step Name],Process_Steps[[#This Row],[Name]]),NA())</f>
        <v>#N/A</v>
      </c>
      <c r="CC9" s="20" t="e">
        <f>IF(Process_Steps[[#This Row],[Real or Virtual?]]="Real",SUMIFS(Table_Process_Details[RV Acidification (kg SO2 equiv.) per kg API (REAGENT)],Table_Process_Details[Step Name],Process_Steps[[#This Row],[Name]]),NA())</f>
        <v>#N/A</v>
      </c>
      <c r="CD9" s="20" t="e">
        <f>IF(Process_Steps[[#This Row],[Real or Virtual?]]="Real",SUMIFS(Table_Process_Details[RV Acidification (kg SO2 equiv.) per kg API (METAL)],Table_Process_Details[Step Name],Process_Steps[[#This Row],[Name]]),NA())</f>
        <v>#N/A</v>
      </c>
      <c r="CE9" s="20" t="e">
        <f>IF(Process_Steps[[#This Row],[Real or Virtual?]]="Real",SUMIFS(Table_Process_Details[RV Acidification (kg SO2 equiv.) per kg API (SOLVENT)],Table_Process_Details[Step Name],Process_Steps[[#This Row],[Name]]),NA())</f>
        <v>#N/A</v>
      </c>
      <c r="CF9" s="20" t="e">
        <f>IF(Process_Steps[[#This Row],[Real or Virtual?]]="Real",SUMIFS(Table_Process_Details[RV Acidification (kg SO2 equiv.) per kg API (WATER)],Table_Process_Details[Step Name],Process_Steps[[#This Row],[Name]]),NA())</f>
        <v>#N/A</v>
      </c>
      <c r="CG9" s="20" t="e">
        <f>IF(Process_Steps[[#This Row],[Real or Virtual?]]="Real",SUMIFS(Table_Process_Details[RV Acidification (kg SO2 equiv.) per kg API (ENZ&amp;PLNT)],Table_Process_Details[Step Name],Process_Steps[[#This Row],[Name]]),NA())</f>
        <v>#N/A</v>
      </c>
      <c r="CH9" s="20" t="e">
        <f>IF(Process_Steps[[#This Row],[Real or Virtual?]]="Real",SUMIFS(Table_Process_Details[RV Acidification (kg SO2 equiv.) per kg API (OTHER)],Table_Process_Details[Step Name],Process_Steps[[#This Row],[Name]]),NA())</f>
        <v>#N/A</v>
      </c>
      <c r="CI9" s="23" t="str">
        <f ca="1">INDEX(Process_Steps[Name if Real],MATCH(Process_Steps[[#This Row],['[RV Step Acidification (kg SO2 equiv.) per kg API'] of Each Step Sorted by '[RV Step Acidification (kg SO2 equiv.) per kg API']]],Process_Steps[RV Step Acidification (kg SO2 equiv.) per kg API],0))</f>
        <v>4) Synthesis of Intermediate (4)</v>
      </c>
      <c r="CJ9" s="23" cm="1">
        <f t="array" aca="1" ref="CJ9" ca="1">IF(LARGE(_xlfn.IFNA(Process_Steps[RV Step Acidification (kg SO2 equiv.) per kg API],0),Process_Steps[[#This Row],[Table Row]])=0,NA(),LARGE(_xlfn.IFNA(Process_Steps[RV Step Acidification (kg SO2 equiv.) per kg API],0),Process_Steps[[#This Row],[Table Row]]))</f>
        <v>0.14705386490399988</v>
      </c>
      <c r="CK9" s="23">
        <f ca="1">SUM(OFFSET(Process_Steps['[RV Step Acidification (kg SO2 equiv.) per kg API'] of Each Step Sorted by '[RV Step Acidification (kg SO2 equiv.) per kg API']],0,0,Process_Steps[[#This Row],[Table Row]]))</f>
        <v>0.52721330329041349</v>
      </c>
      <c r="CL9"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(22%)</v>
      </c>
      <c r="CM9" s="23">
        <f ca="1">INDEX(Process_Steps[RV Step Acidification (kg SO2 equiv.) per kg API (REAGENT)],MATCH(Process_Steps[[#This Row],[Steps Sorted by '[RV Step Acidification (kg SO2 equiv.) per kg API']]],Process_Steps[Name],0))</f>
        <v>6.622690798159761E-2</v>
      </c>
      <c r="CN9" s="23">
        <f ca="1">INDEX(Process_Steps[RV Step Acidification (kg SO2 equiv.) per kg API (METAL)],MATCH(Process_Steps[[#This Row],[Steps Sorted by '[RV Step Acidification (kg SO2 equiv.) per kg API']]],Process_Steps[Name],0))</f>
        <v>0</v>
      </c>
      <c r="CO9" s="23">
        <f ca="1">INDEX(Process_Steps[RV Step Acidification (kg SO2 equiv.) per kg API (SOLVENT)],MATCH(Process_Steps[[#This Row],[Steps Sorted by '[RV Step Acidification (kg SO2 equiv.) per kg API']]],Process_Steps[Name],0))</f>
        <v>8.0705862800513922E-2</v>
      </c>
      <c r="CP9" s="23">
        <f ca="1">INDEX(Process_Steps[RV Step Acidification (kg SO2 equiv.) per kg API (WATER)],MATCH(Process_Steps[[#This Row],[Steps Sorted by '[RV Step Acidification (kg SO2 equiv.) per kg API']]],Process_Steps[Name],0))</f>
        <v>1.2109412188834019E-4</v>
      </c>
      <c r="CQ9" s="23">
        <f ca="1">INDEX(Process_Steps[RV Step Acidification (kg SO2 equiv.) per kg API (ENZ&amp;PLNT)],MATCH(Process_Steps[[#This Row],[Steps Sorted by '[RV Step Acidification (kg SO2 equiv.) per kg API']]],Process_Steps[Name],0))</f>
        <v>0</v>
      </c>
      <c r="CR9" s="23">
        <f ca="1">INDEX(Process_Steps[RV Step Acidification (kg SO2 equiv.) per kg API (OTHER)],MATCH(Process_Steps[[#This Row],[Steps Sorted by '[RV Step Acidification (kg SO2 equiv.) per kg API']]],Process_Steps[Name],0))</f>
        <v>0</v>
      </c>
      <c r="CS9" s="118" t="e">
        <f>IF(Process_Steps[[#This Row],[Real or Virtual?]]="Real",SUMIFS(Table_Process_Details[RV Eutrophication (kg phosphate equiv.) per kg API],Table_Process_Details[Step Name],Process_Steps[[#This Row],[Name]]),NA())</f>
        <v>#N/A</v>
      </c>
      <c r="CT9" s="20" t="e">
        <f>IF(Process_Steps[[#This Row],[Real or Virtual?]]="Real",SUMIFS(Table_Process_Details[RV Eutrophication (kg phosphate equiv.) per kg API (REAGENT)],Table_Process_Details[Step Name],Process_Steps[[#This Row],[Name]]),NA())</f>
        <v>#N/A</v>
      </c>
      <c r="CU9" s="20" t="e">
        <f>IF(Process_Steps[[#This Row],[Real or Virtual?]]="Real",SUMIFS(Table_Process_Details[RV Eutrophication (kg phosphate equiv.) per kg API (METAL)],Table_Process_Details[Step Name],Process_Steps[[#This Row],[Name]]),NA())</f>
        <v>#N/A</v>
      </c>
      <c r="CV9" s="20" t="e">
        <f>IF(Process_Steps[[#This Row],[Real or Virtual?]]="Real",SUMIFS(Table_Process_Details[RV Eutrophication (kg phosphate equiv.) per kg API (SOLVENT)],Table_Process_Details[Step Name],Process_Steps[[#This Row],[Name]]),NA())</f>
        <v>#N/A</v>
      </c>
      <c r="CW9" s="20" t="e">
        <f>IF(Process_Steps[[#This Row],[Real or Virtual?]]="Real",SUMIFS(Table_Process_Details[RV Eutrophication (kg phosphate equiv.) per kg API (WATER)],Table_Process_Details[Step Name],Process_Steps[[#This Row],[Name]]),NA())</f>
        <v>#N/A</v>
      </c>
      <c r="CX9" s="20" t="e">
        <f>IF(Process_Steps[[#This Row],[Real or Virtual?]]="Real",SUMIFS(Table_Process_Details[RV Eutrophication (kg phosphate equiv.) per kg API (ENZ&amp;PLNT)],Table_Process_Details[Step Name],Process_Steps[[#This Row],[Name]]),NA())</f>
        <v>#N/A</v>
      </c>
      <c r="CY9" s="20" t="e">
        <f>IF(Process_Steps[[#This Row],[Real or Virtual?]]="Real",SUMIFS(Table_Process_Details[RV Eutrophication (kg phosphate equiv.) per kg API (OTHER)],Table_Process_Details[Step Name],Process_Steps[[#This Row],[Name]]),NA())</f>
        <v>#N/A</v>
      </c>
      <c r="CZ9" s="23" t="str">
        <f ca="1">INDEX(Process_Steps[Name if Real],MATCH(Process_Steps[[#This Row],['[RV Step Eutrophication (kg phosphate equiv.) per kg API'] of Each Step Sorted by '[RV Step Eutrophication (kg phosphate equiv.) per kg API']]],Process_Steps[RV Step Eutrophication (kg posphate equiv.) per kg API],0))</f>
        <v>2) Synthesis of Intermediate (2)</v>
      </c>
      <c r="DA9" s="23" cm="1">
        <f t="array" aca="1" ref="DA9" ca="1">IF(LARGE(_xlfn.IFNA(Process_Steps[RV Step Eutrophication (kg posphate equiv.) per kg API],0),Process_Steps[[#This Row],[Table Row]])=0,NA(),LARGE(_xlfn.IFNA(Process_Steps[RV Step Eutrophication (kg posphate equiv.) per kg API],0),Process_Steps[[#This Row],[Table Row]]))</f>
        <v>0.18831447032109466</v>
      </c>
      <c r="DB9" s="23">
        <f ca="1">SUM(OFFSET(Process_Steps['[RV Step Eutrophication (kg phosphate equiv.) per kg API'] of Each Step Sorted by '[RV Step Eutrophication (kg phosphate equiv.) per kg API']],0,0,Process_Steps[[#This Row],[Table Row]]))</f>
        <v>1.1691892295114967</v>
      </c>
      <c r="DC9"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(14%)</v>
      </c>
      <c r="DD9" s="23">
        <f ca="1">INDEX(Process_Steps[RV Step Eutrophication (kg posphate equiv.) per kg API (REAGENT)],MATCH(Process_Steps[[#This Row],[Steps Sorted by '[RV Step Eutrophication (kg phosphate equiv.) per kg API']]],Process_Steps[Name],0))</f>
        <v>1.4284233660345489E-3</v>
      </c>
      <c r="DE9" s="23">
        <f ca="1">INDEX(Process_Steps[RV Step Eutrophication (kg posphate equiv.) per kg API (METAL)],MATCH(Process_Steps[[#This Row],[Steps Sorted by '[RV Step Eutrophication (kg phosphate equiv.) per kg API']]],Process_Steps[Name],0))</f>
        <v>0</v>
      </c>
      <c r="DF9" s="23">
        <f ca="1">INDEX(Process_Steps[RV Step Eutrophication (kg posphate equiv.) per kg API (SOLVENT)],MATCH(Process_Steps[[#This Row],[Steps Sorted by '[RV Step Eutrophication (kg phosphate equiv.) per kg API']]],Process_Steps[Name],0))</f>
        <v>0.18687332941100285</v>
      </c>
      <c r="DG9" s="23">
        <f ca="1">INDEX(Process_Steps[RV Step Eutrophication (kg posphate equiv.) per kg API (WATER)],MATCH(Process_Steps[[#This Row],[Steps Sorted by '[RV Step Eutrophication (kg phosphate equiv.) per kg API']]],Process_Steps[Name],0))</f>
        <v>1.2717544057242678E-5</v>
      </c>
      <c r="DH9" s="23">
        <f ca="1">INDEX(Process_Steps[RV Step Eutrophication (kg posphate equiv.) per kg API (ENZ&amp;PLNT)],MATCH(Process_Steps[[#This Row],[Steps Sorted by '[RV Step Eutrophication (kg phosphate equiv.) per kg API']]],Process_Steps[Name],0))</f>
        <v>0</v>
      </c>
      <c r="DI9" s="23">
        <f ca="1">INDEX(Process_Steps[RV Step Eutrophication (kg posphate equiv.) per kg API (OTHER)],MATCH(Process_Steps[[#This Row],[Steps Sorted by '[RV Step Eutrophication (kg phosphate equiv.) per kg API']]],Process_Steps[Name],0))</f>
        <v>0</v>
      </c>
      <c r="DJ9" s="118" t="e">
        <f>IF(Process_Steps[[#This Row],[Real or Virtual?]]="Real",SUMIFS(Table_Process_Details[RV Water (kg) per kg API],Table_Process_Details[Step Name],Process_Steps[[#This Row],[Name]]),NA())</f>
        <v>#N/A</v>
      </c>
      <c r="DK9" s="20" t="e">
        <f>IF(Process_Steps[[#This Row],[Real or Virtual?]]="Real",SUMIFS(Table_Process_Details[RV Water (kg) per kg API (REAGENT)],Table_Process_Details[Step Name],Process_Steps[[#This Row],[Name]]),NA())</f>
        <v>#N/A</v>
      </c>
      <c r="DL9" s="20" t="e">
        <f>IF(Process_Steps[[#This Row],[Real or Virtual?]]="Real",SUMIFS(Table_Process_Details[RV Water (kg) per kg API (METAL)],Table_Process_Details[Step Name],Process_Steps[[#This Row],[Name]]),NA())</f>
        <v>#N/A</v>
      </c>
      <c r="DM9" s="20" t="e">
        <f>IF(Process_Steps[[#This Row],[Real or Virtual?]]="Real",SUMIFS(Table_Process_Details[RV Water (kg) per kg API (SOLVENT)],Table_Process_Details[Step Name],Process_Steps[[#This Row],[Name]]),NA())</f>
        <v>#N/A</v>
      </c>
      <c r="DN9" s="20" t="e">
        <f>IF(Process_Steps[[#This Row],[Real or Virtual?]]="Real",SUMIFS(Table_Process_Details[RV Water (kg) per kg API (WATER)],Table_Process_Details[Step Name],Process_Steps[[#This Row],[Name]]),NA())</f>
        <v>#N/A</v>
      </c>
      <c r="DO9" s="20" t="e">
        <f>IF(Process_Steps[[#This Row],[Real or Virtual?]]="Real",SUMIFS(Table_Process_Details[RV Water (kg) per kg API (ENZ&amp;PLNT)],Table_Process_Details[Step Name],Process_Steps[[#This Row],[Name]]),NA())</f>
        <v>#N/A</v>
      </c>
      <c r="DP9" s="20" t="e">
        <f>IF(Process_Steps[[#This Row],[Real or Virtual?]]="Real",SUMIFS(Table_Process_Details[RV Water (kg) per kg API (OTHER)],Table_Process_Details[Step Name],Process_Steps[[#This Row],[Name]]),NA())</f>
        <v>#N/A</v>
      </c>
      <c r="DQ9" s="23" t="str">
        <f ca="1">INDEX(Process_Steps[Name if Real],MATCH(Process_Steps[[#This Row],['[RV Step Water (kg) per kg API'] of Each Step Sorted by '[RV Step Water (kg) per kg API']]],Process_Steps[RV Step Water (kg) per kg API],0))</f>
        <v>4) Synthesis of Intermediate (4)</v>
      </c>
      <c r="DR9" s="23" cm="1">
        <f t="array" aca="1" ref="DR9" ca="1">IF(LARGE(_xlfn.IFNA(Process_Steps[RV Step Water (kg) per kg API],0),Process_Steps[[#This Row],[Table Row]])=0,NA(),LARGE(_xlfn.IFNA(Process_Steps[RV Step Water (kg) per kg API],0),Process_Steps[[#This Row],[Table Row]]))</f>
        <v>126.55179641584952</v>
      </c>
      <c r="DS9" s="23">
        <f ca="1">SUM(OFFSET(Process_Steps['[RV Step Water (kg) per kg API'] of Each Step Sorted by '[RV Step Water (kg) per kg API']],0,0,Process_Steps[[#This Row],[Table Row]]))</f>
        <v>753.05727743186242</v>
      </c>
      <c r="DT9" s="23" t="str">
        <f ca="1">"("&amp;TEXT(Process_Steps[[#This Row],['[RV Step Water (kg) per kg API'] of Each Step Sorted by '[RV Step Water (kg) per kg API']]]/SUMIF(Process_Steps['[RV Step Water (kg) per kg API'] of Each Step Sorted by '[RV Step Water (kg) per kg API']],"&lt;&gt;#N/A"),"0%")&amp;")"</f>
        <v>(14%)</v>
      </c>
      <c r="DU9" s="23">
        <f ca="1">INDEX(Process_Steps[RV Step Water (kg) per kg API (REAGENT)],MATCH(Process_Steps[[#This Row],[Steps Sorted by '[RV Step Water (kg) per kg API']]],Process_Steps[Name],0))</f>
        <v>18.860137562976561</v>
      </c>
      <c r="DV9" s="23">
        <f ca="1">INDEX(Process_Steps[RV Step Water (kg) per kg API (METAL)],MATCH(Process_Steps[[#This Row],[Steps Sorted by '[RV Step Water (kg) per kg API']]],Process_Steps[Name],0))</f>
        <v>0</v>
      </c>
      <c r="DW9" s="23">
        <f ca="1">INDEX(Process_Steps[RV Step Water (kg) per kg API (SOLVENT)],MATCH(Process_Steps[[#This Row],[Steps Sorted by '[RV Step Water (kg) per kg API']]],Process_Steps[Name],0))</f>
        <v>68.378616259864245</v>
      </c>
      <c r="DX9" s="23">
        <f ca="1">INDEX(Process_Steps[RV Step Water (kg) per kg API (WATER)],MATCH(Process_Steps[[#This Row],[Steps Sorted by '[RV Step Water (kg) per kg API']]],Process_Steps[Name],0))</f>
        <v>39.313042593008717</v>
      </c>
      <c r="DY9" s="23">
        <f ca="1">INDEX(Process_Steps[RV Step Water (kg) per kg API (ENZ&amp;PLNT)],MATCH(Process_Steps[[#This Row],[Steps Sorted by '[RV Step Water (kg) per kg API']]],Process_Steps[Name],0))</f>
        <v>0</v>
      </c>
      <c r="DZ9" s="23">
        <f ca="1">INDEX(Process_Steps[RV Step Water (kg) per kg API (OTHER)],MATCH(Process_Steps[[#This Row],[Steps Sorted by '[RV Step Water (kg) per kg API']]],Process_Steps[Name],0))</f>
        <v>0</v>
      </c>
    </row>
    <row r="10" spans="1:130" x14ac:dyDescent="0.25">
      <c r="A10" t="s">
        <v>778</v>
      </c>
      <c r="B10" t="s">
        <v>175</v>
      </c>
      <c r="C10" t="s">
        <v>779</v>
      </c>
      <c r="D10" t="s">
        <v>842</v>
      </c>
      <c r="F10" s="25">
        <f>INDEX(Table_Process_Details[Physical Mass (kg)],MATCH(1,INDEX((Process_Steps[[#This Row],[Name]]=Table_Process_Details[Step Name])*(Table_Process_Details[Input or Output]="Output"),0),0))</f>
        <v>158.69</v>
      </c>
      <c r="G10" s="25" cm="1">
        <f t="array" aca="1" ref="G10"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1.3980205111446167E-2</v>
      </c>
      <c r="H10" s="28">
        <f ca="1">Process_Steps[[#This Row],[Total Mass that must be produced]]/Process_Steps[[#This Row],[Unscaled Step Product Mass]]</f>
        <v>8.8097580890076038E-5</v>
      </c>
      <c r="I10" s="23" t="e">
        <f>IF(Process_Steps[[#This Row],[Real or Virtual?]]="Real",Process_Steps[[#This Row],[Name]],NA())</f>
        <v>#N/A</v>
      </c>
      <c r="J10" s="30">
        <f>ROW()-ROW(Process_Steps[[#Headers],[Table Row]])</f>
        <v>4</v>
      </c>
      <c r="K10"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0" s="118" t="e">
        <f>IF(Process_Steps[[#This Row],[Real or Virtual?]]="Real",SUMIFS(Table_Process_Details[RV Physical Mass per kg API],Table_Process_Details[Input or Output],"Input",Table_Process_Details[Step Name],Process_Steps[[#This Row],[Name]]),NA())</f>
        <v>#N/A</v>
      </c>
      <c r="M10" s="20" t="e">
        <f>IF(Process_Steps[[#This Row],[Real or Virtual?]]="Real",SUMIFS(Table_Process_Details[RV Physical Mass per kg API (REAGENT)],Table_Process_Details[Input or Output],"Input",Table_Process_Details[Step Name],Process_Steps[[#This Row],[Name]]),NA())</f>
        <v>#N/A</v>
      </c>
      <c r="N10" s="20" t="e">
        <f>IF(Process_Steps[[#This Row],[Real or Virtual?]]="Real",SUMIFS(Table_Process_Details[RV Physical Mass per kg API (METAL)],Table_Process_Details[Input or Output],"Input",Table_Process_Details[Step Name],Process_Steps[[#This Row],[Name]]),NA())</f>
        <v>#N/A</v>
      </c>
      <c r="O10" s="20" t="e">
        <f>IF(Process_Steps[[#This Row],[Real or Virtual?]]="Real",SUMIFS(Table_Process_Details[RV Physical Mass per kg API (SOLVENT)],Table_Process_Details[Input or Output],"Input",Table_Process_Details[Step Name],Process_Steps[[#This Row],[Name]]),NA())</f>
        <v>#N/A</v>
      </c>
      <c r="P10" s="20" t="e">
        <f>IF(Process_Steps[[#This Row],[Real or Virtual?]]="Real",SUMIFS(Table_Process_Details[RV Physical Mass per kg API (WATER)],Table_Process_Details[Input or Output],"Input",Table_Process_Details[Step Name],Process_Steps[[#This Row],[Name]]),NA())</f>
        <v>#N/A</v>
      </c>
      <c r="Q10" s="20" t="e">
        <f>IF(Process_Steps[[#This Row],[Real or Virtual?]]="Real",SUMIFS(Table_Process_Details[RV Physical Mass per kg API (ENZ&amp;PLNT)],Table_Process_Details[Input or Output],"Input",Table_Process_Details[Step Name],Process_Steps[[#This Row],[Name]]),NA())</f>
        <v>#N/A</v>
      </c>
      <c r="R10" s="20" t="e">
        <f>IF(Process_Steps[[#This Row],[Real or Virtual?]]="Real",SUMIFS(Table_Process_Details[RV Physical Mass per kg API (OTHER)],Table_Process_Details[Input or Output],"Input",Table_Process_Details[Step Name],Process_Steps[[#This Row],[Name]]),NA())</f>
        <v>#N/A</v>
      </c>
      <c r="S10" s="118" t="str">
        <f ca="1">INDEX(Process_Steps[Name if Real],MATCH(Process_Steps[[#This Row],['[RV Step PMI per kg API'] of Each Step Sorted by '[RV Step PMI per kg API']]],Process_Steps[RV Step PMI per kg API],0))</f>
        <v>1) Synthesis of Intermediate (1)</v>
      </c>
      <c r="T10" s="118" cm="1">
        <f t="array" aca="1" ref="T10" ca="1">IF(LARGE(_xlfn.IFNA(Process_Steps[RV Step PMI per kg API],0),Process_Steps[[#This Row],[Table Row]])=0,NA(),LARGE(_xlfn.IFNA(Process_Steps[RV Step PMI per kg API],0),Process_Steps[[#This Row],[Table Row]]))</f>
        <v>18.984489432014126</v>
      </c>
      <c r="U10" s="118">
        <f ca="1">SUM(OFFSET(Process_Steps['[RV Step PMI per kg API'] of Each Step Sorted by '[RV Step PMI per kg API']],0,0,Process_Steps[[#This Row],[Table Row]]))</f>
        <v>131.75859110204561</v>
      </c>
      <c r="V10" s="118" t="str">
        <f ca="1">"("&amp;TEXT(Process_Steps[[#This Row],['[RV Step PMI per kg API'] of Each Step Sorted by '[RV Step PMI per kg API']]]/SUMIF(Process_Steps['[RV Step PMI per kg API'] of Each Step Sorted by '[RV Step PMI per kg API']],"&lt;&gt;#N/A"),"0%")&amp;")"</f>
        <v>(13%)</v>
      </c>
      <c r="W10" s="23">
        <f ca="1">INDEX(Process_Steps[RV Step PMI per kg API (REAGENT)],MATCH(Process_Steps[[#This Row],[Steps Sorted by '[RV Step PMI per kg API']]],Process_Steps[Name],0))</f>
        <v>1.2806797840738717</v>
      </c>
      <c r="X10" s="23">
        <f ca="1">INDEX(Process_Steps[RV Step PMI per kg API (METAL)],MATCH(Process_Steps[[#This Row],[Steps Sorted by '[RV Step PMI per kg API']]],Process_Steps[Name],0))</f>
        <v>5.1704470224113947E-3</v>
      </c>
      <c r="Y10" s="23">
        <f ca="1">INDEX(Process_Steps[RV Step PMI per kg API (SOLVENT)],MATCH(Process_Steps[[#This Row],[Steps Sorted by '[RV Step PMI per kg API']]],Process_Steps[Name],0))</f>
        <v>4.4272513546695098</v>
      </c>
      <c r="Z10" s="23">
        <f ca="1">INDEX(Process_Steps[RV Step PMI per kg API (WATER)],MATCH(Process_Steps[[#This Row],[Steps Sorted by '[RV Step PMI per kg API']]],Process_Steps[Name],0))</f>
        <v>13.271387846248334</v>
      </c>
      <c r="AA10" s="23">
        <f ca="1">INDEX(Process_Steps[RV Step PMI per kg API (ENZ&amp;PLNT)],MATCH(Process_Steps[[#This Row],[Steps Sorted by '[RV Step PMI per kg API']]],Process_Steps[Name],0))</f>
        <v>0</v>
      </c>
      <c r="AB10" s="23">
        <f ca="1">INDEX(Process_Steps[RV Step PMI per kg API (OTHER)],MATCH(Process_Steps[[#This Row],[Steps Sorted by '[RV Step PMI per kg API']]],Process_Steps[Name],0))</f>
        <v>0</v>
      </c>
      <c r="AC10" s="118" t="e">
        <f>IF(Process_Steps[[#This Row],[Real or Virtual?]]="Real",SUMIFS(Table_Process_Details[RV Mass Net (kg) per kg API],Table_Process_Details[Step Name],Process_Steps[[#This Row],[Name]]),NA())</f>
        <v>#N/A</v>
      </c>
      <c r="AD10" s="20" t="e">
        <f>IF(Process_Steps[[#This Row],[Real or Virtual?]]="Real",SUMIFS(Table_Process_Details[RV Mass Net (kg) per kg API (REAGENT)],Table_Process_Details[Step Name],Process_Steps[[#This Row],[Name]]),NA())</f>
        <v>#N/A</v>
      </c>
      <c r="AE10" s="20" t="e">
        <f>IF(Process_Steps[[#This Row],[Real or Virtual?]]="Real",SUMIFS(Table_Process_Details[RV Mass Net (kg) per kg API (METAL)],Table_Process_Details[Step Name],Process_Steps[[#This Row],[Name]]),NA())</f>
        <v>#N/A</v>
      </c>
      <c r="AF10" s="20" t="e">
        <f>IF(Process_Steps[[#This Row],[Real or Virtual?]]="Real",SUMIFS(Table_Process_Details[RV Mass Net (kg) per kg API (SOLVENT)],Table_Process_Details[Step Name],Process_Steps[[#This Row],[Name]]),NA())</f>
        <v>#N/A</v>
      </c>
      <c r="AG10" s="20" t="e">
        <f>IF(Process_Steps[[#This Row],[Real or Virtual?]]="Real",SUMIFS(Table_Process_Details[RV Mass Net (kg) per kg API (WATER)],Table_Process_Details[Step Name],Process_Steps[[#This Row],[Name]]),NA())</f>
        <v>#N/A</v>
      </c>
      <c r="AH10" s="20" t="e">
        <f>IF(Process_Steps[[#This Row],[Real or Virtual?]]="Real",SUMIFS(Table_Process_Details[RV Mass Net (kg) per kg API (ENZ&amp;PLNT)],Table_Process_Details[Step Name],Process_Steps[[#This Row],[Name]]),NA())</f>
        <v>#N/A</v>
      </c>
      <c r="AI10" s="20" t="e">
        <f>IF(Process_Steps[[#This Row],[Real or Virtual?]]="Real",SUMIFS(Table_Process_Details[RV Mass Net (kg) per kg API (OTHER)],Table_Process_Details[Step Name],Process_Steps[[#This Row],[Name]]),NA())</f>
        <v>#N/A</v>
      </c>
      <c r="AJ10" s="23" t="str">
        <f ca="1">INDEX(Process_Steps[Name if Real],MATCH(Process_Steps[[#This Row],['[RV Step Mass Net (kg) per kg API'] of Each Step Sorted by '[RV Step Mass Net (kg) per kg API']]],Process_Steps[RV Step Mass Net (kg) per kg API],0))</f>
        <v>1f) Virtual solution prep for (1) and (3): 20 wt% reagent D (organic) in DMF</v>
      </c>
      <c r="AK10" s="23" cm="1">
        <f t="array" aca="1" ref="AK10" ca="1">IF(LARGE(_xlfn.IFNA(Process_Steps[RV Step Mass Net (kg) per kg API],0),Process_Steps[[#This Row],[Table Row]])=0,NA(),LARGE(_xlfn.IFNA(Process_Steps[RV Step Mass Net (kg) per kg API],0),Process_Steps[[#This Row],[Table Row]]))</f>
        <v>10.651245118923867</v>
      </c>
      <c r="AL10" s="23">
        <f ca="1">SUM(OFFSET(Process_Steps['[RV Step Mass Net (kg) per kg API'] of Each Step Sorted by '[RV Step Mass Net (kg) per kg API']],0,0,Process_Steps[[#This Row],[Table Row]]))</f>
        <v>112.32176177709569</v>
      </c>
      <c r="AM10" s="23" t="str">
        <f ca="1">"("&amp;TEXT(Process_Steps[[#This Row],['[RV Step Mass Net (kg) per kg API'] of Each Step Sorted by '[RV Step Mass Net (kg) per kg API']]]/SUMIF(Process_Steps['[RV Step Mass Net (kg) per kg API'] of Each Step Sorted by '[RV Step Mass Net (kg) per kg API']],"&lt;&gt;#N/A"),"0%")&amp;")"</f>
        <v>(8%)</v>
      </c>
      <c r="AN10" s="23">
        <f ca="1">INDEX(Process_Steps[RV Step Mass Net (kg) per kg API (REAGENT)],MATCH(Process_Steps[[#This Row],[Steps Sorted by '[RV Step Mass Net (kg) per kg API']]],Process_Steps[Name],0))</f>
        <v>2.5448168277217289</v>
      </c>
      <c r="AO10" s="23">
        <f ca="1">INDEX(Process_Steps[RV Step Mass Net (kg) per kg API (METAL)],MATCH(Process_Steps[[#This Row],[Steps Sorted by '[RV Step Mass Net (kg) per kg API']]],Process_Steps[Name],0))</f>
        <v>0</v>
      </c>
      <c r="AP10" s="23">
        <f ca="1">INDEX(Process_Steps[RV Step Mass Net (kg) per kg API (SOLVENT)],MATCH(Process_Steps[[#This Row],[Steps Sorted by '[RV Step Mass Net (kg) per kg API']]],Process_Steps[Name],0))</f>
        <v>8.106428291202139</v>
      </c>
      <c r="AQ10" s="23">
        <f ca="1">INDEX(Process_Steps[RV Step Mass Net (kg) per kg API (WATER)],MATCH(Process_Steps[[#This Row],[Steps Sorted by '[RV Step Mass Net (kg) per kg API']]],Process_Steps[Name],0))</f>
        <v>0</v>
      </c>
      <c r="AR10" s="23">
        <f ca="1">INDEX(Process_Steps[RV Step Mass Net (kg) per kg API (ENZ&amp;PLNT)],MATCH(Process_Steps[[#This Row],[Steps Sorted by '[RV Step Mass Net (kg) per kg API']]],Process_Steps[Name],0))</f>
        <v>0</v>
      </c>
      <c r="AS10" s="23">
        <f ca="1">INDEX(Process_Steps[RV Step Mass Net (kg) per kg API (OTHER)],MATCH(Process_Steps[[#This Row],[Steps Sorted by '[RV Step Mass Net (kg) per kg API']]],Process_Steps[Name],0))</f>
        <v>0</v>
      </c>
      <c r="AT10" s="118" t="e">
        <f>IF(Process_Steps[[#This Row],[Real or Virtual?]]="Real",SUMIFS(Table_Process_Details[RV Energy (MJ) per kg API],Table_Process_Details[Step Name],Process_Steps[[#This Row],[Name]]),NA())</f>
        <v>#N/A</v>
      </c>
      <c r="AU10" s="20" t="e">
        <f>IF(Process_Steps[[#This Row],[Real or Virtual?]]="Real",SUMIFS(Table_Process_Details[RV Energy (MJ) per kg API (REAGENT)],Table_Process_Details[Step Name],Process_Steps[[#This Row],[Name]]),NA())</f>
        <v>#N/A</v>
      </c>
      <c r="AV10" s="20" t="e">
        <f>IF(Process_Steps[[#This Row],[Real or Virtual?]]="Real",SUMIFS(Table_Process_Details[RV Energy (MJ) per kg API (METAL)],Table_Process_Details[Step Name],Process_Steps[[#This Row],[Name]]),NA())</f>
        <v>#N/A</v>
      </c>
      <c r="AW10" s="20" t="e">
        <f>IF(Process_Steps[[#This Row],[Real or Virtual?]]="Real",SUMIFS(Table_Process_Details[RV Energy (MJ) per kg API (SOLVENT)],Table_Process_Details[Step Name],Process_Steps[[#This Row],[Name]]),NA())</f>
        <v>#N/A</v>
      </c>
      <c r="AX10" s="20" t="e">
        <f>IF(Process_Steps[[#This Row],[Real or Virtual?]]="Real",SUMIFS(Table_Process_Details[RV Energy (MJ) per kg API (WATER)],Table_Process_Details[Step Name],Process_Steps[[#This Row],[Name]]),NA())</f>
        <v>#N/A</v>
      </c>
      <c r="AY10" s="20" t="e">
        <f>IF(Process_Steps[[#This Row],[Real or Virtual?]]="Real",SUMIFS(Table_Process_Details[RV Energy (MJ) per kg API (ENZ&amp;PLNT)],Table_Process_Details[Step Name],Process_Steps[[#This Row],[Name]]),NA())</f>
        <v>#N/A</v>
      </c>
      <c r="AZ10" s="20" t="e">
        <f>IF(Process_Steps[[#This Row],[Real or Virtual?]]="Real",SUMIFS(Table_Process_Details[RV Energy (MJ) per kg API (OTHER)],Table_Process_Details[Step Name],Process_Steps[[#This Row],[Name]]),NA())</f>
        <v>#N/A</v>
      </c>
      <c r="BA10" s="23" t="str">
        <f ca="1">INDEX(Process_Steps[Name if Real],MATCH(Process_Steps[[#This Row],['[RV Step Energy (MJ) per kg API'] of Each Step Sorted by '[RV Step Energy (MJ) per kg API']]],Process_Steps[RV Step Energy (MJ) per kg API],0))</f>
        <v>1f) Virtual solution prep for (1) and (3): 20 wt% reagent D (organic) in DMF</v>
      </c>
      <c r="BB10" s="23" cm="1">
        <f t="array" aca="1" ref="BB10" ca="1">IF(LARGE(_xlfn.IFNA(Process_Steps[RV Step Energy (MJ) per kg API],0),Process_Steps[[#This Row],[Table Row]])=0,NA(),LARGE(_xlfn.IFNA(Process_Steps[RV Step Energy (MJ) per kg API],0),Process_Steps[[#This Row],[Table Row]]))</f>
        <v>372.34394851811709</v>
      </c>
      <c r="BC10" s="23">
        <f ca="1">SUM(OFFSET(Process_Steps['[RV Step Energy (MJ) per kg API'] of Each Step Sorted by '[RV Step Energy (MJ) per kg API']],0,0,Process_Steps[[#This Row],[Table Row]]))</f>
        <v>4479.991726983525</v>
      </c>
      <c r="BD10" s="23" t="str">
        <f ca="1">"("&amp;TEXT(Process_Steps[[#This Row],['[RV Step Energy (MJ) per kg API'] of Each Step Sorted by '[RV Step Energy (MJ) per kg API']]]/SUMIF(Process_Steps['[RV Step Energy (MJ) per kg API'] of Each Step Sorted by '[RV Step Energy (MJ) per kg API']],"&lt;&gt;#N/A"),"0%")&amp;")"</f>
        <v>(7%)</v>
      </c>
      <c r="BE10" s="23">
        <f ca="1">INDEX(Process_Steps[RV Step Energy (MJ) per kg API (REAGENT)],MATCH(Process_Steps[[#This Row],[Steps Sorted by '[RV Step Energy (MJ) per kg API']]],Process_Steps[Name],0))</f>
        <v>91.329099598221532</v>
      </c>
      <c r="BF10" s="23">
        <f ca="1">INDEX(Process_Steps[RV Step Energy (MJ) per kg API (METAL)],MATCH(Process_Steps[[#This Row],[Steps Sorted by '[RV Step Energy (MJ) per kg API']]],Process_Steps[Name],0))</f>
        <v>0</v>
      </c>
      <c r="BG10" s="23">
        <f ca="1">INDEX(Process_Steps[RV Step Energy (MJ) per kg API (SOLVENT)],MATCH(Process_Steps[[#This Row],[Steps Sorted by '[RV Step Energy (MJ) per kg API']]],Process_Steps[Name],0))</f>
        <v>281.01484891989554</v>
      </c>
      <c r="BH10" s="23">
        <f ca="1">INDEX(Process_Steps[RV Step Energy (MJ) per kg API (WATER)],MATCH(Process_Steps[[#This Row],[Steps Sorted by '[RV Step Energy (MJ) per kg API']]],Process_Steps[Name],0))</f>
        <v>0</v>
      </c>
      <c r="BI10" s="23">
        <f ca="1">INDEX(Process_Steps[RV Step Energy (MJ) per kg API (ENZ&amp;PLNT)],MATCH(Process_Steps[[#This Row],[Steps Sorted by '[RV Step Energy (MJ) per kg API']]],Process_Steps[Name],0))</f>
        <v>0</v>
      </c>
      <c r="BJ10" s="23">
        <f ca="1">INDEX(Process_Steps[RV Step Energy (MJ) per kg API (OTHER)],MATCH(Process_Steps[[#This Row],[Steps Sorted by '[RV Step Energy (MJ) per kg API']]],Process_Steps[Name],0))</f>
        <v>0</v>
      </c>
      <c r="BK10" s="118" t="e">
        <f>IF(Process_Steps[[#This Row],[Real or Virtual?]]="Real",SUMIFS(Table_Process_Details[RV GWP (kg CO2 equiv.) per kg API],Table_Process_Details[Step Name],Process_Steps[[#This Row],[Name]]),NA())</f>
        <v>#N/A</v>
      </c>
      <c r="BL10" s="20" t="e">
        <f>IF(Process_Steps[[#This Row],[Real or Virtual?]]="Real",SUMIFS(Table_Process_Details[RV GWP (kg CO2 equiv.) per kg API (REAGENT)],Table_Process_Details[Step Name],Process_Steps[[#This Row],[Name]]),NA())</f>
        <v>#N/A</v>
      </c>
      <c r="BM10" s="20" t="e">
        <f>IF(Process_Steps[[#This Row],[Real or Virtual?]]="Real",SUMIFS(Table_Process_Details[RV GWP (kg CO2 equiv.) per kg API (METAL)],Table_Process_Details[Step Name],Process_Steps[[#This Row],[Name]]),NA())</f>
        <v>#N/A</v>
      </c>
      <c r="BN10" s="20" t="e">
        <f>IF(Process_Steps[[#This Row],[Real or Virtual?]]="Real",SUMIFS(Table_Process_Details[RV GWP (kg CO2 equiv.) per kg API (SOLVENT)],Table_Process_Details[Step Name],Process_Steps[[#This Row],[Name]]),NA())</f>
        <v>#N/A</v>
      </c>
      <c r="BO10" s="20" t="e">
        <f>IF(Process_Steps[[#This Row],[Real or Virtual?]]="Real",SUMIFS(Table_Process_Details[RV GWP (kg CO2 equiv.) per kg API (WATER)],Table_Process_Details[Step Name],Process_Steps[[#This Row],[Name]]),NA())</f>
        <v>#N/A</v>
      </c>
      <c r="BP10" s="20" t="e">
        <f>IF(Process_Steps[[#This Row],[Real or Virtual?]]="Real",SUMIFS(Table_Process_Details[RV GWP (kg CO2 equiv.) per kg API (ENZ&amp;PLNT)],Table_Process_Details[Step Name],Process_Steps[[#This Row],[Name]]),NA())</f>
        <v>#N/A</v>
      </c>
      <c r="BQ10" s="20" t="e">
        <f>IF(Process_Steps[[#This Row],[Real or Virtual?]]="Real",SUMIFS(Table_Process_Details[RV GWP (kg CO2 equiv.) per kg API (OTHER)],Table_Process_Details[Step Name],Process_Steps[[#This Row],[Name]]),NA())</f>
        <v>#N/A</v>
      </c>
      <c r="BR10" s="23" t="str">
        <f ca="1">INDEX(Process_Steps[Name if Real],MATCH(Process_Steps[[#This Row],['[RV Step GWP (kg CO2 equiv.) per kg API'] of Each Step Sorted by '[RV Step GWP (kg CO2 equiv.) per kg API']]],Process_Steps[RV Step GWP (kg CO2 equiv.) per kg API],0))</f>
        <v>1f) Virtual solution prep for (1) and (3): 20 wt% reagent D (organic) in DMF</v>
      </c>
      <c r="BS10" s="23" cm="1">
        <f t="array" aca="1" ref="BS10" ca="1">IF(LARGE(_xlfn.IFNA(Process_Steps[RV Step GWP (kg CO2 equiv.) per kg API],0),Process_Steps[[#This Row],[Table Row]])=0,NA(),LARGE(_xlfn.IFNA(Process_Steps[RV Step GWP (kg CO2 equiv.) per kg API],0),Process_Steps[[#This Row],[Table Row]]))</f>
        <v>12.402299182249319</v>
      </c>
      <c r="BT10" s="23">
        <f ca="1">SUM(OFFSET(Process_Steps['[RV Step GWP (kg CO2 equiv.) per kg API'] of Each Step Sorted by '[RV Step GWP (kg CO2 equiv.) per kg API']],0,0,Process_Steps[[#This Row],[Table Row]]))</f>
        <v>138.76223501803298</v>
      </c>
      <c r="BU10" s="23" t="str">
        <f ca="1">"("&amp;TEXT(Process_Steps[[#This Row],['[RV Step GWP (kg CO2 equiv.) per kg API'] of Each Step Sorted by '[RV Step GWP (kg CO2 equiv.) per kg API']]]/SUMIF(Process_Steps['[RV Step GWP (kg CO2 equiv.) per kg API'] of Each Step Sorted by '[RV Step GWP (kg CO2 equiv.) per kg API']],"&lt;&gt;#N/A"),"0%")&amp;")"</f>
        <v>(8%)</v>
      </c>
      <c r="BV10" s="23">
        <f ca="1">INDEX(Process_Steps[RV Step GWP (kg CO2 equiv.) per kg API (REAGENT)],MATCH(Process_Steps[[#This Row],[Steps Sorted by '[RV Step GWP (kg CO2 equiv.) per kg API']]],Process_Steps[Name],0))</f>
        <v>3.2014571139800156</v>
      </c>
      <c r="BW10" s="23">
        <f ca="1">INDEX(Process_Steps[RV Step GWP (kg CO2 equiv.) per kg API (METAL)],MATCH(Process_Steps[[#This Row],[Steps Sorted by '[RV Step GWP (kg CO2 equiv.) per kg API']]],Process_Steps[Name],0))</f>
        <v>0</v>
      </c>
      <c r="BX10" s="23">
        <f ca="1">INDEX(Process_Steps[RV Step GWP (kg CO2 equiv.) per kg API (SOLVENT)],MATCH(Process_Steps[[#This Row],[Steps Sorted by '[RV Step GWP (kg CO2 equiv.) per kg API']]],Process_Steps[Name],0))</f>
        <v>9.2008420682693028</v>
      </c>
      <c r="BY10" s="23">
        <f ca="1">INDEX(Process_Steps[RV Step GWP (kg CO2 equiv.) per kg API (WATER)],MATCH(Process_Steps[[#This Row],[Steps Sorted by '[RV Step GWP (kg CO2 equiv.) per kg API']]],Process_Steps[Name],0))</f>
        <v>0</v>
      </c>
      <c r="BZ10" s="23">
        <f ca="1">INDEX(Process_Steps[RV Step GWP (kg CO2 equiv.) per kg API (ENZ&amp;PLNT)],MATCH(Process_Steps[[#This Row],[Steps Sorted by '[RV Step GWP (kg CO2 equiv.) per kg API']]],Process_Steps[Name],0))</f>
        <v>0</v>
      </c>
      <c r="CA10" s="23">
        <f ca="1">INDEX(Process_Steps[RV Step GWP (kg CO2 equiv.) per kg API (OTHER)],MATCH(Process_Steps[[#This Row],[Steps Sorted by '[RV Step GWP (kg CO2 equiv.) per kg API']]],Process_Steps[Name],0))</f>
        <v>0</v>
      </c>
      <c r="CB10" s="118" t="e">
        <f>IF(Process_Steps[[#This Row],[Real or Virtual?]]="Real",SUMIFS(Table_Process_Details[RV Acidification (kg SO2 equiv.) per kg API],Table_Process_Details[Step Name],Process_Steps[[#This Row],[Name]]),NA())</f>
        <v>#N/A</v>
      </c>
      <c r="CC10" s="20" t="e">
        <f>IF(Process_Steps[[#This Row],[Real or Virtual?]]="Real",SUMIFS(Table_Process_Details[RV Acidification (kg SO2 equiv.) per kg API (REAGENT)],Table_Process_Details[Step Name],Process_Steps[[#This Row],[Name]]),NA())</f>
        <v>#N/A</v>
      </c>
      <c r="CD10" s="20" t="e">
        <f>IF(Process_Steps[[#This Row],[Real or Virtual?]]="Real",SUMIFS(Table_Process_Details[RV Acidification (kg SO2 equiv.) per kg API (METAL)],Table_Process_Details[Step Name],Process_Steps[[#This Row],[Name]]),NA())</f>
        <v>#N/A</v>
      </c>
      <c r="CE10" s="20" t="e">
        <f>IF(Process_Steps[[#This Row],[Real or Virtual?]]="Real",SUMIFS(Table_Process_Details[RV Acidification (kg SO2 equiv.) per kg API (SOLVENT)],Table_Process_Details[Step Name],Process_Steps[[#This Row],[Name]]),NA())</f>
        <v>#N/A</v>
      </c>
      <c r="CF10" s="20" t="e">
        <f>IF(Process_Steps[[#This Row],[Real or Virtual?]]="Real",SUMIFS(Table_Process_Details[RV Acidification (kg SO2 equiv.) per kg API (WATER)],Table_Process_Details[Step Name],Process_Steps[[#This Row],[Name]]),NA())</f>
        <v>#N/A</v>
      </c>
      <c r="CG10" s="20" t="e">
        <f>IF(Process_Steps[[#This Row],[Real or Virtual?]]="Real",SUMIFS(Table_Process_Details[RV Acidification (kg SO2 equiv.) per kg API (ENZ&amp;PLNT)],Table_Process_Details[Step Name],Process_Steps[[#This Row],[Name]]),NA())</f>
        <v>#N/A</v>
      </c>
      <c r="CH10" s="20" t="e">
        <f>IF(Process_Steps[[#This Row],[Real or Virtual?]]="Real",SUMIFS(Table_Process_Details[RV Acidification (kg SO2 equiv.) per kg API (OTHER)],Table_Process_Details[Step Name],Process_Steps[[#This Row],[Name]]),NA())</f>
        <v>#N/A</v>
      </c>
      <c r="CI10" s="23" t="str">
        <f ca="1">INDEX(Process_Steps[Name if Real],MATCH(Process_Steps[[#This Row],['[RV Step Acidification (kg SO2 equiv.) per kg API'] of Each Step Sorted by '[RV Step Acidification (kg SO2 equiv.) per kg API']]],Process_Steps[RV Step Acidification (kg SO2 equiv.) per kg API],0))</f>
        <v>1f) Virtual solution prep for (1) and (3): 20 wt% reagent D (organic) in DMF</v>
      </c>
      <c r="CJ10" s="23" cm="1">
        <f t="array" aca="1" ref="CJ10" ca="1">IF(LARGE(_xlfn.IFNA(Process_Steps[RV Step Acidification (kg SO2 equiv.) per kg API],0),Process_Steps[[#This Row],[Table Row]])=0,NA(),LARGE(_xlfn.IFNA(Process_Steps[RV Step Acidification (kg SO2 equiv.) per kg API],0),Process_Steps[[#This Row],[Table Row]]))</f>
        <v>5.435212525425346E-2</v>
      </c>
      <c r="CK10" s="23">
        <f ca="1">SUM(OFFSET(Process_Steps['[RV Step Acidification (kg SO2 equiv.) per kg API'] of Each Step Sorted by '[RV Step Acidification (kg SO2 equiv.) per kg API']],0,0,Process_Steps[[#This Row],[Table Row]]))</f>
        <v>0.58156542854466697</v>
      </c>
      <c r="CL10"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(8%)</v>
      </c>
      <c r="CM10" s="23">
        <f ca="1">INDEX(Process_Steps[RV Step Acidification (kg SO2 equiv.) per kg API (REAGENT)],MATCH(Process_Steps[[#This Row],[Steps Sorted by '[RV Step Acidification (kg SO2 equiv.) per kg API']]],Process_Steps[Name],0))</f>
        <v>1.3690850729033123E-2</v>
      </c>
      <c r="CN10" s="23">
        <f ca="1">INDEX(Process_Steps[RV Step Acidification (kg SO2 equiv.) per kg API (METAL)],MATCH(Process_Steps[[#This Row],[Steps Sorted by '[RV Step Acidification (kg SO2 equiv.) per kg API']]],Process_Steps[Name],0))</f>
        <v>0</v>
      </c>
      <c r="CO10" s="23">
        <f ca="1">INDEX(Process_Steps[RV Step Acidification (kg SO2 equiv.) per kg API (SOLVENT)],MATCH(Process_Steps[[#This Row],[Steps Sorted by '[RV Step Acidification (kg SO2 equiv.) per kg API']]],Process_Steps[Name],0))</f>
        <v>4.0661274525220337E-2</v>
      </c>
      <c r="CP10" s="23">
        <f ca="1">INDEX(Process_Steps[RV Step Acidification (kg SO2 equiv.) per kg API (WATER)],MATCH(Process_Steps[[#This Row],[Steps Sorted by '[RV Step Acidification (kg SO2 equiv.) per kg API']]],Process_Steps[Name],0))</f>
        <v>0</v>
      </c>
      <c r="CQ10" s="23">
        <f ca="1">INDEX(Process_Steps[RV Step Acidification (kg SO2 equiv.) per kg API (ENZ&amp;PLNT)],MATCH(Process_Steps[[#This Row],[Steps Sorted by '[RV Step Acidification (kg SO2 equiv.) per kg API']]],Process_Steps[Name],0))</f>
        <v>0</v>
      </c>
      <c r="CR10" s="23">
        <f ca="1">INDEX(Process_Steps[RV Step Acidification (kg SO2 equiv.) per kg API (OTHER)],MATCH(Process_Steps[[#This Row],[Steps Sorted by '[RV Step Acidification (kg SO2 equiv.) per kg API']]],Process_Steps[Name],0))</f>
        <v>0</v>
      </c>
      <c r="CS10" s="118" t="e">
        <f>IF(Process_Steps[[#This Row],[Real or Virtual?]]="Real",SUMIFS(Table_Process_Details[RV Eutrophication (kg phosphate equiv.) per kg API],Table_Process_Details[Step Name],Process_Steps[[#This Row],[Name]]),NA())</f>
        <v>#N/A</v>
      </c>
      <c r="CT10" s="20" t="e">
        <f>IF(Process_Steps[[#This Row],[Real or Virtual?]]="Real",SUMIFS(Table_Process_Details[RV Eutrophication (kg phosphate equiv.) per kg API (REAGENT)],Table_Process_Details[Step Name],Process_Steps[[#This Row],[Name]]),NA())</f>
        <v>#N/A</v>
      </c>
      <c r="CU10" s="20" t="e">
        <f>IF(Process_Steps[[#This Row],[Real or Virtual?]]="Real",SUMIFS(Table_Process_Details[RV Eutrophication (kg phosphate equiv.) per kg API (METAL)],Table_Process_Details[Step Name],Process_Steps[[#This Row],[Name]]),NA())</f>
        <v>#N/A</v>
      </c>
      <c r="CV10" s="20" t="e">
        <f>IF(Process_Steps[[#This Row],[Real or Virtual?]]="Real",SUMIFS(Table_Process_Details[RV Eutrophication (kg phosphate equiv.) per kg API (SOLVENT)],Table_Process_Details[Step Name],Process_Steps[[#This Row],[Name]]),NA())</f>
        <v>#N/A</v>
      </c>
      <c r="CW10" s="20" t="e">
        <f>IF(Process_Steps[[#This Row],[Real or Virtual?]]="Real",SUMIFS(Table_Process_Details[RV Eutrophication (kg phosphate equiv.) per kg API (WATER)],Table_Process_Details[Step Name],Process_Steps[[#This Row],[Name]]),NA())</f>
        <v>#N/A</v>
      </c>
      <c r="CX10" s="20" t="e">
        <f>IF(Process_Steps[[#This Row],[Real or Virtual?]]="Real",SUMIFS(Table_Process_Details[RV Eutrophication (kg phosphate equiv.) per kg API (ENZ&amp;PLNT)],Table_Process_Details[Step Name],Process_Steps[[#This Row],[Name]]),NA())</f>
        <v>#N/A</v>
      </c>
      <c r="CY10" s="20" t="e">
        <f>IF(Process_Steps[[#This Row],[Real or Virtual?]]="Real",SUMIFS(Table_Process_Details[RV Eutrophication (kg phosphate equiv.) per kg API (OTHER)],Table_Process_Details[Step Name],Process_Steps[[#This Row],[Name]]),NA())</f>
        <v>#N/A</v>
      </c>
      <c r="CZ10" s="23" t="str">
        <f ca="1">INDEX(Process_Steps[Name if Real],MATCH(Process_Steps[[#This Row],['[RV Step Eutrophication (kg phosphate equiv.) per kg API'] of Each Step Sorted by '[RV Step Eutrophication (kg phosphate equiv.) per kg API']]],Process_Steps[RV Step Eutrophication (kg posphate equiv.) per kg API],0))</f>
        <v>5) Pure Step</v>
      </c>
      <c r="DA10" s="23" cm="1">
        <f t="array" aca="1" ref="DA10" ca="1">IF(LARGE(_xlfn.IFNA(Process_Steps[RV Step Eutrophication (kg posphate equiv.) per kg API],0),Process_Steps[[#This Row],[Table Row]])=0,NA(),LARGE(_xlfn.IFNA(Process_Steps[RV Step Eutrophication (kg posphate equiv.) per kg API],0),Process_Steps[[#This Row],[Table Row]]))</f>
        <v>0.10820833759535484</v>
      </c>
      <c r="DB10" s="23">
        <f ca="1">SUM(OFFSET(Process_Steps['[RV Step Eutrophication (kg phosphate equiv.) per kg API'] of Each Step Sorted by '[RV Step Eutrophication (kg phosphate equiv.) per kg API']],0,0,Process_Steps[[#This Row],[Table Row]]))</f>
        <v>1.2773975671068516</v>
      </c>
      <c r="DC10"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(8%)</v>
      </c>
      <c r="DD10" s="23">
        <f ca="1">INDEX(Process_Steps[RV Step Eutrophication (kg posphate equiv.) per kg API (REAGENT)],MATCH(Process_Steps[[#This Row],[Steps Sorted by '[RV Step Eutrophication (kg phosphate equiv.) per kg API']]],Process_Steps[Name],0))</f>
        <v>1.7253990955354841E-2</v>
      </c>
      <c r="DE10" s="23">
        <f ca="1">INDEX(Process_Steps[RV Step Eutrophication (kg posphate equiv.) per kg API (METAL)],MATCH(Process_Steps[[#This Row],[Steps Sorted by '[RV Step Eutrophication (kg phosphate equiv.) per kg API']]],Process_Steps[Name],0))</f>
        <v>0</v>
      </c>
      <c r="DF10" s="23">
        <f ca="1">INDEX(Process_Steps[RV Step Eutrophication (kg posphate equiv.) per kg API (SOLVENT)],MATCH(Process_Steps[[#This Row],[Steps Sorted by '[RV Step Eutrophication (kg phosphate equiv.) per kg API']]],Process_Steps[Name],0))</f>
        <v>9.0954346640000003E-2</v>
      </c>
      <c r="DG10" s="23">
        <f ca="1">INDEX(Process_Steps[RV Step Eutrophication (kg posphate equiv.) per kg API (WATER)],MATCH(Process_Steps[[#This Row],[Steps Sorted by '[RV Step Eutrophication (kg phosphate equiv.) per kg API']]],Process_Steps[Name],0))</f>
        <v>0</v>
      </c>
      <c r="DH10" s="23">
        <f ca="1">INDEX(Process_Steps[RV Step Eutrophication (kg posphate equiv.) per kg API (ENZ&amp;PLNT)],MATCH(Process_Steps[[#This Row],[Steps Sorted by '[RV Step Eutrophication (kg phosphate equiv.) per kg API']]],Process_Steps[Name],0))</f>
        <v>0</v>
      </c>
      <c r="DI10" s="23">
        <f ca="1">INDEX(Process_Steps[RV Step Eutrophication (kg posphate equiv.) per kg API (OTHER)],MATCH(Process_Steps[[#This Row],[Steps Sorted by '[RV Step Eutrophication (kg phosphate equiv.) per kg API']]],Process_Steps[Name],0))</f>
        <v>0</v>
      </c>
      <c r="DJ10" s="118" t="e">
        <f>IF(Process_Steps[[#This Row],[Real or Virtual?]]="Real",SUMIFS(Table_Process_Details[RV Water (kg) per kg API],Table_Process_Details[Step Name],Process_Steps[[#This Row],[Name]]),NA())</f>
        <v>#N/A</v>
      </c>
      <c r="DK10" s="20" t="e">
        <f>IF(Process_Steps[[#This Row],[Real or Virtual?]]="Real",SUMIFS(Table_Process_Details[RV Water (kg) per kg API (REAGENT)],Table_Process_Details[Step Name],Process_Steps[[#This Row],[Name]]),NA())</f>
        <v>#N/A</v>
      </c>
      <c r="DL10" s="20" t="e">
        <f>IF(Process_Steps[[#This Row],[Real or Virtual?]]="Real",SUMIFS(Table_Process_Details[RV Water (kg) per kg API (METAL)],Table_Process_Details[Step Name],Process_Steps[[#This Row],[Name]]),NA())</f>
        <v>#N/A</v>
      </c>
      <c r="DM10" s="20" t="e">
        <f>IF(Process_Steps[[#This Row],[Real or Virtual?]]="Real",SUMIFS(Table_Process_Details[RV Water (kg) per kg API (SOLVENT)],Table_Process_Details[Step Name],Process_Steps[[#This Row],[Name]]),NA())</f>
        <v>#N/A</v>
      </c>
      <c r="DN10" s="20" t="e">
        <f>IF(Process_Steps[[#This Row],[Real or Virtual?]]="Real",SUMIFS(Table_Process_Details[RV Water (kg) per kg API (WATER)],Table_Process_Details[Step Name],Process_Steps[[#This Row],[Name]]),NA())</f>
        <v>#N/A</v>
      </c>
      <c r="DO10" s="20" t="e">
        <f>IF(Process_Steps[[#This Row],[Real or Virtual?]]="Real",SUMIFS(Table_Process_Details[RV Water (kg) per kg API (ENZ&amp;PLNT)],Table_Process_Details[Step Name],Process_Steps[[#This Row],[Name]]),NA())</f>
        <v>#N/A</v>
      </c>
      <c r="DP10" s="20" t="e">
        <f>IF(Process_Steps[[#This Row],[Real or Virtual?]]="Real",SUMIFS(Table_Process_Details[RV Water (kg) per kg API (OTHER)],Table_Process_Details[Step Name],Process_Steps[[#This Row],[Name]]),NA())</f>
        <v>#N/A</v>
      </c>
      <c r="DQ10" s="23" t="str">
        <f ca="1">INDEX(Process_Steps[Name if Real],MATCH(Process_Steps[[#This Row],['[RV Step Water (kg) per kg API'] of Each Step Sorted by '[RV Step Water (kg) per kg API']]],Process_Steps[RV Step Water (kg) per kg API],0))</f>
        <v>1f) Virtual solution prep for (1) and (3): 20 wt% reagent D (organic) in DMF</v>
      </c>
      <c r="DR10" s="23" cm="1">
        <f t="array" aca="1" ref="DR10" ca="1">IF(LARGE(_xlfn.IFNA(Process_Steps[RV Step Water (kg) per kg API],0),Process_Steps[[#This Row],[Table Row]])=0,NA(),LARGE(_xlfn.IFNA(Process_Steps[RV Step Water (kg) per kg API],0),Process_Steps[[#This Row],[Table Row]]))</f>
        <v>65.068245826819989</v>
      </c>
      <c r="DS10" s="23">
        <f ca="1">SUM(OFFSET(Process_Steps['[RV Step Water (kg) per kg API'] of Each Step Sorted by '[RV Step Water (kg) per kg API']],0,0,Process_Steps[[#This Row],[Table Row]]))</f>
        <v>818.12552325868239</v>
      </c>
      <c r="DT10" s="23" t="str">
        <f ca="1">"("&amp;TEXT(Process_Steps[[#This Row],['[RV Step Water (kg) per kg API'] of Each Step Sorted by '[RV Step Water (kg) per kg API']]]/SUMIF(Process_Steps['[RV Step Water (kg) per kg API'] of Each Step Sorted by '[RV Step Water (kg) per kg API']],"&lt;&gt;#N/A"),"0%")&amp;")"</f>
        <v>(7%)</v>
      </c>
      <c r="DU10" s="23">
        <f ca="1">INDEX(Process_Steps[RV Step Water (kg) per kg API (REAGENT)],MATCH(Process_Steps[[#This Row],[Steps Sorted by '[RV Step Water (kg) per kg API']]],Process_Steps[Name],0))</f>
        <v>17.926524327890665</v>
      </c>
      <c r="DV10" s="23">
        <f ca="1">INDEX(Process_Steps[RV Step Water (kg) per kg API (METAL)],MATCH(Process_Steps[[#This Row],[Steps Sorted by '[RV Step Water (kg) per kg API']]],Process_Steps[Name],0))</f>
        <v>0</v>
      </c>
      <c r="DW10" s="23">
        <f ca="1">INDEX(Process_Steps[RV Step Water (kg) per kg API (SOLVENT)],MATCH(Process_Steps[[#This Row],[Steps Sorted by '[RV Step Water (kg) per kg API']]],Process_Steps[Name],0))</f>
        <v>47.141721498929329</v>
      </c>
      <c r="DX10" s="23">
        <f ca="1">INDEX(Process_Steps[RV Step Water (kg) per kg API (WATER)],MATCH(Process_Steps[[#This Row],[Steps Sorted by '[RV Step Water (kg) per kg API']]],Process_Steps[Name],0))</f>
        <v>0</v>
      </c>
      <c r="DY10" s="23">
        <f ca="1">INDEX(Process_Steps[RV Step Water (kg) per kg API (ENZ&amp;PLNT)],MATCH(Process_Steps[[#This Row],[Steps Sorted by '[RV Step Water (kg) per kg API']]],Process_Steps[Name],0))</f>
        <v>0</v>
      </c>
      <c r="DZ10" s="23">
        <f ca="1">INDEX(Process_Steps[RV Step Water (kg) per kg API (OTHER)],MATCH(Process_Steps[[#This Row],[Steps Sorted by '[RV Step Water (kg) per kg API']]],Process_Steps[Name],0))</f>
        <v>0</v>
      </c>
    </row>
    <row r="11" spans="1:130" x14ac:dyDescent="0.25">
      <c r="A11" t="s">
        <v>780</v>
      </c>
      <c r="B11" t="s">
        <v>175</v>
      </c>
      <c r="C11" t="s">
        <v>781</v>
      </c>
      <c r="D11" t="s">
        <v>842</v>
      </c>
      <c r="F11" s="25">
        <f>INDEX(Table_Process_Details[Physical Mass (kg)],MATCH(1,INDEX((Process_Steps[[#This Row],[Name]]=Table_Process_Details[Step Name])*(Table_Process_Details[Input or Output]="Output"),0),0))</f>
        <v>1072</v>
      </c>
      <c r="G11" s="25" cm="1">
        <f t="array" aca="1" ref="G11"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2.7960410222892333</v>
      </c>
      <c r="H11" s="28">
        <f ca="1">Process_Steps[[#This Row],[Total Mass that must be produced]]/Process_Steps[[#This Row],[Unscaled Step Product Mass]]</f>
        <v>2.6082472222847325E-3</v>
      </c>
      <c r="I11" s="23" t="e">
        <f>IF(Process_Steps[[#This Row],[Real or Virtual?]]="Real",Process_Steps[[#This Row],[Name]],NA())</f>
        <v>#N/A</v>
      </c>
      <c r="J11" s="30">
        <f>ROW()-ROW(Process_Steps[[#Headers],[Table Row]])</f>
        <v>5</v>
      </c>
      <c r="K11"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1" s="118" t="e">
        <f>IF(Process_Steps[[#This Row],[Real or Virtual?]]="Real",SUMIFS(Table_Process_Details[RV Physical Mass per kg API],Table_Process_Details[Input or Output],"Input",Table_Process_Details[Step Name],Process_Steps[[#This Row],[Name]]),NA())</f>
        <v>#N/A</v>
      </c>
      <c r="M11" s="20" t="e">
        <f>IF(Process_Steps[[#This Row],[Real or Virtual?]]="Real",SUMIFS(Table_Process_Details[RV Physical Mass per kg API (REAGENT)],Table_Process_Details[Input or Output],"Input",Table_Process_Details[Step Name],Process_Steps[[#This Row],[Name]]),NA())</f>
        <v>#N/A</v>
      </c>
      <c r="N11" s="20" t="e">
        <f>IF(Process_Steps[[#This Row],[Real or Virtual?]]="Real",SUMIFS(Table_Process_Details[RV Physical Mass per kg API (METAL)],Table_Process_Details[Input or Output],"Input",Table_Process_Details[Step Name],Process_Steps[[#This Row],[Name]]),NA())</f>
        <v>#N/A</v>
      </c>
      <c r="O11" s="20" t="e">
        <f>IF(Process_Steps[[#This Row],[Real or Virtual?]]="Real",SUMIFS(Table_Process_Details[RV Physical Mass per kg API (SOLVENT)],Table_Process_Details[Input or Output],"Input",Table_Process_Details[Step Name],Process_Steps[[#This Row],[Name]]),NA())</f>
        <v>#N/A</v>
      </c>
      <c r="P11" s="20" t="e">
        <f>IF(Process_Steps[[#This Row],[Real or Virtual?]]="Real",SUMIFS(Table_Process_Details[RV Physical Mass per kg API (WATER)],Table_Process_Details[Input or Output],"Input",Table_Process_Details[Step Name],Process_Steps[[#This Row],[Name]]),NA())</f>
        <v>#N/A</v>
      </c>
      <c r="Q11" s="20" t="e">
        <f>IF(Process_Steps[[#This Row],[Real or Virtual?]]="Real",SUMIFS(Table_Process_Details[RV Physical Mass per kg API (ENZ&amp;PLNT)],Table_Process_Details[Input or Output],"Input",Table_Process_Details[Step Name],Process_Steps[[#This Row],[Name]]),NA())</f>
        <v>#N/A</v>
      </c>
      <c r="R11" s="20" t="e">
        <f>IF(Process_Steps[[#This Row],[Real or Virtual?]]="Real",SUMIFS(Table_Process_Details[RV Physical Mass per kg API (OTHER)],Table_Process_Details[Input or Output],"Input",Table_Process_Details[Step Name],Process_Steps[[#This Row],[Name]]),NA())</f>
        <v>#N/A</v>
      </c>
      <c r="S11" s="118" t="str">
        <f ca="1">INDEX(Process_Steps[Name if Real],MATCH(Process_Steps[[#This Row],['[RV Step PMI per kg API'] of Each Step Sorted by '[RV Step PMI per kg API']]],Process_Steps[RV Step PMI per kg API],0))</f>
        <v>2) Synthesis of Intermediate (2)</v>
      </c>
      <c r="T11" s="118" cm="1">
        <f t="array" aca="1" ref="T11" ca="1">IF(LARGE(_xlfn.IFNA(Process_Steps[RV Step PMI per kg API],0),Process_Steps[[#This Row],[Table Row]])=0,NA(),LARGE(_xlfn.IFNA(Process_Steps[RV Step PMI per kg API],0),Process_Steps[[#This Row],[Table Row]]))</f>
        <v>9.7162425523985618</v>
      </c>
      <c r="U11" s="118">
        <f ca="1">SUM(OFFSET(Process_Steps['[RV Step PMI per kg API'] of Each Step Sorted by '[RV Step PMI per kg API']],0,0,Process_Steps[[#This Row],[Table Row]]))</f>
        <v>141.47483365444418</v>
      </c>
      <c r="V11" s="118" t="str">
        <f ca="1">"("&amp;TEXT(Process_Steps[[#This Row],['[RV Step PMI per kg API'] of Each Step Sorted by '[RV Step PMI per kg API']]]/SUMIF(Process_Steps['[RV Step PMI per kg API'] of Each Step Sorted by '[RV Step PMI per kg API']],"&lt;&gt;#N/A"),"0%")&amp;")"</f>
        <v>(7%)</v>
      </c>
      <c r="W11" s="23">
        <f ca="1">INDEX(Process_Steps[RV Step PMI per kg API (REAGENT)],MATCH(Process_Steps[[#This Row],[Steps Sorted by '[RV Step PMI per kg API']]],Process_Steps[Name],0))</f>
        <v>0.38565736162807535</v>
      </c>
      <c r="X11" s="23">
        <f ca="1">INDEX(Process_Steps[RV Step PMI per kg API (METAL)],MATCH(Process_Steps[[#This Row],[Steps Sorted by '[RV Step PMI per kg API']]],Process_Steps[Name],0))</f>
        <v>0</v>
      </c>
      <c r="Y11" s="23">
        <f ca="1">INDEX(Process_Steps[RV Step PMI per kg API (SOLVENT)],MATCH(Process_Steps[[#This Row],[Steps Sorted by '[RV Step PMI per kg API']]],Process_Steps[Name],0))</f>
        <v>3.8445564056253305</v>
      </c>
      <c r="Z11" s="23">
        <f ca="1">INDEX(Process_Steps[RV Step PMI per kg API (WATER)],MATCH(Process_Steps[[#This Row],[Steps Sorted by '[RV Step PMI per kg API']]],Process_Steps[Name],0))</f>
        <v>5.486028785145157</v>
      </c>
      <c r="AA11" s="23">
        <f ca="1">INDEX(Process_Steps[RV Step PMI per kg API (ENZ&amp;PLNT)],MATCH(Process_Steps[[#This Row],[Steps Sorted by '[RV Step PMI per kg API']]],Process_Steps[Name],0))</f>
        <v>0</v>
      </c>
      <c r="AB11" s="23">
        <f ca="1">INDEX(Process_Steps[RV Step PMI per kg API (OTHER)],MATCH(Process_Steps[[#This Row],[Steps Sorted by '[RV Step PMI per kg API']]],Process_Steps[Name],0))</f>
        <v>0</v>
      </c>
      <c r="AC11" s="118" t="e">
        <f>IF(Process_Steps[[#This Row],[Real or Virtual?]]="Real",SUMIFS(Table_Process_Details[RV Mass Net (kg) per kg API],Table_Process_Details[Step Name],Process_Steps[[#This Row],[Name]]),NA())</f>
        <v>#N/A</v>
      </c>
      <c r="AD11" s="20" t="e">
        <f>IF(Process_Steps[[#This Row],[Real or Virtual?]]="Real",SUMIFS(Table_Process_Details[RV Mass Net (kg) per kg API (REAGENT)],Table_Process_Details[Step Name],Process_Steps[[#This Row],[Name]]),NA())</f>
        <v>#N/A</v>
      </c>
      <c r="AE11" s="20" t="e">
        <f>IF(Process_Steps[[#This Row],[Real or Virtual?]]="Real",SUMIFS(Table_Process_Details[RV Mass Net (kg) per kg API (METAL)],Table_Process_Details[Step Name],Process_Steps[[#This Row],[Name]]),NA())</f>
        <v>#N/A</v>
      </c>
      <c r="AF11" s="20" t="e">
        <f>IF(Process_Steps[[#This Row],[Real or Virtual?]]="Real",SUMIFS(Table_Process_Details[RV Mass Net (kg) per kg API (SOLVENT)],Table_Process_Details[Step Name],Process_Steps[[#This Row],[Name]]),NA())</f>
        <v>#N/A</v>
      </c>
      <c r="AG11" s="20" t="e">
        <f>IF(Process_Steps[[#This Row],[Real or Virtual?]]="Real",SUMIFS(Table_Process_Details[RV Mass Net (kg) per kg API (WATER)],Table_Process_Details[Step Name],Process_Steps[[#This Row],[Name]]),NA())</f>
        <v>#N/A</v>
      </c>
      <c r="AH11" s="20" t="e">
        <f>IF(Process_Steps[[#This Row],[Real or Virtual?]]="Real",SUMIFS(Table_Process_Details[RV Mass Net (kg) per kg API (ENZ&amp;PLNT)],Table_Process_Details[Step Name],Process_Steps[[#This Row],[Name]]),NA())</f>
        <v>#N/A</v>
      </c>
      <c r="AI11" s="20" t="e">
        <f>IF(Process_Steps[[#This Row],[Real or Virtual?]]="Real",SUMIFS(Table_Process_Details[RV Mass Net (kg) per kg API (OTHER)],Table_Process_Details[Step Name],Process_Steps[[#This Row],[Name]]),NA())</f>
        <v>#N/A</v>
      </c>
      <c r="AJ11" s="23" t="str">
        <f ca="1">INDEX(Process_Steps[Name if Real],MATCH(Process_Steps[[#This Row],['[RV Step Mass Net (kg) per kg API'] of Each Step Sorted by '[RV Step Mass Net (kg) per kg API']]],Process_Steps[RV Step Mass Net (kg) per kg API],0))</f>
        <v>1) Synthesis of Intermediate (1)</v>
      </c>
      <c r="AK11" s="23" cm="1">
        <f t="array" aca="1" ref="AK11" ca="1">IF(LARGE(_xlfn.IFNA(Process_Steps[RV Step Mass Net (kg) per kg API],0),Process_Steps[[#This Row],[Table Row]])=0,NA(),LARGE(_xlfn.IFNA(Process_Steps[RV Step Mass Net (kg) per kg API],0),Process_Steps[[#This Row],[Table Row]]))</f>
        <v>8.4474368694746982</v>
      </c>
      <c r="AL11" s="23">
        <f ca="1">SUM(OFFSET(Process_Steps['[RV Step Mass Net (kg) per kg API'] of Each Step Sorted by '[RV Step Mass Net (kg) per kg API']],0,0,Process_Steps[[#This Row],[Table Row]]))</f>
        <v>120.76919864657039</v>
      </c>
      <c r="AM11" s="23" t="str">
        <f ca="1">"("&amp;TEXT(Process_Steps[[#This Row],['[RV Step Mass Net (kg) per kg API'] of Each Step Sorted by '[RV Step Mass Net (kg) per kg API']]]/SUMIF(Process_Steps['[RV Step Mass Net (kg) per kg API'] of Each Step Sorted by '[RV Step Mass Net (kg) per kg API']],"&lt;&gt;#N/A"),"0%")&amp;")"</f>
        <v>(7%)</v>
      </c>
      <c r="AN11" s="23">
        <f ca="1">INDEX(Process_Steps[RV Step Mass Net (kg) per kg API (REAGENT)],MATCH(Process_Steps[[#This Row],[Steps Sorted by '[RV Step Mass Net (kg) per kg API']]],Process_Steps[Name],0))</f>
        <v>2.0319070761885989</v>
      </c>
      <c r="AO11" s="23">
        <f ca="1">INDEX(Process_Steps[RV Step Mass Net (kg) per kg API (METAL)],MATCH(Process_Steps[[#This Row],[Steps Sorted by '[RV Step Mass Net (kg) per kg API']]],Process_Steps[Name],0))</f>
        <v>1.3212335406624615E-2</v>
      </c>
      <c r="AP11" s="23">
        <f ca="1">INDEX(Process_Steps[RV Step Mass Net (kg) per kg API (SOLVENT)],MATCH(Process_Steps[[#This Row],[Steps Sorted by '[RV Step Mass Net (kg) per kg API']]],Process_Steps[Name],0))</f>
        <v>6.3820087135755195</v>
      </c>
      <c r="AQ11" s="23">
        <f ca="1">INDEX(Process_Steps[RV Step Mass Net (kg) per kg API (WATER)],MATCH(Process_Steps[[#This Row],[Steps Sorted by '[RV Step Mass Net (kg) per kg API']]],Process_Steps[Name],0))</f>
        <v>2.0308744303955559E-2</v>
      </c>
      <c r="AR11" s="23">
        <f ca="1">INDEX(Process_Steps[RV Step Mass Net (kg) per kg API (ENZ&amp;PLNT)],MATCH(Process_Steps[[#This Row],[Steps Sorted by '[RV Step Mass Net (kg) per kg API']]],Process_Steps[Name],0))</f>
        <v>0</v>
      </c>
      <c r="AS11" s="23">
        <f ca="1">INDEX(Process_Steps[RV Step Mass Net (kg) per kg API (OTHER)],MATCH(Process_Steps[[#This Row],[Steps Sorted by '[RV Step Mass Net (kg) per kg API']]],Process_Steps[Name],0))</f>
        <v>0</v>
      </c>
      <c r="AT11" s="118" t="e">
        <f>IF(Process_Steps[[#This Row],[Real or Virtual?]]="Real",SUMIFS(Table_Process_Details[RV Energy (MJ) per kg API],Table_Process_Details[Step Name],Process_Steps[[#This Row],[Name]]),NA())</f>
        <v>#N/A</v>
      </c>
      <c r="AU11" s="20" t="e">
        <f>IF(Process_Steps[[#This Row],[Real or Virtual?]]="Real",SUMIFS(Table_Process_Details[RV Energy (MJ) per kg API (REAGENT)],Table_Process_Details[Step Name],Process_Steps[[#This Row],[Name]]),NA())</f>
        <v>#N/A</v>
      </c>
      <c r="AV11" s="20" t="e">
        <f>IF(Process_Steps[[#This Row],[Real or Virtual?]]="Real",SUMIFS(Table_Process_Details[RV Energy (MJ) per kg API (METAL)],Table_Process_Details[Step Name],Process_Steps[[#This Row],[Name]]),NA())</f>
        <v>#N/A</v>
      </c>
      <c r="AW11" s="20" t="e">
        <f>IF(Process_Steps[[#This Row],[Real or Virtual?]]="Real",SUMIFS(Table_Process_Details[RV Energy (MJ) per kg API (SOLVENT)],Table_Process_Details[Step Name],Process_Steps[[#This Row],[Name]]),NA())</f>
        <v>#N/A</v>
      </c>
      <c r="AX11" s="20" t="e">
        <f>IF(Process_Steps[[#This Row],[Real or Virtual?]]="Real",SUMIFS(Table_Process_Details[RV Energy (MJ) per kg API (WATER)],Table_Process_Details[Step Name],Process_Steps[[#This Row],[Name]]),NA())</f>
        <v>#N/A</v>
      </c>
      <c r="AY11" s="20" t="e">
        <f>IF(Process_Steps[[#This Row],[Real or Virtual?]]="Real",SUMIFS(Table_Process_Details[RV Energy (MJ) per kg API (ENZ&amp;PLNT)],Table_Process_Details[Step Name],Process_Steps[[#This Row],[Name]]),NA())</f>
        <v>#N/A</v>
      </c>
      <c r="AZ11" s="20" t="e">
        <f>IF(Process_Steps[[#This Row],[Real or Virtual?]]="Real",SUMIFS(Table_Process_Details[RV Energy (MJ) per kg API (OTHER)],Table_Process_Details[Step Name],Process_Steps[[#This Row],[Name]]),NA())</f>
        <v>#N/A</v>
      </c>
      <c r="BA11" s="23" t="str">
        <f ca="1">INDEX(Process_Steps[Name if Real],MATCH(Process_Steps[[#This Row],['[RV Step Energy (MJ) per kg API'] of Each Step Sorted by '[RV Step Energy (MJ) per kg API']]],Process_Steps[RV Step Energy (MJ) per kg API],0))</f>
        <v>1) Synthesis of Intermediate (1)</v>
      </c>
      <c r="BB11" s="23" cm="1">
        <f t="array" aca="1" ref="BB11" ca="1">IF(LARGE(_xlfn.IFNA(Process_Steps[RV Step Energy (MJ) per kg API],0),Process_Steps[[#This Row],[Table Row]])=0,NA(),LARGE(_xlfn.IFNA(Process_Steps[RV Step Energy (MJ) per kg API],0),Process_Steps[[#This Row],[Table Row]]))</f>
        <v>340.03771700776434</v>
      </c>
      <c r="BC11" s="23">
        <f ca="1">SUM(OFFSET(Process_Steps['[RV Step Energy (MJ) per kg API'] of Each Step Sorted by '[RV Step Energy (MJ) per kg API']],0,0,Process_Steps[[#This Row],[Table Row]]))</f>
        <v>4820.0294439912896</v>
      </c>
      <c r="BD11" s="23" t="str">
        <f ca="1">"("&amp;TEXT(Process_Steps[[#This Row],['[RV Step Energy (MJ) per kg API'] of Each Step Sorted by '[RV Step Energy (MJ) per kg API']]]/SUMIF(Process_Steps['[RV Step Energy (MJ) per kg API'] of Each Step Sorted by '[RV Step Energy (MJ) per kg API']],"&lt;&gt;#N/A"),"0%")&amp;")"</f>
        <v>(7%)</v>
      </c>
      <c r="BE11" s="23">
        <f ca="1">INDEX(Process_Steps[RV Step Energy (MJ) per kg API (REAGENT)],MATCH(Process_Steps[[#This Row],[Steps Sorted by '[RV Step Energy (MJ) per kg API']]],Process_Steps[Name],0))</f>
        <v>40.802104102327149</v>
      </c>
      <c r="BF11" s="23">
        <f ca="1">INDEX(Process_Steps[RV Step Energy (MJ) per kg API (METAL)],MATCH(Process_Steps[[#This Row],[Steps Sorted by '[RV Step Energy (MJ) per kg API']]],Process_Steps[Name],0))</f>
        <v>4.8400991479566495E-2</v>
      </c>
      <c r="BG11" s="23">
        <f ca="1">INDEX(Process_Steps[RV Step Energy (MJ) per kg API (SOLVENT)],MATCH(Process_Steps[[#This Row],[Steps Sorted by '[RV Step Energy (MJ) per kg API']]],Process_Steps[Name],0))</f>
        <v>298.93428325627741</v>
      </c>
      <c r="BH11" s="23">
        <f ca="1">INDEX(Process_Steps[RV Step Energy (MJ) per kg API (WATER)],MATCH(Process_Steps[[#This Row],[Steps Sorted by '[RV Step Energy (MJ) per kg API']]],Process_Steps[Name],0))</f>
        <v>0.25292865768026723</v>
      </c>
      <c r="BI11" s="23">
        <f ca="1">INDEX(Process_Steps[RV Step Energy (MJ) per kg API (ENZ&amp;PLNT)],MATCH(Process_Steps[[#This Row],[Steps Sorted by '[RV Step Energy (MJ) per kg API']]],Process_Steps[Name],0))</f>
        <v>0</v>
      </c>
      <c r="BJ11" s="23">
        <f ca="1">INDEX(Process_Steps[RV Step Energy (MJ) per kg API (OTHER)],MATCH(Process_Steps[[#This Row],[Steps Sorted by '[RV Step Energy (MJ) per kg API']]],Process_Steps[Name],0))</f>
        <v>0</v>
      </c>
      <c r="BK11" s="118" t="e">
        <f>IF(Process_Steps[[#This Row],[Real or Virtual?]]="Real",SUMIFS(Table_Process_Details[RV GWP (kg CO2 equiv.) per kg API],Table_Process_Details[Step Name],Process_Steps[[#This Row],[Name]]),NA())</f>
        <v>#N/A</v>
      </c>
      <c r="BL11" s="20" t="e">
        <f>IF(Process_Steps[[#This Row],[Real or Virtual?]]="Real",SUMIFS(Table_Process_Details[RV GWP (kg CO2 equiv.) per kg API (REAGENT)],Table_Process_Details[Step Name],Process_Steps[[#This Row],[Name]]),NA())</f>
        <v>#N/A</v>
      </c>
      <c r="BM11" s="20" t="e">
        <f>IF(Process_Steps[[#This Row],[Real or Virtual?]]="Real",SUMIFS(Table_Process_Details[RV GWP (kg CO2 equiv.) per kg API (METAL)],Table_Process_Details[Step Name],Process_Steps[[#This Row],[Name]]),NA())</f>
        <v>#N/A</v>
      </c>
      <c r="BN11" s="20" t="e">
        <f>IF(Process_Steps[[#This Row],[Real or Virtual?]]="Real",SUMIFS(Table_Process_Details[RV GWP (kg CO2 equiv.) per kg API (SOLVENT)],Table_Process_Details[Step Name],Process_Steps[[#This Row],[Name]]),NA())</f>
        <v>#N/A</v>
      </c>
      <c r="BO11" s="20" t="e">
        <f>IF(Process_Steps[[#This Row],[Real or Virtual?]]="Real",SUMIFS(Table_Process_Details[RV GWP (kg CO2 equiv.) per kg API (WATER)],Table_Process_Details[Step Name],Process_Steps[[#This Row],[Name]]),NA())</f>
        <v>#N/A</v>
      </c>
      <c r="BP11" s="20" t="e">
        <f>IF(Process_Steps[[#This Row],[Real or Virtual?]]="Real",SUMIFS(Table_Process_Details[RV GWP (kg CO2 equiv.) per kg API (ENZ&amp;PLNT)],Table_Process_Details[Step Name],Process_Steps[[#This Row],[Name]]),NA())</f>
        <v>#N/A</v>
      </c>
      <c r="BQ11" s="20" t="e">
        <f>IF(Process_Steps[[#This Row],[Real or Virtual?]]="Real",SUMIFS(Table_Process_Details[RV GWP (kg CO2 equiv.) per kg API (OTHER)],Table_Process_Details[Step Name],Process_Steps[[#This Row],[Name]]),NA())</f>
        <v>#N/A</v>
      </c>
      <c r="BR11" s="23" t="str">
        <f ca="1">INDEX(Process_Steps[Name if Real],MATCH(Process_Steps[[#This Row],['[RV Step GWP (kg CO2 equiv.) per kg API'] of Each Step Sorted by '[RV Step GWP (kg CO2 equiv.) per kg API']]],Process_Steps[RV Step GWP (kg CO2 equiv.) per kg API],0))</f>
        <v>1) Synthesis of Intermediate (1)</v>
      </c>
      <c r="BS11" s="23" cm="1">
        <f t="array" aca="1" ref="BS11" ca="1">IF(LARGE(_xlfn.IFNA(Process_Steps[RV Step GWP (kg CO2 equiv.) per kg API],0),Process_Steps[[#This Row],[Table Row]])=0,NA(),LARGE(_xlfn.IFNA(Process_Steps[RV Step GWP (kg CO2 equiv.) per kg API],0),Process_Steps[[#This Row],[Table Row]]))</f>
        <v>10.450359899108092</v>
      </c>
      <c r="BT11" s="23">
        <f ca="1">SUM(OFFSET(Process_Steps['[RV Step GWP (kg CO2 equiv.) per kg API'] of Each Step Sorted by '[RV Step GWP (kg CO2 equiv.) per kg API']],0,0,Process_Steps[[#This Row],[Table Row]]))</f>
        <v>149.21259491714108</v>
      </c>
      <c r="BU11" s="23" t="str">
        <f ca="1">"("&amp;TEXT(Process_Steps[[#This Row],['[RV Step GWP (kg CO2 equiv.) per kg API'] of Each Step Sorted by '[RV Step GWP (kg CO2 equiv.) per kg API']]]/SUMIF(Process_Steps['[RV Step GWP (kg CO2 equiv.) per kg API'] of Each Step Sorted by '[RV Step GWP (kg CO2 equiv.) per kg API']],"&lt;&gt;#N/A"),"0%")&amp;")"</f>
        <v>(7%)</v>
      </c>
      <c r="BV11" s="23">
        <f ca="1">INDEX(Process_Steps[RV Step GWP (kg CO2 equiv.) per kg API (REAGENT)],MATCH(Process_Steps[[#This Row],[Steps Sorted by '[RV Step GWP (kg CO2 equiv.) per kg API']]],Process_Steps[Name],0))</f>
        <v>2.2986629072298421</v>
      </c>
      <c r="BW11" s="23">
        <f ca="1">INDEX(Process_Steps[RV Step GWP (kg CO2 equiv.) per kg API (METAL)],MATCH(Process_Steps[[#This Row],[Steps Sorted by '[RV Step GWP (kg CO2 equiv.) per kg API']]],Process_Steps[Name],0))</f>
        <v>2.8110112451826814E-3</v>
      </c>
      <c r="BX11" s="23">
        <f ca="1">INDEX(Process_Steps[RV Step GWP (kg CO2 equiv.) per kg API (SOLVENT)],MATCH(Process_Steps[[#This Row],[Steps Sorted by '[RV Step GWP (kg CO2 equiv.) per kg API']]],Process_Steps[Name],0))</f>
        <v>8.1354056745993439</v>
      </c>
      <c r="BY11" s="23">
        <f ca="1">INDEX(Process_Steps[RV Step GWP (kg CO2 equiv.) per kg API (WATER)],MATCH(Process_Steps[[#This Row],[Steps Sorted by '[RV Step GWP (kg CO2 equiv.) per kg API']]],Process_Steps[Name],0))</f>
        <v>1.3480306033723976E-2</v>
      </c>
      <c r="BZ11" s="23">
        <f ca="1">INDEX(Process_Steps[RV Step GWP (kg CO2 equiv.) per kg API (ENZ&amp;PLNT)],MATCH(Process_Steps[[#This Row],[Steps Sorted by '[RV Step GWP (kg CO2 equiv.) per kg API']]],Process_Steps[Name],0))</f>
        <v>0</v>
      </c>
      <c r="CA11" s="23">
        <f ca="1">INDEX(Process_Steps[RV Step GWP (kg CO2 equiv.) per kg API (OTHER)],MATCH(Process_Steps[[#This Row],[Steps Sorted by '[RV Step GWP (kg CO2 equiv.) per kg API']]],Process_Steps[Name],0))</f>
        <v>0</v>
      </c>
      <c r="CB11" s="118" t="e">
        <f>IF(Process_Steps[[#This Row],[Real or Virtual?]]="Real",SUMIFS(Table_Process_Details[RV Acidification (kg SO2 equiv.) per kg API],Table_Process_Details[Step Name],Process_Steps[[#This Row],[Name]]),NA())</f>
        <v>#N/A</v>
      </c>
      <c r="CC11" s="20" t="e">
        <f>IF(Process_Steps[[#This Row],[Real or Virtual?]]="Real",SUMIFS(Table_Process_Details[RV Acidification (kg SO2 equiv.) per kg API (REAGENT)],Table_Process_Details[Step Name],Process_Steps[[#This Row],[Name]]),NA())</f>
        <v>#N/A</v>
      </c>
      <c r="CD11" s="20" t="e">
        <f>IF(Process_Steps[[#This Row],[Real or Virtual?]]="Real",SUMIFS(Table_Process_Details[RV Acidification (kg SO2 equiv.) per kg API (METAL)],Table_Process_Details[Step Name],Process_Steps[[#This Row],[Name]]),NA())</f>
        <v>#N/A</v>
      </c>
      <c r="CE11" s="20" t="e">
        <f>IF(Process_Steps[[#This Row],[Real or Virtual?]]="Real",SUMIFS(Table_Process_Details[RV Acidification (kg SO2 equiv.) per kg API (SOLVENT)],Table_Process_Details[Step Name],Process_Steps[[#This Row],[Name]]),NA())</f>
        <v>#N/A</v>
      </c>
      <c r="CF11" s="20" t="e">
        <f>IF(Process_Steps[[#This Row],[Real or Virtual?]]="Real",SUMIFS(Table_Process_Details[RV Acidification (kg SO2 equiv.) per kg API (WATER)],Table_Process_Details[Step Name],Process_Steps[[#This Row],[Name]]),NA())</f>
        <v>#N/A</v>
      </c>
      <c r="CG11" s="20" t="e">
        <f>IF(Process_Steps[[#This Row],[Real or Virtual?]]="Real",SUMIFS(Table_Process_Details[RV Acidification (kg SO2 equiv.) per kg API (ENZ&amp;PLNT)],Table_Process_Details[Step Name],Process_Steps[[#This Row],[Name]]),NA())</f>
        <v>#N/A</v>
      </c>
      <c r="CH11" s="20" t="e">
        <f>IF(Process_Steps[[#This Row],[Real or Virtual?]]="Real",SUMIFS(Table_Process_Details[RV Acidification (kg SO2 equiv.) per kg API (OTHER)],Table_Process_Details[Step Name],Process_Steps[[#This Row],[Name]]),NA())</f>
        <v>#N/A</v>
      </c>
      <c r="CI11" s="23" t="str">
        <f ca="1">INDEX(Process_Steps[Name if Real],MATCH(Process_Steps[[#This Row],['[RV Step Acidification (kg SO2 equiv.) per kg API'] of Each Step Sorted by '[RV Step Acidification (kg SO2 equiv.) per kg API']]],Process_Steps[RV Step Acidification (kg SO2 equiv.) per kg API],0))</f>
        <v>1) Synthesis of Intermediate (1)</v>
      </c>
      <c r="CJ11" s="23" cm="1">
        <f t="array" aca="1" ref="CJ11" ca="1">IF(LARGE(_xlfn.IFNA(Process_Steps[RV Step Acidification (kg SO2 equiv.) per kg API],0),Process_Steps[[#This Row],[Table Row]])=0,NA(),LARGE(_xlfn.IFNA(Process_Steps[RV Step Acidification (kg SO2 equiv.) per kg API],0),Process_Steps[[#This Row],[Table Row]]))</f>
        <v>4.4634676945532865E-2</v>
      </c>
      <c r="CK11" s="23">
        <f ca="1">SUM(OFFSET(Process_Steps['[RV Step Acidification (kg SO2 equiv.) per kg API'] of Each Step Sorted by '[RV Step Acidification (kg SO2 equiv.) per kg API']],0,0,Process_Steps[[#This Row],[Table Row]]))</f>
        <v>0.62620010549019989</v>
      </c>
      <c r="CL11"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(7%)</v>
      </c>
      <c r="CM11" s="23">
        <f ca="1">INDEX(Process_Steps[RV Step Acidification (kg SO2 equiv.) per kg API (REAGENT)],MATCH(Process_Steps[[#This Row],[Steps Sorted by '[RV Step Acidification (kg SO2 equiv.) per kg API']]],Process_Steps[Name],0))</f>
        <v>1.6668454990672189E-2</v>
      </c>
      <c r="CN11" s="23">
        <f ca="1">INDEX(Process_Steps[RV Step Acidification (kg SO2 equiv.) per kg API (METAL)],MATCH(Process_Steps[[#This Row],[Steps Sorted by '[RV Step Acidification (kg SO2 equiv.) per kg API']]],Process_Steps[Name],0))</f>
        <v>4.4127374004533426E-4</v>
      </c>
      <c r="CO11" s="23">
        <f ca="1">INDEX(Process_Steps[RV Step Acidification (kg SO2 equiv.) per kg API (SOLVENT)],MATCH(Process_Steps[[#This Row],[Steps Sorted by '[RV Step Acidification (kg SO2 equiv.) per kg API']]],Process_Steps[Name],0))</f>
        <v>2.7473303471651875E-2</v>
      </c>
      <c r="CP11" s="23">
        <f ca="1">INDEX(Process_Steps[RV Step Acidification (kg SO2 equiv.) per kg API (WATER)],MATCH(Process_Steps[[#This Row],[Steps Sorted by '[RV Step Acidification (kg SO2 equiv.) per kg API']]],Process_Steps[Name],0))</f>
        <v>5.164474316346538E-5</v>
      </c>
      <c r="CQ11" s="23">
        <f ca="1">INDEX(Process_Steps[RV Step Acidification (kg SO2 equiv.) per kg API (ENZ&amp;PLNT)],MATCH(Process_Steps[[#This Row],[Steps Sorted by '[RV Step Acidification (kg SO2 equiv.) per kg API']]],Process_Steps[Name],0))</f>
        <v>0</v>
      </c>
      <c r="CR11" s="23">
        <f ca="1">INDEX(Process_Steps[RV Step Acidification (kg SO2 equiv.) per kg API (OTHER)],MATCH(Process_Steps[[#This Row],[Steps Sorted by '[RV Step Acidification (kg SO2 equiv.) per kg API']]],Process_Steps[Name],0))</f>
        <v>0</v>
      </c>
      <c r="CS11" s="118" t="e">
        <f>IF(Process_Steps[[#This Row],[Real or Virtual?]]="Real",SUMIFS(Table_Process_Details[RV Eutrophication (kg phosphate equiv.) per kg API],Table_Process_Details[Step Name],Process_Steps[[#This Row],[Name]]),NA())</f>
        <v>#N/A</v>
      </c>
      <c r="CT11" s="20" t="e">
        <f>IF(Process_Steps[[#This Row],[Real or Virtual?]]="Real",SUMIFS(Table_Process_Details[RV Eutrophication (kg phosphate equiv.) per kg API (REAGENT)],Table_Process_Details[Step Name],Process_Steps[[#This Row],[Name]]),NA())</f>
        <v>#N/A</v>
      </c>
      <c r="CU11" s="20" t="e">
        <f>IF(Process_Steps[[#This Row],[Real or Virtual?]]="Real",SUMIFS(Table_Process_Details[RV Eutrophication (kg phosphate equiv.) per kg API (METAL)],Table_Process_Details[Step Name],Process_Steps[[#This Row],[Name]]),NA())</f>
        <v>#N/A</v>
      </c>
      <c r="CV11" s="20" t="e">
        <f>IF(Process_Steps[[#This Row],[Real or Virtual?]]="Real",SUMIFS(Table_Process_Details[RV Eutrophication (kg phosphate equiv.) per kg API (SOLVENT)],Table_Process_Details[Step Name],Process_Steps[[#This Row],[Name]]),NA())</f>
        <v>#N/A</v>
      </c>
      <c r="CW11" s="20" t="e">
        <f>IF(Process_Steps[[#This Row],[Real or Virtual?]]="Real",SUMIFS(Table_Process_Details[RV Eutrophication (kg phosphate equiv.) per kg API (WATER)],Table_Process_Details[Step Name],Process_Steps[[#This Row],[Name]]),NA())</f>
        <v>#N/A</v>
      </c>
      <c r="CX11" s="20" t="e">
        <f>IF(Process_Steps[[#This Row],[Real or Virtual?]]="Real",SUMIFS(Table_Process_Details[RV Eutrophication (kg phosphate equiv.) per kg API (ENZ&amp;PLNT)],Table_Process_Details[Step Name],Process_Steps[[#This Row],[Name]]),NA())</f>
        <v>#N/A</v>
      </c>
      <c r="CY11" s="20" t="e">
        <f>IF(Process_Steps[[#This Row],[Real or Virtual?]]="Real",SUMIFS(Table_Process_Details[RV Eutrophication (kg phosphate equiv.) per kg API (OTHER)],Table_Process_Details[Step Name],Process_Steps[[#This Row],[Name]]),NA())</f>
        <v>#N/A</v>
      </c>
      <c r="CZ11" s="23" t="str">
        <f ca="1">INDEX(Process_Steps[Name if Real],MATCH(Process_Steps[[#This Row],['[RV Step Eutrophication (kg phosphate equiv.) per kg API'] of Each Step Sorted by '[RV Step Eutrophication (kg phosphate equiv.) per kg API']]],Process_Steps[RV Step Eutrophication (kg posphate equiv.) per kg API],0))</f>
        <v>4) Synthesis of Intermediate (4)</v>
      </c>
      <c r="DA11" s="23" cm="1">
        <f t="array" aca="1" ref="DA11" ca="1">IF(LARGE(_xlfn.IFNA(Process_Steps[RV Step Eutrophication (kg posphate equiv.) per kg API],0),Process_Steps[[#This Row],[Table Row]])=0,NA(),LARGE(_xlfn.IFNA(Process_Steps[RV Step Eutrophication (kg posphate equiv.) per kg API],0),Process_Steps[[#This Row],[Table Row]]))</f>
        <v>6.0235386122112322E-2</v>
      </c>
      <c r="DB11" s="23">
        <f ca="1">SUM(OFFSET(Process_Steps['[RV Step Eutrophication (kg phosphate equiv.) per kg API'] of Each Step Sorted by '[RV Step Eutrophication (kg phosphate equiv.) per kg API']],0,0,Process_Steps[[#This Row],[Table Row]]))</f>
        <v>1.3376329532289639</v>
      </c>
      <c r="DC11"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(4%)</v>
      </c>
      <c r="DD11" s="23">
        <f ca="1">INDEX(Process_Steps[RV Step Eutrophication (kg posphate equiv.) per kg API (REAGENT)],MATCH(Process_Steps[[#This Row],[Steps Sorted by '[RV Step Eutrophication (kg phosphate equiv.) per kg API']]],Process_Steps[Name],0))</f>
        <v>1.2607982317586237E-2</v>
      </c>
      <c r="DE11" s="23">
        <f ca="1">INDEX(Process_Steps[RV Step Eutrophication (kg posphate equiv.) per kg API (METAL)],MATCH(Process_Steps[[#This Row],[Steps Sorted by '[RV Step Eutrophication (kg phosphate equiv.) per kg API']]],Process_Steps[Name],0))</f>
        <v>0</v>
      </c>
      <c r="DF11" s="23">
        <f ca="1">INDEX(Process_Steps[RV Step Eutrophication (kg posphate equiv.) per kg API (SOLVENT)],MATCH(Process_Steps[[#This Row],[Steps Sorted by '[RV Step Eutrophication (kg phosphate equiv.) per kg API']]],Process_Steps[Name],0))</f>
        <v>4.7555266742521599E-2</v>
      </c>
      <c r="DG11" s="23">
        <f ca="1">INDEX(Process_Steps[RV Step Eutrophication (kg posphate equiv.) per kg API (WATER)],MATCH(Process_Steps[[#This Row],[Steps Sorted by '[RV Step Eutrophication (kg phosphate equiv.) per kg API']]],Process_Steps[Name],0))</f>
        <v>7.2137062004484328E-5</v>
      </c>
      <c r="DH11" s="23">
        <f ca="1">INDEX(Process_Steps[RV Step Eutrophication (kg posphate equiv.) per kg API (ENZ&amp;PLNT)],MATCH(Process_Steps[[#This Row],[Steps Sorted by '[RV Step Eutrophication (kg phosphate equiv.) per kg API']]],Process_Steps[Name],0))</f>
        <v>0</v>
      </c>
      <c r="DI11" s="23">
        <f ca="1">INDEX(Process_Steps[RV Step Eutrophication (kg posphate equiv.) per kg API (OTHER)],MATCH(Process_Steps[[#This Row],[Steps Sorted by '[RV Step Eutrophication (kg phosphate equiv.) per kg API']]],Process_Steps[Name],0))</f>
        <v>0</v>
      </c>
      <c r="DJ11" s="118" t="e">
        <f>IF(Process_Steps[[#This Row],[Real or Virtual?]]="Real",SUMIFS(Table_Process_Details[RV Water (kg) per kg API],Table_Process_Details[Step Name],Process_Steps[[#This Row],[Name]]),NA())</f>
        <v>#N/A</v>
      </c>
      <c r="DK11" s="20" t="e">
        <f>IF(Process_Steps[[#This Row],[Real or Virtual?]]="Real",SUMIFS(Table_Process_Details[RV Water (kg) per kg API (REAGENT)],Table_Process_Details[Step Name],Process_Steps[[#This Row],[Name]]),NA())</f>
        <v>#N/A</v>
      </c>
      <c r="DL11" s="20" t="e">
        <f>IF(Process_Steps[[#This Row],[Real or Virtual?]]="Real",SUMIFS(Table_Process_Details[RV Water (kg) per kg API (METAL)],Table_Process_Details[Step Name],Process_Steps[[#This Row],[Name]]),NA())</f>
        <v>#N/A</v>
      </c>
      <c r="DM11" s="20" t="e">
        <f>IF(Process_Steps[[#This Row],[Real or Virtual?]]="Real",SUMIFS(Table_Process_Details[RV Water (kg) per kg API (SOLVENT)],Table_Process_Details[Step Name],Process_Steps[[#This Row],[Name]]),NA())</f>
        <v>#N/A</v>
      </c>
      <c r="DN11" s="20" t="e">
        <f>IF(Process_Steps[[#This Row],[Real or Virtual?]]="Real",SUMIFS(Table_Process_Details[RV Water (kg) per kg API (WATER)],Table_Process_Details[Step Name],Process_Steps[[#This Row],[Name]]),NA())</f>
        <v>#N/A</v>
      </c>
      <c r="DO11" s="20" t="e">
        <f>IF(Process_Steps[[#This Row],[Real or Virtual?]]="Real",SUMIFS(Table_Process_Details[RV Water (kg) per kg API (ENZ&amp;PLNT)],Table_Process_Details[Step Name],Process_Steps[[#This Row],[Name]]),NA())</f>
        <v>#N/A</v>
      </c>
      <c r="DP11" s="20" t="e">
        <f>IF(Process_Steps[[#This Row],[Real or Virtual?]]="Real",SUMIFS(Table_Process_Details[RV Water (kg) per kg API (OTHER)],Table_Process_Details[Step Name],Process_Steps[[#This Row],[Name]]),NA())</f>
        <v>#N/A</v>
      </c>
      <c r="DQ11" s="23" t="str">
        <f ca="1">INDEX(Process_Steps[Name if Real],MATCH(Process_Steps[[#This Row],['[RV Step Water (kg) per kg API'] of Each Step Sorted by '[RV Step Water (kg) per kg API']]],Process_Steps[RV Step Water (kg) per kg API],0))</f>
        <v>1) Synthesis of Intermediate (1)</v>
      </c>
      <c r="DR11" s="23" cm="1">
        <f t="array" aca="1" ref="DR11" ca="1">IF(LARGE(_xlfn.IFNA(Process_Steps[RV Step Water (kg) per kg API],0),Process_Steps[[#This Row],[Table Row]])=0,NA(),LARGE(_xlfn.IFNA(Process_Steps[RV Step Water (kg) per kg API],0),Process_Steps[[#This Row],[Table Row]]))</f>
        <v>40.897179891736734</v>
      </c>
      <c r="DS11" s="23">
        <f ca="1">SUM(OFFSET(Process_Steps['[RV Step Water (kg) per kg API'] of Each Step Sorted by '[RV Step Water (kg) per kg API']],0,0,Process_Steps[[#This Row],[Table Row]]))</f>
        <v>859.02270315041915</v>
      </c>
      <c r="DT11" s="23" t="str">
        <f ca="1">"("&amp;TEXT(Process_Steps[[#This Row],['[RV Step Water (kg) per kg API'] of Each Step Sorted by '[RV Step Water (kg) per kg API']]]/SUMIF(Process_Steps['[RV Step Water (kg) per kg API'] of Each Step Sorted by '[RV Step Water (kg) per kg API']],"&lt;&gt;#N/A"),"0%")&amp;")"</f>
        <v>(5%)</v>
      </c>
      <c r="DU11" s="23">
        <f ca="1">INDEX(Process_Steps[RV Step Water (kg) per kg API (REAGENT)],MATCH(Process_Steps[[#This Row],[Steps Sorted by '[RV Step Water (kg) per kg API']]],Process_Steps[Name],0))</f>
        <v>6.8124849796520737</v>
      </c>
      <c r="DV11" s="23">
        <f ca="1">INDEX(Process_Steps[RV Step Water (kg) per kg API (METAL)],MATCH(Process_Steps[[#This Row],[Steps Sorted by '[RV Step Water (kg) per kg API']]],Process_Steps[Name],0))</f>
        <v>7.2587890236292571E-2</v>
      </c>
      <c r="DW11" s="23">
        <f ca="1">INDEX(Process_Steps[RV Step Water (kg) per kg API (SOLVENT)],MATCH(Process_Steps[[#This Row],[Steps Sorted by '[RV Step Water (kg) per kg API']]],Process_Steps[Name],0))</f>
        <v>17.245711130539597</v>
      </c>
      <c r="DX11" s="23">
        <f ca="1">INDEX(Process_Steps[RV Step Water (kg) per kg API (WATER)],MATCH(Process_Steps[[#This Row],[Steps Sorted by '[RV Step Water (kg) per kg API']]],Process_Steps[Name],0))</f>
        <v>16.766395891308768</v>
      </c>
      <c r="DY11" s="23">
        <f ca="1">INDEX(Process_Steps[RV Step Water (kg) per kg API (ENZ&amp;PLNT)],MATCH(Process_Steps[[#This Row],[Steps Sorted by '[RV Step Water (kg) per kg API']]],Process_Steps[Name],0))</f>
        <v>0</v>
      </c>
      <c r="DZ11" s="23">
        <f ca="1">INDEX(Process_Steps[RV Step Water (kg) per kg API (OTHER)],MATCH(Process_Steps[[#This Row],[Steps Sorted by '[RV Step Water (kg) per kg API']]],Process_Steps[Name],0))</f>
        <v>0</v>
      </c>
    </row>
    <row r="12" spans="1:130" x14ac:dyDescent="0.25">
      <c r="A12" t="s">
        <v>782</v>
      </c>
      <c r="B12" t="s">
        <v>174</v>
      </c>
      <c r="C12" t="s">
        <v>783</v>
      </c>
      <c r="D12" t="s">
        <v>842</v>
      </c>
      <c r="F12" s="25">
        <f>INDEX(Table_Process_Details[Physical Mass (kg)],MATCH(1,INDEX((Process_Steps[[#This Row],[Name]]=Table_Process_Details[Step Name])*(Table_Process_Details[Input or Output]="Output"),0),0))</f>
        <v>100</v>
      </c>
      <c r="G12" s="25" cm="1">
        <f t="array" aca="1" ref="G12"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6.0993994366774178</v>
      </c>
      <c r="H12" s="28">
        <f ca="1">Process_Steps[[#This Row],[Total Mass that must be produced]]/Process_Steps[[#This Row],[Unscaled Step Product Mass]]</f>
        <v>6.0993994366774176E-2</v>
      </c>
      <c r="I12" s="23" t="str">
        <f>IF(Process_Steps[[#This Row],[Real or Virtual?]]="Real",Process_Steps[[#This Row],[Name]],NA())</f>
        <v>1f) Virtual solution prep for (1) and (3): 20 wt% reagent D (organic) in DMF</v>
      </c>
      <c r="J12" s="30">
        <f>ROW()-ROW(Process_Steps[[#Headers],[Table Row]])</f>
        <v>6</v>
      </c>
      <c r="K12" s="118">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1</v>
      </c>
      <c r="L12" s="118">
        <f ca="1">IF(Process_Steps[[#This Row],[Real or Virtual?]]="Real",SUMIFS(Table_Process_Details[RV Physical Mass per kg API],Table_Process_Details[Input or Output],"Input",Table_Process_Details[Step Name],Process_Steps[[#This Row],[Name]]),NA())</f>
        <v>6.0993994366774178</v>
      </c>
      <c r="M12" s="20">
        <f ca="1">IF(Process_Steps[[#This Row],[Real or Virtual?]]="Real",SUMIFS(Table_Process_Details[RV Physical Mass per kg API (REAGENT)],Table_Process_Details[Input or Output],"Input",Table_Process_Details[Step Name],Process_Steps[[#This Row],[Name]]),NA())</f>
        <v>1.2198798873354835</v>
      </c>
      <c r="N12" s="20">
        <f ca="1">IF(Process_Steps[[#This Row],[Real or Virtual?]]="Real",SUMIFS(Table_Process_Details[RV Physical Mass per kg API (METAL)],Table_Process_Details[Input or Output],"Input",Table_Process_Details[Step Name],Process_Steps[[#This Row],[Name]]),NA())</f>
        <v>0</v>
      </c>
      <c r="O12" s="20">
        <f ca="1">IF(Process_Steps[[#This Row],[Real or Virtual?]]="Real",SUMIFS(Table_Process_Details[RV Physical Mass per kg API (SOLVENT)],Table_Process_Details[Input or Output],"Input",Table_Process_Details[Step Name],Process_Steps[[#This Row],[Name]]),NA())</f>
        <v>4.8795195493419339</v>
      </c>
      <c r="P12" s="20">
        <f ca="1">IF(Process_Steps[[#This Row],[Real or Virtual?]]="Real",SUMIFS(Table_Process_Details[RV Physical Mass per kg API (WATER)],Table_Process_Details[Input or Output],"Input",Table_Process_Details[Step Name],Process_Steps[[#This Row],[Name]]),NA())</f>
        <v>0</v>
      </c>
      <c r="Q12" s="20">
        <f ca="1">IF(Process_Steps[[#This Row],[Real or Virtual?]]="Real",SUMIFS(Table_Process_Details[RV Physical Mass per kg API (ENZ&amp;PLNT)],Table_Process_Details[Input or Output],"Input",Table_Process_Details[Step Name],Process_Steps[[#This Row],[Name]]),NA())</f>
        <v>0</v>
      </c>
      <c r="R12" s="20">
        <f ca="1">IF(Process_Steps[[#This Row],[Real or Virtual?]]="Real",SUMIFS(Table_Process_Details[RV Physical Mass per kg API (OTHER)],Table_Process_Details[Input or Output],"Input",Table_Process_Details[Step Name],Process_Steps[[#This Row],[Name]]),NA())</f>
        <v>0</v>
      </c>
      <c r="S12" s="118" t="str">
        <f ca="1">INDEX(Process_Steps[Name if Real],MATCH(Process_Steps[[#This Row],['[RV Step PMI per kg API'] of Each Step Sorted by '[RV Step PMI per kg API']]],Process_Steps[RV Step PMI per kg API],0))</f>
        <v>1f) Virtual solution prep for (1) and (3): 20 wt% reagent D (organic) in DMF</v>
      </c>
      <c r="T12" s="118" cm="1">
        <f t="array" aca="1" ref="T12" ca="1">IF(LARGE(_xlfn.IFNA(Process_Steps[RV Step PMI per kg API],0),Process_Steps[[#This Row],[Table Row]])=0,NA(),LARGE(_xlfn.IFNA(Process_Steps[RV Step PMI per kg API],0),Process_Steps[[#This Row],[Table Row]]))</f>
        <v>6.0993994366774178</v>
      </c>
      <c r="U12" s="118">
        <f ca="1">SUM(OFFSET(Process_Steps['[RV Step PMI per kg API'] of Each Step Sorted by '[RV Step PMI per kg API']],0,0,Process_Steps[[#This Row],[Table Row]]))</f>
        <v>147.57423309112161</v>
      </c>
      <c r="V12" s="118" t="str">
        <f ca="1">"("&amp;TEXT(Process_Steps[[#This Row],['[RV Step PMI per kg API'] of Each Step Sorted by '[RV Step PMI per kg API']]]/SUMIF(Process_Steps['[RV Step PMI per kg API'] of Each Step Sorted by '[RV Step PMI per kg API']],"&lt;&gt;#N/A"),"0%")&amp;")"</f>
        <v>(4%)</v>
      </c>
      <c r="W12" s="23">
        <f ca="1">INDEX(Process_Steps[RV Step PMI per kg API (REAGENT)],MATCH(Process_Steps[[#This Row],[Steps Sorted by '[RV Step PMI per kg API']]],Process_Steps[Name],0))</f>
        <v>1.2198798873354835</v>
      </c>
      <c r="X12" s="23">
        <f ca="1">INDEX(Process_Steps[RV Step PMI per kg API (METAL)],MATCH(Process_Steps[[#This Row],[Steps Sorted by '[RV Step PMI per kg API']]],Process_Steps[Name],0))</f>
        <v>0</v>
      </c>
      <c r="Y12" s="23">
        <f ca="1">INDEX(Process_Steps[RV Step PMI per kg API (SOLVENT)],MATCH(Process_Steps[[#This Row],[Steps Sorted by '[RV Step PMI per kg API']]],Process_Steps[Name],0))</f>
        <v>4.8795195493419339</v>
      </c>
      <c r="Z12" s="23">
        <f ca="1">INDEX(Process_Steps[RV Step PMI per kg API (WATER)],MATCH(Process_Steps[[#This Row],[Steps Sorted by '[RV Step PMI per kg API']]],Process_Steps[Name],0))</f>
        <v>0</v>
      </c>
      <c r="AA12" s="23">
        <f ca="1">INDEX(Process_Steps[RV Step PMI per kg API (ENZ&amp;PLNT)],MATCH(Process_Steps[[#This Row],[Steps Sorted by '[RV Step PMI per kg API']]],Process_Steps[Name],0))</f>
        <v>0</v>
      </c>
      <c r="AB12" s="23">
        <f ca="1">INDEX(Process_Steps[RV Step PMI per kg API (OTHER)],MATCH(Process_Steps[[#This Row],[Steps Sorted by '[RV Step PMI per kg API']]],Process_Steps[Name],0))</f>
        <v>0</v>
      </c>
      <c r="AC12" s="118">
        <f ca="1">IF(Process_Steps[[#This Row],[Real or Virtual?]]="Real",SUMIFS(Table_Process_Details[RV Mass Net (kg) per kg API],Table_Process_Details[Step Name],Process_Steps[[#This Row],[Name]]),NA())</f>
        <v>10.651245118923867</v>
      </c>
      <c r="AD12" s="20">
        <f ca="1">IF(Process_Steps[[#This Row],[Real or Virtual?]]="Real",SUMIFS(Table_Process_Details[RV Mass Net (kg) per kg API (REAGENT)],Table_Process_Details[Step Name],Process_Steps[[#This Row],[Name]]),NA())</f>
        <v>2.5448168277217289</v>
      </c>
      <c r="AE12" s="20">
        <f ca="1">IF(Process_Steps[[#This Row],[Real or Virtual?]]="Real",SUMIFS(Table_Process_Details[RV Mass Net (kg) per kg API (METAL)],Table_Process_Details[Step Name],Process_Steps[[#This Row],[Name]]),NA())</f>
        <v>0</v>
      </c>
      <c r="AF12" s="20">
        <f ca="1">IF(Process_Steps[[#This Row],[Real or Virtual?]]="Real",SUMIFS(Table_Process_Details[RV Mass Net (kg) per kg API (SOLVENT)],Table_Process_Details[Step Name],Process_Steps[[#This Row],[Name]]),NA())</f>
        <v>8.106428291202139</v>
      </c>
      <c r="AG12" s="20">
        <f ca="1">IF(Process_Steps[[#This Row],[Real or Virtual?]]="Real",SUMIFS(Table_Process_Details[RV Mass Net (kg) per kg API (WATER)],Table_Process_Details[Step Name],Process_Steps[[#This Row],[Name]]),NA())</f>
        <v>0</v>
      </c>
      <c r="AH12" s="20">
        <f ca="1">IF(Process_Steps[[#This Row],[Real or Virtual?]]="Real",SUMIFS(Table_Process_Details[RV Mass Net (kg) per kg API (ENZ&amp;PLNT)],Table_Process_Details[Step Name],Process_Steps[[#This Row],[Name]]),NA())</f>
        <v>0</v>
      </c>
      <c r="AI12" s="20">
        <f ca="1">IF(Process_Steps[[#This Row],[Real or Virtual?]]="Real",SUMIFS(Table_Process_Details[RV Mass Net (kg) per kg API (OTHER)],Table_Process_Details[Step Name],Process_Steps[[#This Row],[Name]]),NA())</f>
        <v>0</v>
      </c>
      <c r="AJ12" s="23" t="str">
        <f ca="1">INDEX(Process_Steps[Name if Real],MATCH(Process_Steps[[#This Row],['[RV Step Mass Net (kg) per kg API'] of Each Step Sorted by '[RV Step Mass Net (kg) per kg API']]],Process_Steps[RV Step Mass Net (kg) per kg API],0))</f>
        <v>2) Synthesis of Intermediate (2)</v>
      </c>
      <c r="AK12" s="23" cm="1">
        <f t="array" aca="1" ref="AK12" ca="1">IF(LARGE(_xlfn.IFNA(Process_Steps[RV Step Mass Net (kg) per kg API],0),Process_Steps[[#This Row],[Table Row]])=0,NA(),LARGE(_xlfn.IFNA(Process_Steps[RV Step Mass Net (kg) per kg API],0),Process_Steps[[#This Row],[Table Row]]))</f>
        <v>6.3197938429536586</v>
      </c>
      <c r="AL12" s="23">
        <f ca="1">SUM(OFFSET(Process_Steps['[RV Step Mass Net (kg) per kg API'] of Each Step Sorted by '[RV Step Mass Net (kg) per kg API']],0,0,Process_Steps[[#This Row],[Table Row]]))</f>
        <v>127.08899248952405</v>
      </c>
      <c r="AM12" s="23" t="str">
        <f ca="1">"("&amp;TEXT(Process_Steps[[#This Row],['[RV Step Mass Net (kg) per kg API'] of Each Step Sorted by '[RV Step Mass Net (kg) per kg API']]]/SUMIF(Process_Steps['[RV Step Mass Net (kg) per kg API'] of Each Step Sorted by '[RV Step Mass Net (kg) per kg API']],"&lt;&gt;#N/A"),"0%")&amp;")"</f>
        <v>(5%)</v>
      </c>
      <c r="AN12" s="23">
        <f ca="1">INDEX(Process_Steps[RV Step Mass Net (kg) per kg API (REAGENT)],MATCH(Process_Steps[[#This Row],[Steps Sorted by '[RV Step Mass Net (kg) per kg API']]],Process_Steps[Name],0))</f>
        <v>0.62109008523543885</v>
      </c>
      <c r="AO12" s="23">
        <f ca="1">INDEX(Process_Steps[RV Step Mass Net (kg) per kg API (METAL)],MATCH(Process_Steps[[#This Row],[Steps Sorted by '[RV Step Mass Net (kg) per kg API']]],Process_Steps[Name],0))</f>
        <v>0</v>
      </c>
      <c r="AP12" s="23">
        <f ca="1">INDEX(Process_Steps[RV Step Mass Net (kg) per kg API (SOLVENT)],MATCH(Process_Steps[[#This Row],[Steps Sorted by '[RV Step Mass Net (kg) per kg API']]],Process_Steps[Name],0))</f>
        <v>5.6903086782335111</v>
      </c>
      <c r="AQ12" s="23">
        <f ca="1">INDEX(Process_Steps[RV Step Mass Net (kg) per kg API (WATER)],MATCH(Process_Steps[[#This Row],[Steps Sorted by '[RV Step Mass Net (kg) per kg API']]],Process_Steps[Name],0))</f>
        <v>8.3950794847087885E-3</v>
      </c>
      <c r="AR12" s="23">
        <f ca="1">INDEX(Process_Steps[RV Step Mass Net (kg) per kg API (ENZ&amp;PLNT)],MATCH(Process_Steps[[#This Row],[Steps Sorted by '[RV Step Mass Net (kg) per kg API']]],Process_Steps[Name],0))</f>
        <v>0</v>
      </c>
      <c r="AS12" s="23">
        <f ca="1">INDEX(Process_Steps[RV Step Mass Net (kg) per kg API (OTHER)],MATCH(Process_Steps[[#This Row],[Steps Sorted by '[RV Step Mass Net (kg) per kg API']]],Process_Steps[Name],0))</f>
        <v>0</v>
      </c>
      <c r="AT12" s="118">
        <f ca="1">IF(Process_Steps[[#This Row],[Real or Virtual?]]="Real",SUMIFS(Table_Process_Details[RV Energy (MJ) per kg API],Table_Process_Details[Step Name],Process_Steps[[#This Row],[Name]]),NA())</f>
        <v>372.34394851811709</v>
      </c>
      <c r="AU12" s="20">
        <f ca="1">IF(Process_Steps[[#This Row],[Real or Virtual?]]="Real",SUMIFS(Table_Process_Details[RV Energy (MJ) per kg API (REAGENT)],Table_Process_Details[Step Name],Process_Steps[[#This Row],[Name]]),NA())</f>
        <v>91.329099598221532</v>
      </c>
      <c r="AV12" s="20">
        <f ca="1">IF(Process_Steps[[#This Row],[Real or Virtual?]]="Real",SUMIFS(Table_Process_Details[RV Energy (MJ) per kg API (METAL)],Table_Process_Details[Step Name],Process_Steps[[#This Row],[Name]]),NA())</f>
        <v>0</v>
      </c>
      <c r="AW12" s="20">
        <f ca="1">IF(Process_Steps[[#This Row],[Real or Virtual?]]="Real",SUMIFS(Table_Process_Details[RV Energy (MJ) per kg API (SOLVENT)],Table_Process_Details[Step Name],Process_Steps[[#This Row],[Name]]),NA())</f>
        <v>281.01484891989554</v>
      </c>
      <c r="AX12" s="20">
        <f ca="1">IF(Process_Steps[[#This Row],[Real or Virtual?]]="Real",SUMIFS(Table_Process_Details[RV Energy (MJ) per kg API (WATER)],Table_Process_Details[Step Name],Process_Steps[[#This Row],[Name]]),NA())</f>
        <v>0</v>
      </c>
      <c r="AY12" s="20">
        <f ca="1">IF(Process_Steps[[#This Row],[Real or Virtual?]]="Real",SUMIFS(Table_Process_Details[RV Energy (MJ) per kg API (ENZ&amp;PLNT)],Table_Process_Details[Step Name],Process_Steps[[#This Row],[Name]]),NA())</f>
        <v>0</v>
      </c>
      <c r="AZ12" s="20">
        <f ca="1">IF(Process_Steps[[#This Row],[Real or Virtual?]]="Real",SUMIFS(Table_Process_Details[RV Energy (MJ) per kg API (OTHER)],Table_Process_Details[Step Name],Process_Steps[[#This Row],[Name]]),NA())</f>
        <v>0</v>
      </c>
      <c r="BA12" s="23" t="str">
        <f ca="1">INDEX(Process_Steps[Name if Real],MATCH(Process_Steps[[#This Row],['[RV Step Energy (MJ) per kg API'] of Each Step Sorted by '[RV Step Energy (MJ) per kg API']]],Process_Steps[RV Step Energy (MJ) per kg API],0))</f>
        <v>2) Synthesis of Intermediate (2)</v>
      </c>
      <c r="BB12" s="23" cm="1">
        <f t="array" aca="1" ref="BB12" ca="1">IF(LARGE(_xlfn.IFNA(Process_Steps[RV Step Energy (MJ) per kg API],0),Process_Steps[[#This Row],[Table Row]])=0,NA(),LARGE(_xlfn.IFNA(Process_Steps[RV Step Energy (MJ) per kg API],0),Process_Steps[[#This Row],[Table Row]]))</f>
        <v>244.73838749953384</v>
      </c>
      <c r="BC12" s="23">
        <f ca="1">SUM(OFFSET(Process_Steps['[RV Step Energy (MJ) per kg API'] of Each Step Sorted by '[RV Step Energy (MJ) per kg API']],0,0,Process_Steps[[#This Row],[Table Row]]))</f>
        <v>5064.7678314908235</v>
      </c>
      <c r="BD12" s="23" t="str">
        <f ca="1">"("&amp;TEXT(Process_Steps[[#This Row],['[RV Step Energy (MJ) per kg API'] of Each Step Sorted by '[RV Step Energy (MJ) per kg API']]]/SUMIF(Process_Steps['[RV Step Energy (MJ) per kg API'] of Each Step Sorted by '[RV Step Energy (MJ) per kg API']],"&lt;&gt;#N/A"),"0%")&amp;")"</f>
        <v>(5%)</v>
      </c>
      <c r="BE12" s="23">
        <f ca="1">INDEX(Process_Steps[RV Step Energy (MJ) per kg API (REAGENT)],MATCH(Process_Steps[[#This Row],[Steps Sorted by '[RV Step Energy (MJ) per kg API']]],Process_Steps[Name],0))</f>
        <v>13.080042460169723</v>
      </c>
      <c r="BF12" s="23">
        <f ca="1">INDEX(Process_Steps[RV Step Energy (MJ) per kg API (METAL)],MATCH(Process_Steps[[#This Row],[Steps Sorted by '[RV Step Energy (MJ) per kg API']]],Process_Steps[Name],0))</f>
        <v>0</v>
      </c>
      <c r="BG12" s="23">
        <f ca="1">INDEX(Process_Steps[RV Step Energy (MJ) per kg API (SOLVENT)],MATCH(Process_Steps[[#This Row],[Steps Sorted by '[RV Step Energy (MJ) per kg API']]],Process_Steps[Name],0))</f>
        <v>231.55379124945932</v>
      </c>
      <c r="BH12" s="23">
        <f ca="1">INDEX(Process_Steps[RV Step Energy (MJ) per kg API (WATER)],MATCH(Process_Steps[[#This Row],[Steps Sorted by '[RV Step Energy (MJ) per kg API']]],Process_Steps[Name],0))</f>
        <v>0.10455378990482314</v>
      </c>
      <c r="BI12" s="23">
        <f ca="1">INDEX(Process_Steps[RV Step Energy (MJ) per kg API (ENZ&amp;PLNT)],MATCH(Process_Steps[[#This Row],[Steps Sorted by '[RV Step Energy (MJ) per kg API']]],Process_Steps[Name],0))</f>
        <v>0</v>
      </c>
      <c r="BJ12" s="23">
        <f ca="1">INDEX(Process_Steps[RV Step Energy (MJ) per kg API (OTHER)],MATCH(Process_Steps[[#This Row],[Steps Sorted by '[RV Step Energy (MJ) per kg API']]],Process_Steps[Name],0))</f>
        <v>0</v>
      </c>
      <c r="BK12" s="118">
        <f ca="1">IF(Process_Steps[[#This Row],[Real or Virtual?]]="Real",SUMIFS(Table_Process_Details[RV GWP (kg CO2 equiv.) per kg API],Table_Process_Details[Step Name],Process_Steps[[#This Row],[Name]]),NA())</f>
        <v>12.402299182249319</v>
      </c>
      <c r="BL12" s="20">
        <f ca="1">IF(Process_Steps[[#This Row],[Real or Virtual?]]="Real",SUMIFS(Table_Process_Details[RV GWP (kg CO2 equiv.) per kg API (REAGENT)],Table_Process_Details[Step Name],Process_Steps[[#This Row],[Name]]),NA())</f>
        <v>3.2014571139800156</v>
      </c>
      <c r="BM12" s="20">
        <f ca="1">IF(Process_Steps[[#This Row],[Real or Virtual?]]="Real",SUMIFS(Table_Process_Details[RV GWP (kg CO2 equiv.) per kg API (METAL)],Table_Process_Details[Step Name],Process_Steps[[#This Row],[Name]]),NA())</f>
        <v>0</v>
      </c>
      <c r="BN12" s="20">
        <f ca="1">IF(Process_Steps[[#This Row],[Real or Virtual?]]="Real",SUMIFS(Table_Process_Details[RV GWP (kg CO2 equiv.) per kg API (SOLVENT)],Table_Process_Details[Step Name],Process_Steps[[#This Row],[Name]]),NA())</f>
        <v>9.2008420682693028</v>
      </c>
      <c r="BO12" s="20">
        <f ca="1">IF(Process_Steps[[#This Row],[Real or Virtual?]]="Real",SUMIFS(Table_Process_Details[RV GWP (kg CO2 equiv.) per kg API (WATER)],Table_Process_Details[Step Name],Process_Steps[[#This Row],[Name]]),NA())</f>
        <v>0</v>
      </c>
      <c r="BP12" s="20">
        <f ca="1">IF(Process_Steps[[#This Row],[Real or Virtual?]]="Real",SUMIFS(Table_Process_Details[RV GWP (kg CO2 equiv.) per kg API (ENZ&amp;PLNT)],Table_Process_Details[Step Name],Process_Steps[[#This Row],[Name]]),NA())</f>
        <v>0</v>
      </c>
      <c r="BQ12" s="20">
        <f ca="1">IF(Process_Steps[[#This Row],[Real or Virtual?]]="Real",SUMIFS(Table_Process_Details[RV GWP (kg CO2 equiv.) per kg API (OTHER)],Table_Process_Details[Step Name],Process_Steps[[#This Row],[Name]]),NA())</f>
        <v>0</v>
      </c>
      <c r="BR12" s="23" t="str">
        <f ca="1">INDEX(Process_Steps[Name if Real],MATCH(Process_Steps[[#This Row],['[RV Step GWP (kg CO2 equiv.) per kg API'] of Each Step Sorted by '[RV Step GWP (kg CO2 equiv.) per kg API']]],Process_Steps[RV Step GWP (kg CO2 equiv.) per kg API],0))</f>
        <v>2) Synthesis of Intermediate (2)</v>
      </c>
      <c r="BS12" s="23" cm="1">
        <f t="array" aca="1" ref="BS12" ca="1">IF(LARGE(_xlfn.IFNA(Process_Steps[RV Step GWP (kg CO2 equiv.) per kg API],0),Process_Steps[[#This Row],[Table Row]])=0,NA(),LARGE(_xlfn.IFNA(Process_Steps[RV Step GWP (kg CO2 equiv.) per kg API],0),Process_Steps[[#This Row],[Table Row]]))</f>
        <v>7.2868960784397085</v>
      </c>
      <c r="BT12" s="23">
        <f ca="1">SUM(OFFSET(Process_Steps['[RV Step GWP (kg CO2 equiv.) per kg API'] of Each Step Sorted by '[RV Step GWP (kg CO2 equiv.) per kg API']],0,0,Process_Steps[[#This Row],[Table Row]]))</f>
        <v>156.49949099558077</v>
      </c>
      <c r="BU12" s="23" t="str">
        <f ca="1">"("&amp;TEXT(Process_Steps[[#This Row],['[RV Step GWP (kg CO2 equiv.) per kg API'] of Each Step Sorted by '[RV Step GWP (kg CO2 equiv.) per kg API']]]/SUMIF(Process_Steps['[RV Step GWP (kg CO2 equiv.) per kg API'] of Each Step Sorted by '[RV Step GWP (kg CO2 equiv.) per kg API']],"&lt;&gt;#N/A"),"0%")&amp;")"</f>
        <v>(5%)</v>
      </c>
      <c r="BV12" s="23">
        <f ca="1">INDEX(Process_Steps[RV Step GWP (kg CO2 equiv.) per kg API (REAGENT)],MATCH(Process_Steps[[#This Row],[Steps Sorted by '[RV Step GWP (kg CO2 equiv.) per kg API']]],Process_Steps[Name],0))</f>
        <v>0.70750494723838131</v>
      </c>
      <c r="BW12" s="23">
        <f ca="1">INDEX(Process_Steps[RV Step GWP (kg CO2 equiv.) per kg API (METAL)],MATCH(Process_Steps[[#This Row],[Steps Sorted by '[RV Step GWP (kg CO2 equiv.) per kg API']]],Process_Steps[Name],0))</f>
        <v>0</v>
      </c>
      <c r="BX12" s="23">
        <f ca="1">INDEX(Process_Steps[RV Step GWP (kg CO2 equiv.) per kg API (SOLVENT)],MATCH(Process_Steps[[#This Row],[Steps Sorted by '[RV Step GWP (kg CO2 equiv.) per kg API']]],Process_Steps[Name],0))</f>
        <v>6.5738187413510456</v>
      </c>
      <c r="BY12" s="23">
        <f ca="1">INDEX(Process_Steps[RV Step GWP (kg CO2 equiv.) per kg API (WATER)],MATCH(Process_Steps[[#This Row],[Steps Sorted by '[RV Step GWP (kg CO2 equiv.) per kg API']]],Process_Steps[Name],0))</f>
        <v>5.5723898502809113E-3</v>
      </c>
      <c r="BZ12" s="23">
        <f ca="1">INDEX(Process_Steps[RV Step GWP (kg CO2 equiv.) per kg API (ENZ&amp;PLNT)],MATCH(Process_Steps[[#This Row],[Steps Sorted by '[RV Step GWP (kg CO2 equiv.) per kg API']]],Process_Steps[Name],0))</f>
        <v>0</v>
      </c>
      <c r="CA12" s="23">
        <f ca="1">INDEX(Process_Steps[RV Step GWP (kg CO2 equiv.) per kg API (OTHER)],MATCH(Process_Steps[[#This Row],[Steps Sorted by '[RV Step GWP (kg CO2 equiv.) per kg API']]],Process_Steps[Name],0))</f>
        <v>0</v>
      </c>
      <c r="CB12" s="118">
        <f ca="1">IF(Process_Steps[[#This Row],[Real or Virtual?]]="Real",SUMIFS(Table_Process_Details[RV Acidification (kg SO2 equiv.) per kg API],Table_Process_Details[Step Name],Process_Steps[[#This Row],[Name]]),NA())</f>
        <v>5.435212525425346E-2</v>
      </c>
      <c r="CC12" s="20">
        <f ca="1">IF(Process_Steps[[#This Row],[Real or Virtual?]]="Real",SUMIFS(Table_Process_Details[RV Acidification (kg SO2 equiv.) per kg API (REAGENT)],Table_Process_Details[Step Name],Process_Steps[[#This Row],[Name]]),NA())</f>
        <v>1.3690850729033123E-2</v>
      </c>
      <c r="CD12" s="20">
        <f ca="1">IF(Process_Steps[[#This Row],[Real or Virtual?]]="Real",SUMIFS(Table_Process_Details[RV Acidification (kg SO2 equiv.) per kg API (METAL)],Table_Process_Details[Step Name],Process_Steps[[#This Row],[Name]]),NA())</f>
        <v>0</v>
      </c>
      <c r="CE12" s="20">
        <f ca="1">IF(Process_Steps[[#This Row],[Real or Virtual?]]="Real",SUMIFS(Table_Process_Details[RV Acidification (kg SO2 equiv.) per kg API (SOLVENT)],Table_Process_Details[Step Name],Process_Steps[[#This Row],[Name]]),NA())</f>
        <v>4.0661274525220337E-2</v>
      </c>
      <c r="CF12" s="20">
        <f ca="1">IF(Process_Steps[[#This Row],[Real or Virtual?]]="Real",SUMIFS(Table_Process_Details[RV Acidification (kg SO2 equiv.) per kg API (WATER)],Table_Process_Details[Step Name],Process_Steps[[#This Row],[Name]]),NA())</f>
        <v>0</v>
      </c>
      <c r="CG12" s="20">
        <f ca="1">IF(Process_Steps[[#This Row],[Real or Virtual?]]="Real",SUMIFS(Table_Process_Details[RV Acidification (kg SO2 equiv.) per kg API (ENZ&amp;PLNT)],Table_Process_Details[Step Name],Process_Steps[[#This Row],[Name]]),NA())</f>
        <v>0</v>
      </c>
      <c r="CH12" s="20">
        <f ca="1">IF(Process_Steps[[#This Row],[Real or Virtual?]]="Real",SUMIFS(Table_Process_Details[RV Acidification (kg SO2 equiv.) per kg API (OTHER)],Table_Process_Details[Step Name],Process_Steps[[#This Row],[Name]]),NA())</f>
        <v>0</v>
      </c>
      <c r="CI12" s="23" t="str">
        <f ca="1">INDEX(Process_Steps[Name if Real],MATCH(Process_Steps[[#This Row],['[RV Step Acidification (kg SO2 equiv.) per kg API'] of Each Step Sorted by '[RV Step Acidification (kg SO2 equiv.) per kg API']]],Process_Steps[RV Step Acidification (kg SO2 equiv.) per kg API],0))</f>
        <v>2) Synthesis of Intermediate (2)</v>
      </c>
      <c r="CJ12" s="23" cm="1">
        <f t="array" aca="1" ref="CJ12" ca="1">IF(LARGE(_xlfn.IFNA(Process_Steps[RV Step Acidification (kg SO2 equiv.) per kg API],0),Process_Steps[[#This Row],[Table Row]])=0,NA(),LARGE(_xlfn.IFNA(Process_Steps[RV Step Acidification (kg SO2 equiv.) per kg API],0),Process_Steps[[#This Row],[Table Row]]))</f>
        <v>2.9102777000424053E-2</v>
      </c>
      <c r="CK12" s="23">
        <f ca="1">SUM(OFFSET(Process_Steps['[RV Step Acidification (kg SO2 equiv.) per kg API'] of Each Step Sorted by '[RV Step Acidification (kg SO2 equiv.) per kg API']],0,0,Process_Steps[[#This Row],[Table Row]]))</f>
        <v>0.65530288249062396</v>
      </c>
      <c r="CL12" s="23" t="str">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(4%)</v>
      </c>
      <c r="CM12" s="23">
        <f ca="1">INDEX(Process_Steps[RV Step Acidification (kg SO2 equiv.) per kg API (REAGENT)],MATCH(Process_Steps[[#This Row],[Steps Sorted by '[RV Step Acidification (kg SO2 equiv.) per kg API']]],Process_Steps[Name],0))</f>
        <v>4.9864031373803774E-3</v>
      </c>
      <c r="CN12" s="23">
        <f ca="1">INDEX(Process_Steps[RV Step Acidification (kg SO2 equiv.) per kg API (METAL)],MATCH(Process_Steps[[#This Row],[Steps Sorted by '[RV Step Acidification (kg SO2 equiv.) per kg API']]],Process_Steps[Name],0))</f>
        <v>0</v>
      </c>
      <c r="CO12" s="23">
        <f ca="1">INDEX(Process_Steps[RV Step Acidification (kg SO2 equiv.) per kg API (SOLVENT)],MATCH(Process_Steps[[#This Row],[Steps Sorted by '[RV Step Acidification (kg SO2 equiv.) per kg API']]],Process_Steps[Name],0))</f>
        <v>2.4095025338618153E-2</v>
      </c>
      <c r="CP12" s="23">
        <f ca="1">INDEX(Process_Steps[RV Step Acidification (kg SO2 equiv.) per kg API (WATER)],MATCH(Process_Steps[[#This Row],[Steps Sorted by '[RV Step Acidification (kg SO2 equiv.) per kg API']]],Process_Steps[Name],0))</f>
        <v>2.1348524425521339E-5</v>
      </c>
      <c r="CQ12" s="23">
        <f ca="1">INDEX(Process_Steps[RV Step Acidification (kg SO2 equiv.) per kg API (ENZ&amp;PLNT)],MATCH(Process_Steps[[#This Row],[Steps Sorted by '[RV Step Acidification (kg SO2 equiv.) per kg API']]],Process_Steps[Name],0))</f>
        <v>0</v>
      </c>
      <c r="CR12" s="23">
        <f ca="1">INDEX(Process_Steps[RV Step Acidification (kg SO2 equiv.) per kg API (OTHER)],MATCH(Process_Steps[[#This Row],[Steps Sorted by '[RV Step Acidification (kg SO2 equiv.) per kg API']]],Process_Steps[Name],0))</f>
        <v>0</v>
      </c>
      <c r="CS12" s="118">
        <f ca="1">IF(Process_Steps[[#This Row],[Real or Virtual?]]="Real",SUMIFS(Table_Process_Details[RV Eutrophication (kg phosphate equiv.) per kg API],Table_Process_Details[Step Name],Process_Steps[[#This Row],[Name]]),NA())</f>
        <v>0.44449484357815799</v>
      </c>
      <c r="CT12" s="20">
        <f ca="1">IF(Process_Steps[[#This Row],[Real or Virtual?]]="Real",SUMIFS(Table_Process_Details[RV Eutrophication (kg phosphate equiv.) per kg API (REAGENT)],Table_Process_Details[Step Name],Process_Steps[[#This Row],[Name]]),NA())</f>
        <v>1.0962394032659225E-2</v>
      </c>
      <c r="CU12" s="20">
        <f ca="1">IF(Process_Steps[[#This Row],[Real or Virtual?]]="Real",SUMIFS(Table_Process_Details[RV Eutrophication (kg phosphate equiv.) per kg API (METAL)],Table_Process_Details[Step Name],Process_Steps[[#This Row],[Name]]),NA())</f>
        <v>0</v>
      </c>
      <c r="CV12" s="20">
        <f ca="1">IF(Process_Steps[[#This Row],[Real or Virtual?]]="Real",SUMIFS(Table_Process_Details[RV Eutrophication (kg phosphate equiv.) per kg API (SOLVENT)],Table_Process_Details[Step Name],Process_Steps[[#This Row],[Name]]),NA())</f>
        <v>0.43353244954549874</v>
      </c>
      <c r="CW12" s="20">
        <f ca="1">IF(Process_Steps[[#This Row],[Real or Virtual?]]="Real",SUMIFS(Table_Process_Details[RV Eutrophication (kg phosphate equiv.) per kg API (WATER)],Table_Process_Details[Step Name],Process_Steps[[#This Row],[Name]]),NA())</f>
        <v>0</v>
      </c>
      <c r="CX12" s="20">
        <f ca="1">IF(Process_Steps[[#This Row],[Real or Virtual?]]="Real",SUMIFS(Table_Process_Details[RV Eutrophication (kg phosphate equiv.) per kg API (ENZ&amp;PLNT)],Table_Process_Details[Step Name],Process_Steps[[#This Row],[Name]]),NA())</f>
        <v>0</v>
      </c>
      <c r="CY12" s="20">
        <f ca="1">IF(Process_Steps[[#This Row],[Real or Virtual?]]="Real",SUMIFS(Table_Process_Details[RV Eutrophication (kg phosphate equiv.) per kg API (OTHER)],Table_Process_Details[Step Name],Process_Steps[[#This Row],[Name]]),NA())</f>
        <v>0</v>
      </c>
      <c r="CZ12" s="23" t="str">
        <f ca="1">INDEX(Process_Steps[Name if Real],MATCH(Process_Steps[[#This Row],['[RV Step Eutrophication (kg phosphate equiv.) per kg API'] of Each Step Sorted by '[RV Step Eutrophication (kg phosphate equiv.) per kg API']]],Process_Steps[RV Step Eutrophication (kg posphate equiv.) per kg API],0))</f>
        <v>1) Synthesis of Intermediate (1)</v>
      </c>
      <c r="DA12" s="23" cm="1">
        <f t="array" aca="1" ref="DA12" ca="1">IF(LARGE(_xlfn.IFNA(Process_Steps[RV Step Eutrophication (kg posphate equiv.) per kg API],0),Process_Steps[[#This Row],[Table Row]])=0,NA(),LARGE(_xlfn.IFNA(Process_Steps[RV Step Eutrophication (kg posphate equiv.) per kg API],0),Process_Steps[[#This Row],[Table Row]]))</f>
        <v>3.8086033349113826E-2</v>
      </c>
      <c r="DB12" s="23">
        <f ca="1">SUM(OFFSET(Process_Steps['[RV Step Eutrophication (kg phosphate equiv.) per kg API'] of Each Step Sorted by '[RV Step Eutrophication (kg phosphate equiv.) per kg API']],0,0,Process_Steps[[#This Row],[Table Row]]))</f>
        <v>1.3757189865780777</v>
      </c>
      <c r="DC12" s="23" t="str">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(3%)</v>
      </c>
      <c r="DD12" s="23">
        <f ca="1">INDEX(Process_Steps[RV Step Eutrophication (kg posphate equiv.) per kg API (REAGENT)],MATCH(Process_Steps[[#This Row],[Steps Sorted by '[RV Step Eutrophication (kg phosphate equiv.) per kg API']]],Process_Steps[Name],0))</f>
        <v>4.4037232258929823E-3</v>
      </c>
      <c r="DE12" s="23">
        <f ca="1">INDEX(Process_Steps[RV Step Eutrophication (kg posphate equiv.) per kg API (METAL)],MATCH(Process_Steps[[#This Row],[Steps Sorted by '[RV Step Eutrophication (kg phosphate equiv.) per kg API']]],Process_Steps[Name],0))</f>
        <v>3.4793419346878223E-5</v>
      </c>
      <c r="DF12" s="23">
        <f ca="1">INDEX(Process_Steps[RV Step Eutrophication (kg posphate equiv.) per kg API (SOLVENT)],MATCH(Process_Steps[[#This Row],[Steps Sorted by '[RV Step Eutrophication (kg phosphate equiv.) per kg API']]],Process_Steps[Name],0))</f>
        <v>3.361675137867326E-2</v>
      </c>
      <c r="DG12" s="23">
        <f ca="1">INDEX(Process_Steps[RV Step Eutrophication (kg posphate equiv.) per kg API (WATER)],MATCH(Process_Steps[[#This Row],[Steps Sorted by '[RV Step Eutrophication (kg phosphate equiv.) per kg API']]],Process_Steps[Name],0))</f>
        <v>3.0765325200704792E-5</v>
      </c>
      <c r="DH12" s="23">
        <f ca="1">INDEX(Process_Steps[RV Step Eutrophication (kg posphate equiv.) per kg API (ENZ&amp;PLNT)],MATCH(Process_Steps[[#This Row],[Steps Sorted by '[RV Step Eutrophication (kg phosphate equiv.) per kg API']]],Process_Steps[Name],0))</f>
        <v>0</v>
      </c>
      <c r="DI12" s="23">
        <f ca="1">INDEX(Process_Steps[RV Step Eutrophication (kg posphate equiv.) per kg API (OTHER)],MATCH(Process_Steps[[#This Row],[Steps Sorted by '[RV Step Eutrophication (kg phosphate equiv.) per kg API']]],Process_Steps[Name],0))</f>
        <v>0</v>
      </c>
      <c r="DJ12" s="118">
        <f ca="1">IF(Process_Steps[[#This Row],[Real or Virtual?]]="Real",SUMIFS(Table_Process_Details[RV Water (kg) per kg API],Table_Process_Details[Step Name],Process_Steps[[#This Row],[Name]]),NA())</f>
        <v>65.068245826819989</v>
      </c>
      <c r="DK12" s="20">
        <f ca="1">IF(Process_Steps[[#This Row],[Real or Virtual?]]="Real",SUMIFS(Table_Process_Details[RV Water (kg) per kg API (REAGENT)],Table_Process_Details[Step Name],Process_Steps[[#This Row],[Name]]),NA())</f>
        <v>17.926524327890665</v>
      </c>
      <c r="DL12" s="20">
        <f ca="1">IF(Process_Steps[[#This Row],[Real or Virtual?]]="Real",SUMIFS(Table_Process_Details[RV Water (kg) per kg API (METAL)],Table_Process_Details[Step Name],Process_Steps[[#This Row],[Name]]),NA())</f>
        <v>0</v>
      </c>
      <c r="DM12" s="20">
        <f ca="1">IF(Process_Steps[[#This Row],[Real or Virtual?]]="Real",SUMIFS(Table_Process_Details[RV Water (kg) per kg API (SOLVENT)],Table_Process_Details[Step Name],Process_Steps[[#This Row],[Name]]),NA())</f>
        <v>47.141721498929329</v>
      </c>
      <c r="DN12" s="20">
        <f ca="1">IF(Process_Steps[[#This Row],[Real or Virtual?]]="Real",SUMIFS(Table_Process_Details[RV Water (kg) per kg API (WATER)],Table_Process_Details[Step Name],Process_Steps[[#This Row],[Name]]),NA())</f>
        <v>0</v>
      </c>
      <c r="DO12" s="20">
        <f ca="1">IF(Process_Steps[[#This Row],[Real or Virtual?]]="Real",SUMIFS(Table_Process_Details[RV Water (kg) per kg API (ENZ&amp;PLNT)],Table_Process_Details[Step Name],Process_Steps[[#This Row],[Name]]),NA())</f>
        <v>0</v>
      </c>
      <c r="DP12" s="20">
        <f ca="1">IF(Process_Steps[[#This Row],[Real or Virtual?]]="Real",SUMIFS(Table_Process_Details[RV Water (kg) per kg API (OTHER)],Table_Process_Details[Step Name],Process_Steps[[#This Row],[Name]]),NA())</f>
        <v>0</v>
      </c>
      <c r="DQ12" s="23" t="str">
        <f ca="1">INDEX(Process_Steps[Name if Real],MATCH(Process_Steps[[#This Row],['[RV Step Water (kg) per kg API'] of Each Step Sorted by '[RV Step Water (kg) per kg API']]],Process_Steps[RV Step Water (kg) per kg API],0))</f>
        <v>2) Synthesis of Intermediate (2)</v>
      </c>
      <c r="DR12" s="23" cm="1">
        <f t="array" aca="1" ref="DR12" ca="1">IF(LARGE(_xlfn.IFNA(Process_Steps[RV Step Water (kg) per kg API],0),Process_Steps[[#This Row],[Table Row]])=0,NA(),LARGE(_xlfn.IFNA(Process_Steps[RV Step Water (kg) per kg API],0),Process_Steps[[#This Row],[Table Row]]))</f>
        <v>31.238709221217242</v>
      </c>
      <c r="DS12" s="23">
        <f ca="1">SUM(OFFSET(Process_Steps['[RV Step Water (kg) per kg API'] of Each Step Sorted by '[RV Step Water (kg) per kg API']],0,0,Process_Steps[[#This Row],[Table Row]]))</f>
        <v>890.26141237163642</v>
      </c>
      <c r="DT12" s="23" t="str">
        <f ca="1">"("&amp;TEXT(Process_Steps[[#This Row],['[RV Step Water (kg) per kg API'] of Each Step Sorted by '[RV Step Water (kg) per kg API']]]/SUMIF(Process_Steps['[RV Step Water (kg) per kg API'] of Each Step Sorted by '[RV Step Water (kg) per kg API']],"&lt;&gt;#N/A"),"0%")&amp;")"</f>
        <v>(4%)</v>
      </c>
      <c r="DU12" s="23">
        <f ca="1">INDEX(Process_Steps[RV Step Water (kg) per kg API (REAGENT)],MATCH(Process_Steps[[#This Row],[Steps Sorted by '[RV Step Water (kg) per kg API']]],Process_Steps[Name],0))</f>
        <v>2.2243783319686297</v>
      </c>
      <c r="DV12" s="23">
        <f ca="1">INDEX(Process_Steps[RV Step Water (kg) per kg API (METAL)],MATCH(Process_Steps[[#This Row],[Steps Sorted by '[RV Step Water (kg) per kg API']]],Process_Steps[Name],0))</f>
        <v>0</v>
      </c>
      <c r="DW12" s="23">
        <f ca="1">INDEX(Process_Steps[RV Step Water (kg) per kg API (SOLVENT)],MATCH(Process_Steps[[#This Row],[Steps Sorted by '[RV Step Water (kg) per kg API']]],Process_Steps[Name],0))</f>
        <v>22.083561360961383</v>
      </c>
      <c r="DX12" s="23">
        <f ca="1">INDEX(Process_Steps[RV Step Water (kg) per kg API (WATER)],MATCH(Process_Steps[[#This Row],[Steps Sorted by '[RV Step Water (kg) per kg API']]],Process_Steps[Name],0))</f>
        <v>6.9307695282872261</v>
      </c>
      <c r="DY12" s="23">
        <f ca="1">INDEX(Process_Steps[RV Step Water (kg) per kg API (ENZ&amp;PLNT)],MATCH(Process_Steps[[#This Row],[Steps Sorted by '[RV Step Water (kg) per kg API']]],Process_Steps[Name],0))</f>
        <v>0</v>
      </c>
      <c r="DZ12" s="23">
        <f ca="1">INDEX(Process_Steps[RV Step Water (kg) per kg API (OTHER)],MATCH(Process_Steps[[#This Row],[Steps Sorted by '[RV Step Water (kg) per kg API']]],Process_Steps[Name],0))</f>
        <v>0</v>
      </c>
    </row>
    <row r="13" spans="1:130" s="119" customFormat="1" x14ac:dyDescent="0.25">
      <c r="A13" s="119" t="s">
        <v>784</v>
      </c>
      <c r="B13" s="119" t="s">
        <v>174</v>
      </c>
      <c r="C13" s="119" t="s">
        <v>785</v>
      </c>
      <c r="D13" s="119" t="s">
        <v>842</v>
      </c>
      <c r="F13" s="120">
        <f>INDEX(Table_Process_Details[Physical Mass (kg)],MATCH(1,INDEX((Process_Steps[[#This Row],[Name]]=Table_Process_Details[Step Name])*(Table_Process_Details[Input or Output]="Output"),0),0))</f>
        <v>51.020408163265309</v>
      </c>
      <c r="G13" s="120" cm="1">
        <f t="array" aca="1" ref="G13"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0.35663788549420178</v>
      </c>
      <c r="H13" s="121">
        <f ca="1">Process_Steps[[#This Row],[Total Mass that must be produced]]/Process_Steps[[#This Row],[Unscaled Step Product Mass]]</f>
        <v>6.9901025556863543E-3</v>
      </c>
      <c r="I13" s="122" t="str">
        <f>IF(Process_Steps[[#This Row],[Real or Virtual?]]="Real",Process_Steps[[#This Row],[Name]],NA())</f>
        <v>1) Synthesis of Intermediate (1)</v>
      </c>
      <c r="J13" s="123">
        <f>ROW()-ROW(Process_Steps[[#Headers],[Table Row]])</f>
        <v>7</v>
      </c>
      <c r="K13" s="124">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61.071835999999998</v>
      </c>
      <c r="L13" s="124">
        <f ca="1">IF(Process_Steps[[#This Row],[Real or Virtual?]]="Real",SUMIFS(Table_Process_Details[RV Physical Mass per kg API],Table_Process_Details[Input or Output],"Input",Table_Process_Details[Step Name],Process_Steps[[#This Row],[Name]]),NA())</f>
        <v>18.984489432014126</v>
      </c>
      <c r="M13" s="125">
        <f ca="1">IF(Process_Steps[[#This Row],[Real or Virtual?]]="Real",SUMIFS(Table_Process_Details[RV Physical Mass per kg API (REAGENT)],Table_Process_Details[Input or Output],"Input",Table_Process_Details[Step Name],Process_Steps[[#This Row],[Name]]),NA())</f>
        <v>1.2806797840738717</v>
      </c>
      <c r="N13" s="125">
        <f ca="1">IF(Process_Steps[[#This Row],[Real or Virtual?]]="Real",SUMIFS(Table_Process_Details[RV Physical Mass per kg API (METAL)],Table_Process_Details[Input or Output],"Input",Table_Process_Details[Step Name],Process_Steps[[#This Row],[Name]]),NA())</f>
        <v>5.1704470224113947E-3</v>
      </c>
      <c r="O13" s="125">
        <f ca="1">IF(Process_Steps[[#This Row],[Real or Virtual?]]="Real",SUMIFS(Table_Process_Details[RV Physical Mass per kg API (SOLVENT)],Table_Process_Details[Input or Output],"Input",Table_Process_Details[Step Name],Process_Steps[[#This Row],[Name]]),NA())</f>
        <v>4.4272513546695098</v>
      </c>
      <c r="P13" s="125">
        <f ca="1">IF(Process_Steps[[#This Row],[Real or Virtual?]]="Real",SUMIFS(Table_Process_Details[RV Physical Mass per kg API (WATER)],Table_Process_Details[Input or Output],"Input",Table_Process_Details[Step Name],Process_Steps[[#This Row],[Name]]),NA())</f>
        <v>13.271387846248334</v>
      </c>
      <c r="Q13" s="125">
        <f ca="1">IF(Process_Steps[[#This Row],[Real or Virtual?]]="Real",SUMIFS(Table_Process_Details[RV Physical Mass per kg API (ENZ&amp;PLNT)],Table_Process_Details[Input or Output],"Input",Table_Process_Details[Step Name],Process_Steps[[#This Row],[Name]]),NA())</f>
        <v>0</v>
      </c>
      <c r="R13" s="125">
        <f ca="1">IF(Process_Steps[[#This Row],[Real or Virtual?]]="Real",SUMIFS(Table_Process_Details[RV Physical Mass per kg API (OTHER)],Table_Process_Details[Input or Output],"Input",Table_Process_Details[Step Name],Process_Steps[[#This Row],[Name]]),NA())</f>
        <v>0</v>
      </c>
      <c r="S13" s="124" t="e">
        <f ca="1">INDEX(Process_Steps[Name if Real],MATCH(Process_Steps[[#This Row],['[RV Step PMI per kg API'] of Each Step Sorted by '[RV Step PMI per kg API']]],Process_Steps[RV Step PMI per kg API],0))</f>
        <v>#N/A</v>
      </c>
      <c r="T13" s="124" t="e" cm="1">
        <f t="array" aca="1" ref="T13" ca="1">IF(LARGE(_xlfn.IFNA(Process_Steps[RV Step PMI per kg API],0),Process_Steps[[#This Row],[Table Row]])=0,NA(),LARGE(_xlfn.IFNA(Process_Steps[RV Step PMI per kg API],0),Process_Steps[[#This Row],[Table Row]]))</f>
        <v>#N/A</v>
      </c>
      <c r="U13" s="124" t="e">
        <f ca="1">SUM(OFFSET(Process_Steps['[RV Step PMI per kg API'] of Each Step Sorted by '[RV Step PMI per kg API']],0,0,Process_Steps[[#This Row],[Table Row]]))</f>
        <v>#N/A</v>
      </c>
      <c r="V13" s="124" t="e">
        <f ca="1">"("&amp;TEXT(Process_Steps[[#This Row],['[RV Step PMI per kg API'] of Each Step Sorted by '[RV Step PMI per kg API']]]/SUMIF(Process_Steps['[RV Step PMI per kg API'] of Each Step Sorted by '[RV Step PMI per kg API']],"&lt;&gt;#N/A"),"0%")&amp;")"</f>
        <v>#N/A</v>
      </c>
      <c r="W13" s="122" t="e">
        <f ca="1">INDEX(Process_Steps[RV Step PMI per kg API (REAGENT)],MATCH(Process_Steps[[#This Row],[Steps Sorted by '[RV Step PMI per kg API']]],Process_Steps[Name],0))</f>
        <v>#N/A</v>
      </c>
      <c r="X13" s="122" t="e">
        <f ca="1">INDEX(Process_Steps[RV Step PMI per kg API (METAL)],MATCH(Process_Steps[[#This Row],[Steps Sorted by '[RV Step PMI per kg API']]],Process_Steps[Name],0))</f>
        <v>#N/A</v>
      </c>
      <c r="Y13" s="122" t="e">
        <f ca="1">INDEX(Process_Steps[RV Step PMI per kg API (SOLVENT)],MATCH(Process_Steps[[#This Row],[Steps Sorted by '[RV Step PMI per kg API']]],Process_Steps[Name],0))</f>
        <v>#N/A</v>
      </c>
      <c r="Z13" s="122" t="e">
        <f ca="1">INDEX(Process_Steps[RV Step PMI per kg API (WATER)],MATCH(Process_Steps[[#This Row],[Steps Sorted by '[RV Step PMI per kg API']]],Process_Steps[Name],0))</f>
        <v>#N/A</v>
      </c>
      <c r="AA13" s="122" t="e">
        <f ca="1">INDEX(Process_Steps[RV Step PMI per kg API (ENZ&amp;PLNT)],MATCH(Process_Steps[[#This Row],[Steps Sorted by '[RV Step PMI per kg API']]],Process_Steps[Name],0))</f>
        <v>#N/A</v>
      </c>
      <c r="AB13" s="122" t="e">
        <f ca="1">INDEX(Process_Steps[RV Step PMI per kg API (OTHER)],MATCH(Process_Steps[[#This Row],[Steps Sorted by '[RV Step PMI per kg API']]],Process_Steps[Name],0))</f>
        <v>#N/A</v>
      </c>
      <c r="AC13" s="124">
        <f ca="1">IF(Process_Steps[[#This Row],[Real or Virtual?]]="Real",SUMIFS(Table_Process_Details[RV Mass Net (kg) per kg API],Table_Process_Details[Step Name],Process_Steps[[#This Row],[Name]]),NA())</f>
        <v>8.4474368694746982</v>
      </c>
      <c r="AD13" s="125">
        <f ca="1">IF(Process_Steps[[#This Row],[Real or Virtual?]]="Real",SUMIFS(Table_Process_Details[RV Mass Net (kg) per kg API (REAGENT)],Table_Process_Details[Step Name],Process_Steps[[#This Row],[Name]]),NA())</f>
        <v>2.0319070761885989</v>
      </c>
      <c r="AE13" s="125">
        <f ca="1">IF(Process_Steps[[#This Row],[Real or Virtual?]]="Real",SUMIFS(Table_Process_Details[RV Mass Net (kg) per kg API (METAL)],Table_Process_Details[Step Name],Process_Steps[[#This Row],[Name]]),NA())</f>
        <v>1.3212335406624615E-2</v>
      </c>
      <c r="AF13" s="125">
        <f ca="1">IF(Process_Steps[[#This Row],[Real or Virtual?]]="Real",SUMIFS(Table_Process_Details[RV Mass Net (kg) per kg API (SOLVENT)],Table_Process_Details[Step Name],Process_Steps[[#This Row],[Name]]),NA())</f>
        <v>6.3820087135755195</v>
      </c>
      <c r="AG13" s="125">
        <f ca="1">IF(Process_Steps[[#This Row],[Real or Virtual?]]="Real",SUMIFS(Table_Process_Details[RV Mass Net (kg) per kg API (WATER)],Table_Process_Details[Step Name],Process_Steps[[#This Row],[Name]]),NA())</f>
        <v>2.0308744303955559E-2</v>
      </c>
      <c r="AH13" s="125">
        <f ca="1">IF(Process_Steps[[#This Row],[Real or Virtual?]]="Real",SUMIFS(Table_Process_Details[RV Mass Net (kg) per kg API (ENZ&amp;PLNT)],Table_Process_Details[Step Name],Process_Steps[[#This Row],[Name]]),NA())</f>
        <v>0</v>
      </c>
      <c r="AI13" s="125">
        <f ca="1">IF(Process_Steps[[#This Row],[Real or Virtual?]]="Real",SUMIFS(Table_Process_Details[RV Mass Net (kg) per kg API (OTHER)],Table_Process_Details[Step Name],Process_Steps[[#This Row],[Name]]),NA())</f>
        <v>0</v>
      </c>
      <c r="AJ13" s="122" t="e">
        <f ca="1">INDEX(Process_Steps[Name if Real],MATCH(Process_Steps[[#This Row],['[RV Step Mass Net (kg) per kg API'] of Each Step Sorted by '[RV Step Mass Net (kg) per kg API']]],Process_Steps[RV Step Mass Net (kg) per kg API],0))</f>
        <v>#N/A</v>
      </c>
      <c r="AK13" s="122" t="e" cm="1">
        <f t="array" aca="1" ref="AK13" ca="1">IF(LARGE(_xlfn.IFNA(Process_Steps[RV Step Mass Net (kg) per kg API],0),Process_Steps[[#This Row],[Table Row]])=0,NA(),LARGE(_xlfn.IFNA(Process_Steps[RV Step Mass Net (kg) per kg API],0),Process_Steps[[#This Row],[Table Row]]))</f>
        <v>#N/A</v>
      </c>
      <c r="AL13" s="122" t="e">
        <f ca="1">SUM(OFFSET(Process_Steps['[RV Step Mass Net (kg) per kg API'] of Each Step Sorted by '[RV Step Mass Net (kg) per kg API']],0,0,Process_Steps[[#This Row],[Table Row]]))</f>
        <v>#N/A</v>
      </c>
      <c r="AM13" s="122" t="e">
        <f ca="1">"("&amp;TEXT(Process_Steps[[#This Row],['[RV Step Mass Net (kg) per kg API'] of Each Step Sorted by '[RV Step Mass Net (kg) per kg API']]]/SUMIF(Process_Steps['[RV Step Mass Net (kg) per kg API'] of Each Step Sorted by '[RV Step Mass Net (kg) per kg API']],"&lt;&gt;#N/A"),"0%")&amp;")"</f>
        <v>#N/A</v>
      </c>
      <c r="AN13" s="122" t="e">
        <f ca="1">INDEX(Process_Steps[RV Step Mass Net (kg) per kg API (REAGENT)],MATCH(Process_Steps[[#This Row],[Steps Sorted by '[RV Step Mass Net (kg) per kg API']]],Process_Steps[Name],0))</f>
        <v>#N/A</v>
      </c>
      <c r="AO13" s="122" t="e">
        <f ca="1">INDEX(Process_Steps[RV Step Mass Net (kg) per kg API (METAL)],MATCH(Process_Steps[[#This Row],[Steps Sorted by '[RV Step Mass Net (kg) per kg API']]],Process_Steps[Name],0))</f>
        <v>#N/A</v>
      </c>
      <c r="AP13" s="122" t="e">
        <f ca="1">INDEX(Process_Steps[RV Step Mass Net (kg) per kg API (SOLVENT)],MATCH(Process_Steps[[#This Row],[Steps Sorted by '[RV Step Mass Net (kg) per kg API']]],Process_Steps[Name],0))</f>
        <v>#N/A</v>
      </c>
      <c r="AQ13" s="122" t="e">
        <f ca="1">INDEX(Process_Steps[RV Step Mass Net (kg) per kg API (WATER)],MATCH(Process_Steps[[#This Row],[Steps Sorted by '[RV Step Mass Net (kg) per kg API']]],Process_Steps[Name],0))</f>
        <v>#N/A</v>
      </c>
      <c r="AR13" s="122" t="e">
        <f ca="1">INDEX(Process_Steps[RV Step Mass Net (kg) per kg API (ENZ&amp;PLNT)],MATCH(Process_Steps[[#This Row],[Steps Sorted by '[RV Step Mass Net (kg) per kg API']]],Process_Steps[Name],0))</f>
        <v>#N/A</v>
      </c>
      <c r="AS13" s="122" t="e">
        <f ca="1">INDEX(Process_Steps[RV Step Mass Net (kg) per kg API (OTHER)],MATCH(Process_Steps[[#This Row],[Steps Sorted by '[RV Step Mass Net (kg) per kg API']]],Process_Steps[Name],0))</f>
        <v>#N/A</v>
      </c>
      <c r="AT13" s="124">
        <f ca="1">IF(Process_Steps[[#This Row],[Real or Virtual?]]="Real",SUMIFS(Table_Process_Details[RV Energy (MJ) per kg API],Table_Process_Details[Step Name],Process_Steps[[#This Row],[Name]]),NA())</f>
        <v>340.03771700776434</v>
      </c>
      <c r="AU13" s="125">
        <f ca="1">IF(Process_Steps[[#This Row],[Real or Virtual?]]="Real",SUMIFS(Table_Process_Details[RV Energy (MJ) per kg API (REAGENT)],Table_Process_Details[Step Name],Process_Steps[[#This Row],[Name]]),NA())</f>
        <v>40.802104102327149</v>
      </c>
      <c r="AV13" s="125">
        <f ca="1">IF(Process_Steps[[#This Row],[Real or Virtual?]]="Real",SUMIFS(Table_Process_Details[RV Energy (MJ) per kg API (METAL)],Table_Process_Details[Step Name],Process_Steps[[#This Row],[Name]]),NA())</f>
        <v>4.8400991479566495E-2</v>
      </c>
      <c r="AW13" s="125">
        <f ca="1">IF(Process_Steps[[#This Row],[Real or Virtual?]]="Real",SUMIFS(Table_Process_Details[RV Energy (MJ) per kg API (SOLVENT)],Table_Process_Details[Step Name],Process_Steps[[#This Row],[Name]]),NA())</f>
        <v>298.93428325627741</v>
      </c>
      <c r="AX13" s="125">
        <f ca="1">IF(Process_Steps[[#This Row],[Real or Virtual?]]="Real",SUMIFS(Table_Process_Details[RV Energy (MJ) per kg API (WATER)],Table_Process_Details[Step Name],Process_Steps[[#This Row],[Name]]),NA())</f>
        <v>0.25292865768026723</v>
      </c>
      <c r="AY13" s="125">
        <f ca="1">IF(Process_Steps[[#This Row],[Real or Virtual?]]="Real",SUMIFS(Table_Process_Details[RV Energy (MJ) per kg API (ENZ&amp;PLNT)],Table_Process_Details[Step Name],Process_Steps[[#This Row],[Name]]),NA())</f>
        <v>0</v>
      </c>
      <c r="AZ13" s="125">
        <f ca="1">IF(Process_Steps[[#This Row],[Real or Virtual?]]="Real",SUMIFS(Table_Process_Details[RV Energy (MJ) per kg API (OTHER)],Table_Process_Details[Step Name],Process_Steps[[#This Row],[Name]]),NA())</f>
        <v>0</v>
      </c>
      <c r="BA13" s="122" t="e">
        <f ca="1">INDEX(Process_Steps[Name if Real],MATCH(Process_Steps[[#This Row],['[RV Step Energy (MJ) per kg API'] of Each Step Sorted by '[RV Step Energy (MJ) per kg API']]],Process_Steps[RV Step Energy (MJ) per kg API],0))</f>
        <v>#N/A</v>
      </c>
      <c r="BB13" s="122" t="e" cm="1">
        <f t="array" aca="1" ref="BB13" ca="1">IF(LARGE(_xlfn.IFNA(Process_Steps[RV Step Energy (MJ) per kg API],0),Process_Steps[[#This Row],[Table Row]])=0,NA(),LARGE(_xlfn.IFNA(Process_Steps[RV Step Energy (MJ) per kg API],0),Process_Steps[[#This Row],[Table Row]]))</f>
        <v>#N/A</v>
      </c>
      <c r="BC13" s="122" t="e">
        <f ca="1">SUM(OFFSET(Process_Steps['[RV Step Energy (MJ) per kg API'] of Each Step Sorted by '[RV Step Energy (MJ) per kg API']],0,0,Process_Steps[[#This Row],[Table Row]]))</f>
        <v>#N/A</v>
      </c>
      <c r="BD13" s="122" t="e">
        <f ca="1">"("&amp;TEXT(Process_Steps[[#This Row],['[RV Step Energy (MJ) per kg API'] of Each Step Sorted by '[RV Step Energy (MJ) per kg API']]]/SUMIF(Process_Steps['[RV Step Energy (MJ) per kg API'] of Each Step Sorted by '[RV Step Energy (MJ) per kg API']],"&lt;&gt;#N/A"),"0%")&amp;")"</f>
        <v>#N/A</v>
      </c>
      <c r="BE13" s="122" t="e">
        <f ca="1">INDEX(Process_Steps[RV Step Energy (MJ) per kg API (REAGENT)],MATCH(Process_Steps[[#This Row],[Steps Sorted by '[RV Step Energy (MJ) per kg API']]],Process_Steps[Name],0))</f>
        <v>#N/A</v>
      </c>
      <c r="BF13" s="122" t="e">
        <f ca="1">INDEX(Process_Steps[RV Step Energy (MJ) per kg API (METAL)],MATCH(Process_Steps[[#This Row],[Steps Sorted by '[RV Step Energy (MJ) per kg API']]],Process_Steps[Name],0))</f>
        <v>#N/A</v>
      </c>
      <c r="BG13" s="122" t="e">
        <f ca="1">INDEX(Process_Steps[RV Step Energy (MJ) per kg API (SOLVENT)],MATCH(Process_Steps[[#This Row],[Steps Sorted by '[RV Step Energy (MJ) per kg API']]],Process_Steps[Name],0))</f>
        <v>#N/A</v>
      </c>
      <c r="BH13" s="122" t="e">
        <f ca="1">INDEX(Process_Steps[RV Step Energy (MJ) per kg API (WATER)],MATCH(Process_Steps[[#This Row],[Steps Sorted by '[RV Step Energy (MJ) per kg API']]],Process_Steps[Name],0))</f>
        <v>#N/A</v>
      </c>
      <c r="BI13" s="122" t="e">
        <f ca="1">INDEX(Process_Steps[RV Step Energy (MJ) per kg API (ENZ&amp;PLNT)],MATCH(Process_Steps[[#This Row],[Steps Sorted by '[RV Step Energy (MJ) per kg API']]],Process_Steps[Name],0))</f>
        <v>#N/A</v>
      </c>
      <c r="BJ13" s="122" t="e">
        <f ca="1">INDEX(Process_Steps[RV Step Energy (MJ) per kg API (OTHER)],MATCH(Process_Steps[[#This Row],[Steps Sorted by '[RV Step Energy (MJ) per kg API']]],Process_Steps[Name],0))</f>
        <v>#N/A</v>
      </c>
      <c r="BK13" s="124">
        <f ca="1">IF(Process_Steps[[#This Row],[Real or Virtual?]]="Real",SUMIFS(Table_Process_Details[RV GWP (kg CO2 equiv.) per kg API],Table_Process_Details[Step Name],Process_Steps[[#This Row],[Name]]),NA())</f>
        <v>10.450359899108092</v>
      </c>
      <c r="BL13" s="125">
        <f ca="1">IF(Process_Steps[[#This Row],[Real or Virtual?]]="Real",SUMIFS(Table_Process_Details[RV GWP (kg CO2 equiv.) per kg API (REAGENT)],Table_Process_Details[Step Name],Process_Steps[[#This Row],[Name]]),NA())</f>
        <v>2.2986629072298421</v>
      </c>
      <c r="BM13" s="125">
        <f ca="1">IF(Process_Steps[[#This Row],[Real or Virtual?]]="Real",SUMIFS(Table_Process_Details[RV GWP (kg CO2 equiv.) per kg API (METAL)],Table_Process_Details[Step Name],Process_Steps[[#This Row],[Name]]),NA())</f>
        <v>2.8110112451826814E-3</v>
      </c>
      <c r="BN13" s="125">
        <f ca="1">IF(Process_Steps[[#This Row],[Real or Virtual?]]="Real",SUMIFS(Table_Process_Details[RV GWP (kg CO2 equiv.) per kg API (SOLVENT)],Table_Process_Details[Step Name],Process_Steps[[#This Row],[Name]]),NA())</f>
        <v>8.1354056745993439</v>
      </c>
      <c r="BO13" s="125">
        <f ca="1">IF(Process_Steps[[#This Row],[Real or Virtual?]]="Real",SUMIFS(Table_Process_Details[RV GWP (kg CO2 equiv.) per kg API (WATER)],Table_Process_Details[Step Name],Process_Steps[[#This Row],[Name]]),NA())</f>
        <v>1.3480306033723976E-2</v>
      </c>
      <c r="BP13" s="125">
        <f ca="1">IF(Process_Steps[[#This Row],[Real or Virtual?]]="Real",SUMIFS(Table_Process_Details[RV GWP (kg CO2 equiv.) per kg API (ENZ&amp;PLNT)],Table_Process_Details[Step Name],Process_Steps[[#This Row],[Name]]),NA())</f>
        <v>0</v>
      </c>
      <c r="BQ13" s="125">
        <f ca="1">IF(Process_Steps[[#This Row],[Real or Virtual?]]="Real",SUMIFS(Table_Process_Details[RV GWP (kg CO2 equiv.) per kg API (OTHER)],Table_Process_Details[Step Name],Process_Steps[[#This Row],[Name]]),NA())</f>
        <v>0</v>
      </c>
      <c r="BR13" s="122" t="e">
        <f ca="1">INDEX(Process_Steps[Name if Real],MATCH(Process_Steps[[#This Row],['[RV Step GWP (kg CO2 equiv.) per kg API'] of Each Step Sorted by '[RV Step GWP (kg CO2 equiv.) per kg API']]],Process_Steps[RV Step GWP (kg CO2 equiv.) per kg API],0))</f>
        <v>#N/A</v>
      </c>
      <c r="BS13" s="122" t="e" cm="1">
        <f t="array" aca="1" ref="BS13" ca="1">IF(LARGE(_xlfn.IFNA(Process_Steps[RV Step GWP (kg CO2 equiv.) per kg API],0),Process_Steps[[#This Row],[Table Row]])=0,NA(),LARGE(_xlfn.IFNA(Process_Steps[RV Step GWP (kg CO2 equiv.) per kg API],0),Process_Steps[[#This Row],[Table Row]]))</f>
        <v>#N/A</v>
      </c>
      <c r="BT13" s="122" t="e">
        <f ca="1">SUM(OFFSET(Process_Steps['[RV Step GWP (kg CO2 equiv.) per kg API'] of Each Step Sorted by '[RV Step GWP (kg CO2 equiv.) per kg API']],0,0,Process_Steps[[#This Row],[Table Row]]))</f>
        <v>#N/A</v>
      </c>
      <c r="BU13" s="122" t="e">
        <f ca="1">"("&amp;TEXT(Process_Steps[[#This Row],['[RV Step GWP (kg CO2 equiv.) per kg API'] of Each Step Sorted by '[RV Step GWP (kg CO2 equiv.) per kg API']]]/SUMIF(Process_Steps['[RV Step GWP (kg CO2 equiv.) per kg API'] of Each Step Sorted by '[RV Step GWP (kg CO2 equiv.) per kg API']],"&lt;&gt;#N/A"),"0%")&amp;")"</f>
        <v>#N/A</v>
      </c>
      <c r="BV13" s="122" t="e">
        <f ca="1">INDEX(Process_Steps[RV Step GWP (kg CO2 equiv.) per kg API (REAGENT)],MATCH(Process_Steps[[#This Row],[Steps Sorted by '[RV Step GWP (kg CO2 equiv.) per kg API']]],Process_Steps[Name],0))</f>
        <v>#N/A</v>
      </c>
      <c r="BW13" s="122" t="e">
        <f ca="1">INDEX(Process_Steps[RV Step GWP (kg CO2 equiv.) per kg API (METAL)],MATCH(Process_Steps[[#This Row],[Steps Sorted by '[RV Step GWP (kg CO2 equiv.) per kg API']]],Process_Steps[Name],0))</f>
        <v>#N/A</v>
      </c>
      <c r="BX13" s="122" t="e">
        <f ca="1">INDEX(Process_Steps[RV Step GWP (kg CO2 equiv.) per kg API (SOLVENT)],MATCH(Process_Steps[[#This Row],[Steps Sorted by '[RV Step GWP (kg CO2 equiv.) per kg API']]],Process_Steps[Name],0))</f>
        <v>#N/A</v>
      </c>
      <c r="BY13" s="122" t="e">
        <f ca="1">INDEX(Process_Steps[RV Step GWP (kg CO2 equiv.) per kg API (WATER)],MATCH(Process_Steps[[#This Row],[Steps Sorted by '[RV Step GWP (kg CO2 equiv.) per kg API']]],Process_Steps[Name],0))</f>
        <v>#N/A</v>
      </c>
      <c r="BZ13" s="122" t="e">
        <f ca="1">INDEX(Process_Steps[RV Step GWP (kg CO2 equiv.) per kg API (ENZ&amp;PLNT)],MATCH(Process_Steps[[#This Row],[Steps Sorted by '[RV Step GWP (kg CO2 equiv.) per kg API']]],Process_Steps[Name],0))</f>
        <v>#N/A</v>
      </c>
      <c r="CA13" s="122" t="e">
        <f ca="1">INDEX(Process_Steps[RV Step GWP (kg CO2 equiv.) per kg API (OTHER)],MATCH(Process_Steps[[#This Row],[Steps Sorted by '[RV Step GWP (kg CO2 equiv.) per kg API']]],Process_Steps[Name],0))</f>
        <v>#N/A</v>
      </c>
      <c r="CB13" s="124">
        <f ca="1">IF(Process_Steps[[#This Row],[Real or Virtual?]]="Real",SUMIFS(Table_Process_Details[RV Acidification (kg SO2 equiv.) per kg API],Table_Process_Details[Step Name],Process_Steps[[#This Row],[Name]]),NA())</f>
        <v>4.4634676945532865E-2</v>
      </c>
      <c r="CC13" s="125">
        <f ca="1">IF(Process_Steps[[#This Row],[Real or Virtual?]]="Real",SUMIFS(Table_Process_Details[RV Acidification (kg SO2 equiv.) per kg API (REAGENT)],Table_Process_Details[Step Name],Process_Steps[[#This Row],[Name]]),NA())</f>
        <v>1.6668454990672189E-2</v>
      </c>
      <c r="CD13" s="125">
        <f ca="1">IF(Process_Steps[[#This Row],[Real or Virtual?]]="Real",SUMIFS(Table_Process_Details[RV Acidification (kg SO2 equiv.) per kg API (METAL)],Table_Process_Details[Step Name],Process_Steps[[#This Row],[Name]]),NA())</f>
        <v>4.4127374004533426E-4</v>
      </c>
      <c r="CE13" s="125">
        <f ca="1">IF(Process_Steps[[#This Row],[Real or Virtual?]]="Real",SUMIFS(Table_Process_Details[RV Acidification (kg SO2 equiv.) per kg API (SOLVENT)],Table_Process_Details[Step Name],Process_Steps[[#This Row],[Name]]),NA())</f>
        <v>2.7473303471651875E-2</v>
      </c>
      <c r="CF13" s="125">
        <f ca="1">IF(Process_Steps[[#This Row],[Real or Virtual?]]="Real",SUMIFS(Table_Process_Details[RV Acidification (kg SO2 equiv.) per kg API (WATER)],Table_Process_Details[Step Name],Process_Steps[[#This Row],[Name]]),NA())</f>
        <v>5.164474316346538E-5</v>
      </c>
      <c r="CG13" s="125">
        <f ca="1">IF(Process_Steps[[#This Row],[Real or Virtual?]]="Real",SUMIFS(Table_Process_Details[RV Acidification (kg SO2 equiv.) per kg API (ENZ&amp;PLNT)],Table_Process_Details[Step Name],Process_Steps[[#This Row],[Name]]),NA())</f>
        <v>0</v>
      </c>
      <c r="CH13" s="125">
        <f ca="1">IF(Process_Steps[[#This Row],[Real or Virtual?]]="Real",SUMIFS(Table_Process_Details[RV Acidification (kg SO2 equiv.) per kg API (OTHER)],Table_Process_Details[Step Name],Process_Steps[[#This Row],[Name]]),NA())</f>
        <v>0</v>
      </c>
      <c r="CI13" s="122" t="e">
        <f ca="1">INDEX(Process_Steps[Name if Real],MATCH(Process_Steps[[#This Row],['[RV Step Acidification (kg SO2 equiv.) per kg API'] of Each Step Sorted by '[RV Step Acidification (kg SO2 equiv.) per kg API']]],Process_Steps[RV Step Acidification (kg SO2 equiv.) per kg API],0))</f>
        <v>#N/A</v>
      </c>
      <c r="CJ13" s="122" t="e" cm="1">
        <f t="array" aca="1" ref="CJ13" ca="1">IF(LARGE(_xlfn.IFNA(Process_Steps[RV Step Acidification (kg SO2 equiv.) per kg API],0),Process_Steps[[#This Row],[Table Row]])=0,NA(),LARGE(_xlfn.IFNA(Process_Steps[RV Step Acidification (kg SO2 equiv.) per kg API],0),Process_Steps[[#This Row],[Table Row]]))</f>
        <v>#N/A</v>
      </c>
      <c r="CK13" s="122" t="e">
        <f ca="1">SUM(OFFSET(Process_Steps['[RV Step Acidification (kg SO2 equiv.) per kg API'] of Each Step Sorted by '[RV Step Acidification (kg SO2 equiv.) per kg API']],0,0,Process_Steps[[#This Row],[Table Row]]))</f>
        <v>#N/A</v>
      </c>
      <c r="CL13" s="122"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3" s="122" t="e">
        <f ca="1">INDEX(Process_Steps[RV Step Acidification (kg SO2 equiv.) per kg API (REAGENT)],MATCH(Process_Steps[[#This Row],[Steps Sorted by '[RV Step Acidification (kg SO2 equiv.) per kg API']]],Process_Steps[Name],0))</f>
        <v>#N/A</v>
      </c>
      <c r="CN13" s="122" t="e">
        <f ca="1">INDEX(Process_Steps[RV Step Acidification (kg SO2 equiv.) per kg API (METAL)],MATCH(Process_Steps[[#This Row],[Steps Sorted by '[RV Step Acidification (kg SO2 equiv.) per kg API']]],Process_Steps[Name],0))</f>
        <v>#N/A</v>
      </c>
      <c r="CO13" s="122" t="e">
        <f ca="1">INDEX(Process_Steps[RV Step Acidification (kg SO2 equiv.) per kg API (SOLVENT)],MATCH(Process_Steps[[#This Row],[Steps Sorted by '[RV Step Acidification (kg SO2 equiv.) per kg API']]],Process_Steps[Name],0))</f>
        <v>#N/A</v>
      </c>
      <c r="CP13" s="122" t="e">
        <f ca="1">INDEX(Process_Steps[RV Step Acidification (kg SO2 equiv.) per kg API (WATER)],MATCH(Process_Steps[[#This Row],[Steps Sorted by '[RV Step Acidification (kg SO2 equiv.) per kg API']]],Process_Steps[Name],0))</f>
        <v>#N/A</v>
      </c>
      <c r="CQ13" s="122" t="e">
        <f ca="1">INDEX(Process_Steps[RV Step Acidification (kg SO2 equiv.) per kg API (ENZ&amp;PLNT)],MATCH(Process_Steps[[#This Row],[Steps Sorted by '[RV Step Acidification (kg SO2 equiv.) per kg API']]],Process_Steps[Name],0))</f>
        <v>#N/A</v>
      </c>
      <c r="CR13" s="122" t="e">
        <f ca="1">INDEX(Process_Steps[RV Step Acidification (kg SO2 equiv.) per kg API (OTHER)],MATCH(Process_Steps[[#This Row],[Steps Sorted by '[RV Step Acidification (kg SO2 equiv.) per kg API']]],Process_Steps[Name],0))</f>
        <v>#N/A</v>
      </c>
      <c r="CS13" s="124">
        <f ca="1">IF(Process_Steps[[#This Row],[Real or Virtual?]]="Real",SUMIFS(Table_Process_Details[RV Eutrophication (kg phosphate equiv.) per kg API],Table_Process_Details[Step Name],Process_Steps[[#This Row],[Name]]),NA())</f>
        <v>3.8086033349113826E-2</v>
      </c>
      <c r="CT13" s="125">
        <f ca="1">IF(Process_Steps[[#This Row],[Real or Virtual?]]="Real",SUMIFS(Table_Process_Details[RV Eutrophication (kg phosphate equiv.) per kg API (REAGENT)],Table_Process_Details[Step Name],Process_Steps[[#This Row],[Name]]),NA())</f>
        <v>4.4037232258929823E-3</v>
      </c>
      <c r="CU13" s="125">
        <f ca="1">IF(Process_Steps[[#This Row],[Real or Virtual?]]="Real",SUMIFS(Table_Process_Details[RV Eutrophication (kg phosphate equiv.) per kg API (METAL)],Table_Process_Details[Step Name],Process_Steps[[#This Row],[Name]]),NA())</f>
        <v>3.4793419346878223E-5</v>
      </c>
      <c r="CV13" s="125">
        <f ca="1">IF(Process_Steps[[#This Row],[Real or Virtual?]]="Real",SUMIFS(Table_Process_Details[RV Eutrophication (kg phosphate equiv.) per kg API (SOLVENT)],Table_Process_Details[Step Name],Process_Steps[[#This Row],[Name]]),NA())</f>
        <v>3.361675137867326E-2</v>
      </c>
      <c r="CW13" s="125">
        <f ca="1">IF(Process_Steps[[#This Row],[Real or Virtual?]]="Real",SUMIFS(Table_Process_Details[RV Eutrophication (kg phosphate equiv.) per kg API (WATER)],Table_Process_Details[Step Name],Process_Steps[[#This Row],[Name]]),NA())</f>
        <v>3.0765325200704792E-5</v>
      </c>
      <c r="CX13" s="125">
        <f ca="1">IF(Process_Steps[[#This Row],[Real or Virtual?]]="Real",SUMIFS(Table_Process_Details[RV Eutrophication (kg phosphate equiv.) per kg API (ENZ&amp;PLNT)],Table_Process_Details[Step Name],Process_Steps[[#This Row],[Name]]),NA())</f>
        <v>0</v>
      </c>
      <c r="CY13" s="125">
        <f ca="1">IF(Process_Steps[[#This Row],[Real or Virtual?]]="Real",SUMIFS(Table_Process_Details[RV Eutrophication (kg phosphate equiv.) per kg API (OTHER)],Table_Process_Details[Step Name],Process_Steps[[#This Row],[Name]]),NA())</f>
        <v>0</v>
      </c>
      <c r="CZ13" s="122" t="e">
        <f ca="1">INDEX(Process_Steps[Name if Real],MATCH(Process_Steps[[#This Row],['[RV Step Eutrophication (kg phosphate equiv.) per kg API'] of Each Step Sorted by '[RV Step Eutrophication (kg phosphate equiv.) per kg API']]],Process_Steps[RV Step Eutrophication (kg posphate equiv.) per kg API],0))</f>
        <v>#N/A</v>
      </c>
      <c r="DA13" s="122" t="e" cm="1">
        <f t="array" aca="1" ref="DA13" ca="1">IF(LARGE(_xlfn.IFNA(Process_Steps[RV Step Eutrophication (kg posphate equiv.) per kg API],0),Process_Steps[[#This Row],[Table Row]])=0,NA(),LARGE(_xlfn.IFNA(Process_Steps[RV Step Eutrophication (kg posphate equiv.) per kg API],0),Process_Steps[[#This Row],[Table Row]]))</f>
        <v>#N/A</v>
      </c>
      <c r="DB13" s="122" t="e">
        <f ca="1">SUM(OFFSET(Process_Steps['[RV Step Eutrophication (kg phosphate equiv.) per kg API'] of Each Step Sorted by '[RV Step Eutrophication (kg phosphate equiv.) per kg API']],0,0,Process_Steps[[#This Row],[Table Row]]))</f>
        <v>#N/A</v>
      </c>
      <c r="DC13" s="122"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3" s="122" t="e">
        <f ca="1">INDEX(Process_Steps[RV Step Eutrophication (kg posphate equiv.) per kg API (REAGENT)],MATCH(Process_Steps[[#This Row],[Steps Sorted by '[RV Step Eutrophication (kg phosphate equiv.) per kg API']]],Process_Steps[Name],0))</f>
        <v>#N/A</v>
      </c>
      <c r="DE13" s="122" t="e">
        <f ca="1">INDEX(Process_Steps[RV Step Eutrophication (kg posphate equiv.) per kg API (METAL)],MATCH(Process_Steps[[#This Row],[Steps Sorted by '[RV Step Eutrophication (kg phosphate equiv.) per kg API']]],Process_Steps[Name],0))</f>
        <v>#N/A</v>
      </c>
      <c r="DF13" s="122" t="e">
        <f ca="1">INDEX(Process_Steps[RV Step Eutrophication (kg posphate equiv.) per kg API (SOLVENT)],MATCH(Process_Steps[[#This Row],[Steps Sorted by '[RV Step Eutrophication (kg phosphate equiv.) per kg API']]],Process_Steps[Name],0))</f>
        <v>#N/A</v>
      </c>
      <c r="DG13" s="122" t="e">
        <f ca="1">INDEX(Process_Steps[RV Step Eutrophication (kg posphate equiv.) per kg API (WATER)],MATCH(Process_Steps[[#This Row],[Steps Sorted by '[RV Step Eutrophication (kg phosphate equiv.) per kg API']]],Process_Steps[Name],0))</f>
        <v>#N/A</v>
      </c>
      <c r="DH13" s="122" t="e">
        <f ca="1">INDEX(Process_Steps[RV Step Eutrophication (kg posphate equiv.) per kg API (ENZ&amp;PLNT)],MATCH(Process_Steps[[#This Row],[Steps Sorted by '[RV Step Eutrophication (kg phosphate equiv.) per kg API']]],Process_Steps[Name],0))</f>
        <v>#N/A</v>
      </c>
      <c r="DI13" s="122" t="e">
        <f ca="1">INDEX(Process_Steps[RV Step Eutrophication (kg posphate equiv.) per kg API (OTHER)],MATCH(Process_Steps[[#This Row],[Steps Sorted by '[RV Step Eutrophication (kg phosphate equiv.) per kg API']]],Process_Steps[Name],0))</f>
        <v>#N/A</v>
      </c>
      <c r="DJ13" s="124">
        <f ca="1">IF(Process_Steps[[#This Row],[Real or Virtual?]]="Real",SUMIFS(Table_Process_Details[RV Water (kg) per kg API],Table_Process_Details[Step Name],Process_Steps[[#This Row],[Name]]),NA())</f>
        <v>40.897179891736734</v>
      </c>
      <c r="DK13" s="125">
        <f ca="1">IF(Process_Steps[[#This Row],[Real or Virtual?]]="Real",SUMIFS(Table_Process_Details[RV Water (kg) per kg API (REAGENT)],Table_Process_Details[Step Name],Process_Steps[[#This Row],[Name]]),NA())</f>
        <v>6.8124849796520737</v>
      </c>
      <c r="DL13" s="125">
        <f ca="1">IF(Process_Steps[[#This Row],[Real or Virtual?]]="Real",SUMIFS(Table_Process_Details[RV Water (kg) per kg API (METAL)],Table_Process_Details[Step Name],Process_Steps[[#This Row],[Name]]),NA())</f>
        <v>7.2587890236292571E-2</v>
      </c>
      <c r="DM13" s="125">
        <f ca="1">IF(Process_Steps[[#This Row],[Real or Virtual?]]="Real",SUMIFS(Table_Process_Details[RV Water (kg) per kg API (SOLVENT)],Table_Process_Details[Step Name],Process_Steps[[#This Row],[Name]]),NA())</f>
        <v>17.245711130539597</v>
      </c>
      <c r="DN13" s="125">
        <f ca="1">IF(Process_Steps[[#This Row],[Real or Virtual?]]="Real",SUMIFS(Table_Process_Details[RV Water (kg) per kg API (WATER)],Table_Process_Details[Step Name],Process_Steps[[#This Row],[Name]]),NA())</f>
        <v>16.766395891308768</v>
      </c>
      <c r="DO13" s="125">
        <f ca="1">IF(Process_Steps[[#This Row],[Real or Virtual?]]="Real",SUMIFS(Table_Process_Details[RV Water (kg) per kg API (ENZ&amp;PLNT)],Table_Process_Details[Step Name],Process_Steps[[#This Row],[Name]]),NA())</f>
        <v>0</v>
      </c>
      <c r="DP13" s="125">
        <f ca="1">IF(Process_Steps[[#This Row],[Real or Virtual?]]="Real",SUMIFS(Table_Process_Details[RV Water (kg) per kg API (OTHER)],Table_Process_Details[Step Name],Process_Steps[[#This Row],[Name]]),NA())</f>
        <v>0</v>
      </c>
      <c r="DQ13" s="122" t="e">
        <f ca="1">INDEX(Process_Steps[Name if Real],MATCH(Process_Steps[[#This Row],['[RV Step Water (kg) per kg API'] of Each Step Sorted by '[RV Step Water (kg) per kg API']]],Process_Steps[RV Step Water (kg) per kg API],0))</f>
        <v>#N/A</v>
      </c>
      <c r="DR13" s="122" t="e" cm="1">
        <f t="array" aca="1" ref="DR13" ca="1">IF(LARGE(_xlfn.IFNA(Process_Steps[RV Step Water (kg) per kg API],0),Process_Steps[[#This Row],[Table Row]])=0,NA(),LARGE(_xlfn.IFNA(Process_Steps[RV Step Water (kg) per kg API],0),Process_Steps[[#This Row],[Table Row]]))</f>
        <v>#N/A</v>
      </c>
      <c r="DS13" s="122" t="e">
        <f ca="1">SUM(OFFSET(Process_Steps['[RV Step Water (kg) per kg API'] of Each Step Sorted by '[RV Step Water (kg) per kg API']],0,0,Process_Steps[[#This Row],[Table Row]]))</f>
        <v>#N/A</v>
      </c>
      <c r="DT13" s="122" t="e">
        <f ca="1">"("&amp;TEXT(Process_Steps[[#This Row],['[RV Step Water (kg) per kg API'] of Each Step Sorted by '[RV Step Water (kg) per kg API']]]/SUMIF(Process_Steps['[RV Step Water (kg) per kg API'] of Each Step Sorted by '[RV Step Water (kg) per kg API']],"&lt;&gt;#N/A"),"0%")&amp;")"</f>
        <v>#N/A</v>
      </c>
      <c r="DU13" s="122" t="e">
        <f ca="1">INDEX(Process_Steps[RV Step Water (kg) per kg API (REAGENT)],MATCH(Process_Steps[[#This Row],[Steps Sorted by '[RV Step Water (kg) per kg API']]],Process_Steps[Name],0))</f>
        <v>#N/A</v>
      </c>
      <c r="DV13" s="122" t="e">
        <f ca="1">INDEX(Process_Steps[RV Step Water (kg) per kg API (METAL)],MATCH(Process_Steps[[#This Row],[Steps Sorted by '[RV Step Water (kg) per kg API']]],Process_Steps[Name],0))</f>
        <v>#N/A</v>
      </c>
      <c r="DW13" s="122" t="e">
        <f ca="1">INDEX(Process_Steps[RV Step Water (kg) per kg API (SOLVENT)],MATCH(Process_Steps[[#This Row],[Steps Sorted by '[RV Step Water (kg) per kg API']]],Process_Steps[Name],0))</f>
        <v>#N/A</v>
      </c>
      <c r="DX13" s="122" t="e">
        <f ca="1">INDEX(Process_Steps[RV Step Water (kg) per kg API (WATER)],MATCH(Process_Steps[[#This Row],[Steps Sorted by '[RV Step Water (kg) per kg API']]],Process_Steps[Name],0))</f>
        <v>#N/A</v>
      </c>
      <c r="DY13" s="122" t="e">
        <f ca="1">INDEX(Process_Steps[RV Step Water (kg) per kg API (ENZ&amp;PLNT)],MATCH(Process_Steps[[#This Row],[Steps Sorted by '[RV Step Water (kg) per kg API']]],Process_Steps[Name],0))</f>
        <v>#N/A</v>
      </c>
      <c r="DZ13" s="122" t="e">
        <f ca="1">INDEX(Process_Steps[RV Step Water (kg) per kg API (OTHER)],MATCH(Process_Steps[[#This Row],[Steps Sorted by '[RV Step Water (kg) per kg API']]],Process_Steps[Name],0))</f>
        <v>#N/A</v>
      </c>
    </row>
    <row r="14" spans="1:130" x14ac:dyDescent="0.25">
      <c r="A14" t="s">
        <v>786</v>
      </c>
      <c r="B14" t="s">
        <v>175</v>
      </c>
      <c r="C14" t="s">
        <v>787</v>
      </c>
      <c r="D14" t="s">
        <v>843</v>
      </c>
      <c r="F14" s="25">
        <f>INDEX(Table_Process_Details[Physical Mass (kg)],MATCH(1,INDEX((Process_Steps[[#This Row],[Name]]=Table_Process_Details[Step Name])*(Table_Process_Details[Input or Output]="Output"),0),0))</f>
        <v>100</v>
      </c>
      <c r="G14" s="25" cm="1">
        <f t="array" aca="1" ref="G14"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0.13980205111372709</v>
      </c>
      <c r="H14" s="28">
        <f ca="1">Process_Steps[[#This Row],[Total Mass that must be produced]]/Process_Steps[[#This Row],[Unscaled Step Product Mass]]</f>
        <v>1.398020511137271E-3</v>
      </c>
      <c r="I14" s="23" t="e">
        <f>IF(Process_Steps[[#This Row],[Real or Virtual?]]="Real",Process_Steps[[#This Row],[Name]],NA())</f>
        <v>#N/A</v>
      </c>
      <c r="J14" s="30">
        <f>ROW()-ROW(Process_Steps[[#Headers],[Table Row]])</f>
        <v>8</v>
      </c>
      <c r="K14"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4" s="118" t="e">
        <f>IF(Process_Steps[[#This Row],[Real or Virtual?]]="Real",SUMIFS(Table_Process_Details[RV Physical Mass per kg API],Table_Process_Details[Input or Output],"Input",Table_Process_Details[Step Name],Process_Steps[[#This Row],[Name]]),NA())</f>
        <v>#N/A</v>
      </c>
      <c r="M14" s="20" t="e">
        <f>IF(Process_Steps[[#This Row],[Real or Virtual?]]="Real",SUMIFS(Table_Process_Details[RV Physical Mass per kg API (REAGENT)],Table_Process_Details[Input or Output],"Input",Table_Process_Details[Step Name],Process_Steps[[#This Row],[Name]]),NA())</f>
        <v>#N/A</v>
      </c>
      <c r="N14" s="20" t="e">
        <f>IF(Process_Steps[[#This Row],[Real or Virtual?]]="Real",SUMIFS(Table_Process_Details[RV Physical Mass per kg API (METAL)],Table_Process_Details[Input or Output],"Input",Table_Process_Details[Step Name],Process_Steps[[#This Row],[Name]]),NA())</f>
        <v>#N/A</v>
      </c>
      <c r="O14" s="20" t="e">
        <f>IF(Process_Steps[[#This Row],[Real or Virtual?]]="Real",SUMIFS(Table_Process_Details[RV Physical Mass per kg API (SOLVENT)],Table_Process_Details[Input or Output],"Input",Table_Process_Details[Step Name],Process_Steps[[#This Row],[Name]]),NA())</f>
        <v>#N/A</v>
      </c>
      <c r="P14" s="20" t="e">
        <f>IF(Process_Steps[[#This Row],[Real or Virtual?]]="Real",SUMIFS(Table_Process_Details[RV Physical Mass per kg API (WATER)],Table_Process_Details[Input or Output],"Input",Table_Process_Details[Step Name],Process_Steps[[#This Row],[Name]]),NA())</f>
        <v>#N/A</v>
      </c>
      <c r="Q14" s="20" t="e">
        <f>IF(Process_Steps[[#This Row],[Real or Virtual?]]="Real",SUMIFS(Table_Process_Details[RV Physical Mass per kg API (ENZ&amp;PLNT)],Table_Process_Details[Input or Output],"Input",Table_Process_Details[Step Name],Process_Steps[[#This Row],[Name]]),NA())</f>
        <v>#N/A</v>
      </c>
      <c r="R14" s="20" t="e">
        <f>IF(Process_Steps[[#This Row],[Real or Virtual?]]="Real",SUMIFS(Table_Process_Details[RV Physical Mass per kg API (OTHER)],Table_Process_Details[Input or Output],"Input",Table_Process_Details[Step Name],Process_Steps[[#This Row],[Name]]),NA())</f>
        <v>#N/A</v>
      </c>
      <c r="S14" s="118" t="e">
        <f ca="1">INDEX(Process_Steps[Name if Real],MATCH(Process_Steps[[#This Row],['[RV Step PMI per kg API'] of Each Step Sorted by '[RV Step PMI per kg API']]],Process_Steps[RV Step PMI per kg API],0))</f>
        <v>#N/A</v>
      </c>
      <c r="T14" s="118" t="e" cm="1">
        <f t="array" aca="1" ref="T14" ca="1">IF(LARGE(_xlfn.IFNA(Process_Steps[RV Step PMI per kg API],0),Process_Steps[[#This Row],[Table Row]])=0,NA(),LARGE(_xlfn.IFNA(Process_Steps[RV Step PMI per kg API],0),Process_Steps[[#This Row],[Table Row]]))</f>
        <v>#N/A</v>
      </c>
      <c r="U14" s="118" t="e">
        <f ca="1">SUM(OFFSET(Process_Steps['[RV Step PMI per kg API'] of Each Step Sorted by '[RV Step PMI per kg API']],0,0,Process_Steps[[#This Row],[Table Row]]))</f>
        <v>#N/A</v>
      </c>
      <c r="V14" s="118" t="e">
        <f ca="1">"("&amp;TEXT(Process_Steps[[#This Row],['[RV Step PMI per kg API'] of Each Step Sorted by '[RV Step PMI per kg API']]]/SUMIF(Process_Steps['[RV Step PMI per kg API'] of Each Step Sorted by '[RV Step PMI per kg API']],"&lt;&gt;#N/A"),"0%")&amp;")"</f>
        <v>#N/A</v>
      </c>
      <c r="W14" s="23" t="e">
        <f ca="1">INDEX(Process_Steps[RV Step PMI per kg API (REAGENT)],MATCH(Process_Steps[[#This Row],[Steps Sorted by '[RV Step PMI per kg API']]],Process_Steps[Name],0))</f>
        <v>#N/A</v>
      </c>
      <c r="X14" s="23" t="e">
        <f ca="1">INDEX(Process_Steps[RV Step PMI per kg API (METAL)],MATCH(Process_Steps[[#This Row],[Steps Sorted by '[RV Step PMI per kg API']]],Process_Steps[Name],0))</f>
        <v>#N/A</v>
      </c>
      <c r="Y14" s="23" t="e">
        <f ca="1">INDEX(Process_Steps[RV Step PMI per kg API (SOLVENT)],MATCH(Process_Steps[[#This Row],[Steps Sorted by '[RV Step PMI per kg API']]],Process_Steps[Name],0))</f>
        <v>#N/A</v>
      </c>
      <c r="Z14" s="23" t="e">
        <f ca="1">INDEX(Process_Steps[RV Step PMI per kg API (WATER)],MATCH(Process_Steps[[#This Row],[Steps Sorted by '[RV Step PMI per kg API']]],Process_Steps[Name],0))</f>
        <v>#N/A</v>
      </c>
      <c r="AA14" s="23" t="e">
        <f ca="1">INDEX(Process_Steps[RV Step PMI per kg API (ENZ&amp;PLNT)],MATCH(Process_Steps[[#This Row],[Steps Sorted by '[RV Step PMI per kg API']]],Process_Steps[Name],0))</f>
        <v>#N/A</v>
      </c>
      <c r="AB14" s="23" t="e">
        <f ca="1">INDEX(Process_Steps[RV Step PMI per kg API (OTHER)],MATCH(Process_Steps[[#This Row],[Steps Sorted by '[RV Step PMI per kg API']]],Process_Steps[Name],0))</f>
        <v>#N/A</v>
      </c>
      <c r="AC14" s="118" t="e">
        <f>IF(Process_Steps[[#This Row],[Real or Virtual?]]="Real",SUMIFS(Table_Process_Details[RV Mass Net (kg) per kg API],Table_Process_Details[Step Name],Process_Steps[[#This Row],[Name]]),NA())</f>
        <v>#N/A</v>
      </c>
      <c r="AD14" s="20" t="e">
        <f>IF(Process_Steps[[#This Row],[Real or Virtual?]]="Real",SUMIFS(Table_Process_Details[RV Mass Net (kg) per kg API (REAGENT)],Table_Process_Details[Step Name],Process_Steps[[#This Row],[Name]]),NA())</f>
        <v>#N/A</v>
      </c>
      <c r="AE14" s="20" t="e">
        <f>IF(Process_Steps[[#This Row],[Real or Virtual?]]="Real",SUMIFS(Table_Process_Details[RV Mass Net (kg) per kg API (METAL)],Table_Process_Details[Step Name],Process_Steps[[#This Row],[Name]]),NA())</f>
        <v>#N/A</v>
      </c>
      <c r="AF14" s="20" t="e">
        <f>IF(Process_Steps[[#This Row],[Real or Virtual?]]="Real",SUMIFS(Table_Process_Details[RV Mass Net (kg) per kg API (SOLVENT)],Table_Process_Details[Step Name],Process_Steps[[#This Row],[Name]]),NA())</f>
        <v>#N/A</v>
      </c>
      <c r="AG14" s="20" t="e">
        <f>IF(Process_Steps[[#This Row],[Real or Virtual?]]="Real",SUMIFS(Table_Process_Details[RV Mass Net (kg) per kg API (WATER)],Table_Process_Details[Step Name],Process_Steps[[#This Row],[Name]]),NA())</f>
        <v>#N/A</v>
      </c>
      <c r="AH14" s="20" t="e">
        <f>IF(Process_Steps[[#This Row],[Real or Virtual?]]="Real",SUMIFS(Table_Process_Details[RV Mass Net (kg) per kg API (ENZ&amp;PLNT)],Table_Process_Details[Step Name],Process_Steps[[#This Row],[Name]]),NA())</f>
        <v>#N/A</v>
      </c>
      <c r="AI14" s="20" t="e">
        <f>IF(Process_Steps[[#This Row],[Real or Virtual?]]="Real",SUMIFS(Table_Process_Details[RV Mass Net (kg) per kg API (OTHER)],Table_Process_Details[Step Name],Process_Steps[[#This Row],[Name]]),NA())</f>
        <v>#N/A</v>
      </c>
      <c r="AJ14" s="23" t="e">
        <f ca="1">INDEX(Process_Steps[Name if Real],MATCH(Process_Steps[[#This Row],['[RV Step Mass Net (kg) per kg API'] of Each Step Sorted by '[RV Step Mass Net (kg) per kg API']]],Process_Steps[RV Step Mass Net (kg) per kg API],0))</f>
        <v>#N/A</v>
      </c>
      <c r="AK14" s="23" t="e" cm="1">
        <f t="array" aca="1" ref="AK14" ca="1">IF(LARGE(_xlfn.IFNA(Process_Steps[RV Step Mass Net (kg) per kg API],0),Process_Steps[[#This Row],[Table Row]])=0,NA(),LARGE(_xlfn.IFNA(Process_Steps[RV Step Mass Net (kg) per kg API],0),Process_Steps[[#This Row],[Table Row]]))</f>
        <v>#N/A</v>
      </c>
      <c r="AL14" s="23" t="e">
        <f ca="1">SUM(OFFSET(Process_Steps['[RV Step Mass Net (kg) per kg API'] of Each Step Sorted by '[RV Step Mass Net (kg) per kg API']],0,0,Process_Steps[[#This Row],[Table Row]]))</f>
        <v>#N/A</v>
      </c>
      <c r="AM14" s="23" t="e">
        <f ca="1">"("&amp;TEXT(Process_Steps[[#This Row],['[RV Step Mass Net (kg) per kg API'] of Each Step Sorted by '[RV Step Mass Net (kg) per kg API']]]/SUMIF(Process_Steps['[RV Step Mass Net (kg) per kg API'] of Each Step Sorted by '[RV Step Mass Net (kg) per kg API']],"&lt;&gt;#N/A"),"0%")&amp;")"</f>
        <v>#N/A</v>
      </c>
      <c r="AN14" s="23" t="e">
        <f ca="1">INDEX(Process_Steps[RV Step Mass Net (kg) per kg API (REAGENT)],MATCH(Process_Steps[[#This Row],[Steps Sorted by '[RV Step Mass Net (kg) per kg API']]],Process_Steps[Name],0))</f>
        <v>#N/A</v>
      </c>
      <c r="AO14" s="23" t="e">
        <f ca="1">INDEX(Process_Steps[RV Step Mass Net (kg) per kg API (METAL)],MATCH(Process_Steps[[#This Row],[Steps Sorted by '[RV Step Mass Net (kg) per kg API']]],Process_Steps[Name],0))</f>
        <v>#N/A</v>
      </c>
      <c r="AP14" s="23" t="e">
        <f ca="1">INDEX(Process_Steps[RV Step Mass Net (kg) per kg API (SOLVENT)],MATCH(Process_Steps[[#This Row],[Steps Sorted by '[RV Step Mass Net (kg) per kg API']]],Process_Steps[Name],0))</f>
        <v>#N/A</v>
      </c>
      <c r="AQ14" s="23" t="e">
        <f ca="1">INDEX(Process_Steps[RV Step Mass Net (kg) per kg API (WATER)],MATCH(Process_Steps[[#This Row],[Steps Sorted by '[RV Step Mass Net (kg) per kg API']]],Process_Steps[Name],0))</f>
        <v>#N/A</v>
      </c>
      <c r="AR14" s="23" t="e">
        <f ca="1">INDEX(Process_Steps[RV Step Mass Net (kg) per kg API (ENZ&amp;PLNT)],MATCH(Process_Steps[[#This Row],[Steps Sorted by '[RV Step Mass Net (kg) per kg API']]],Process_Steps[Name],0))</f>
        <v>#N/A</v>
      </c>
      <c r="AS14" s="23" t="e">
        <f ca="1">INDEX(Process_Steps[RV Step Mass Net (kg) per kg API (OTHER)],MATCH(Process_Steps[[#This Row],[Steps Sorted by '[RV Step Mass Net (kg) per kg API']]],Process_Steps[Name],0))</f>
        <v>#N/A</v>
      </c>
      <c r="AT14" s="118" t="e">
        <f>IF(Process_Steps[[#This Row],[Real or Virtual?]]="Real",SUMIFS(Table_Process_Details[RV Energy (MJ) per kg API],Table_Process_Details[Step Name],Process_Steps[[#This Row],[Name]]),NA())</f>
        <v>#N/A</v>
      </c>
      <c r="AU14" s="20" t="e">
        <f>IF(Process_Steps[[#This Row],[Real or Virtual?]]="Real",SUMIFS(Table_Process_Details[RV Energy (MJ) per kg API (REAGENT)],Table_Process_Details[Step Name],Process_Steps[[#This Row],[Name]]),NA())</f>
        <v>#N/A</v>
      </c>
      <c r="AV14" s="20" t="e">
        <f>IF(Process_Steps[[#This Row],[Real or Virtual?]]="Real",SUMIFS(Table_Process_Details[RV Energy (MJ) per kg API (METAL)],Table_Process_Details[Step Name],Process_Steps[[#This Row],[Name]]),NA())</f>
        <v>#N/A</v>
      </c>
      <c r="AW14" s="20" t="e">
        <f>IF(Process_Steps[[#This Row],[Real or Virtual?]]="Real",SUMIFS(Table_Process_Details[RV Energy (MJ) per kg API (SOLVENT)],Table_Process_Details[Step Name],Process_Steps[[#This Row],[Name]]),NA())</f>
        <v>#N/A</v>
      </c>
      <c r="AX14" s="20" t="e">
        <f>IF(Process_Steps[[#This Row],[Real or Virtual?]]="Real",SUMIFS(Table_Process_Details[RV Energy (MJ) per kg API (WATER)],Table_Process_Details[Step Name],Process_Steps[[#This Row],[Name]]),NA())</f>
        <v>#N/A</v>
      </c>
      <c r="AY14" s="20" t="e">
        <f>IF(Process_Steps[[#This Row],[Real or Virtual?]]="Real",SUMIFS(Table_Process_Details[RV Energy (MJ) per kg API (ENZ&amp;PLNT)],Table_Process_Details[Step Name],Process_Steps[[#This Row],[Name]]),NA())</f>
        <v>#N/A</v>
      </c>
      <c r="AZ14" s="20" t="e">
        <f>IF(Process_Steps[[#This Row],[Real or Virtual?]]="Real",SUMIFS(Table_Process_Details[RV Energy (MJ) per kg API (OTHER)],Table_Process_Details[Step Name],Process_Steps[[#This Row],[Name]]),NA())</f>
        <v>#N/A</v>
      </c>
      <c r="BA14" s="23" t="e">
        <f ca="1">INDEX(Process_Steps[Name if Real],MATCH(Process_Steps[[#This Row],['[RV Step Energy (MJ) per kg API'] of Each Step Sorted by '[RV Step Energy (MJ) per kg API']]],Process_Steps[RV Step Energy (MJ) per kg API],0))</f>
        <v>#N/A</v>
      </c>
      <c r="BB14" s="23" t="e" cm="1">
        <f t="array" aca="1" ref="BB14" ca="1">IF(LARGE(_xlfn.IFNA(Process_Steps[RV Step Energy (MJ) per kg API],0),Process_Steps[[#This Row],[Table Row]])=0,NA(),LARGE(_xlfn.IFNA(Process_Steps[RV Step Energy (MJ) per kg API],0),Process_Steps[[#This Row],[Table Row]]))</f>
        <v>#N/A</v>
      </c>
      <c r="BC14" s="23" t="e">
        <f ca="1">SUM(OFFSET(Process_Steps['[RV Step Energy (MJ) per kg API'] of Each Step Sorted by '[RV Step Energy (MJ) per kg API']],0,0,Process_Steps[[#This Row],[Table Row]]))</f>
        <v>#N/A</v>
      </c>
      <c r="BD14" s="23" t="e">
        <f ca="1">"("&amp;TEXT(Process_Steps[[#This Row],['[RV Step Energy (MJ) per kg API'] of Each Step Sorted by '[RV Step Energy (MJ) per kg API']]]/SUMIF(Process_Steps['[RV Step Energy (MJ) per kg API'] of Each Step Sorted by '[RV Step Energy (MJ) per kg API']],"&lt;&gt;#N/A"),"0%")&amp;")"</f>
        <v>#N/A</v>
      </c>
      <c r="BE14" s="23" t="e">
        <f ca="1">INDEX(Process_Steps[RV Step Energy (MJ) per kg API (REAGENT)],MATCH(Process_Steps[[#This Row],[Steps Sorted by '[RV Step Energy (MJ) per kg API']]],Process_Steps[Name],0))</f>
        <v>#N/A</v>
      </c>
      <c r="BF14" s="23" t="e">
        <f ca="1">INDEX(Process_Steps[RV Step Energy (MJ) per kg API (METAL)],MATCH(Process_Steps[[#This Row],[Steps Sorted by '[RV Step Energy (MJ) per kg API']]],Process_Steps[Name],0))</f>
        <v>#N/A</v>
      </c>
      <c r="BG14" s="23" t="e">
        <f ca="1">INDEX(Process_Steps[RV Step Energy (MJ) per kg API (SOLVENT)],MATCH(Process_Steps[[#This Row],[Steps Sorted by '[RV Step Energy (MJ) per kg API']]],Process_Steps[Name],0))</f>
        <v>#N/A</v>
      </c>
      <c r="BH14" s="23" t="e">
        <f ca="1">INDEX(Process_Steps[RV Step Energy (MJ) per kg API (WATER)],MATCH(Process_Steps[[#This Row],[Steps Sorted by '[RV Step Energy (MJ) per kg API']]],Process_Steps[Name],0))</f>
        <v>#N/A</v>
      </c>
      <c r="BI14" s="23" t="e">
        <f ca="1">INDEX(Process_Steps[RV Step Energy (MJ) per kg API (ENZ&amp;PLNT)],MATCH(Process_Steps[[#This Row],[Steps Sorted by '[RV Step Energy (MJ) per kg API']]],Process_Steps[Name],0))</f>
        <v>#N/A</v>
      </c>
      <c r="BJ14" s="23" t="e">
        <f ca="1">INDEX(Process_Steps[RV Step Energy (MJ) per kg API (OTHER)],MATCH(Process_Steps[[#This Row],[Steps Sorted by '[RV Step Energy (MJ) per kg API']]],Process_Steps[Name],0))</f>
        <v>#N/A</v>
      </c>
      <c r="BK14" s="118" t="e">
        <f>IF(Process_Steps[[#This Row],[Real or Virtual?]]="Real",SUMIFS(Table_Process_Details[RV GWP (kg CO2 equiv.) per kg API],Table_Process_Details[Step Name],Process_Steps[[#This Row],[Name]]),NA())</f>
        <v>#N/A</v>
      </c>
      <c r="BL14" s="20" t="e">
        <f>IF(Process_Steps[[#This Row],[Real or Virtual?]]="Real",SUMIFS(Table_Process_Details[RV GWP (kg CO2 equiv.) per kg API (REAGENT)],Table_Process_Details[Step Name],Process_Steps[[#This Row],[Name]]),NA())</f>
        <v>#N/A</v>
      </c>
      <c r="BM14" s="20" t="e">
        <f>IF(Process_Steps[[#This Row],[Real or Virtual?]]="Real",SUMIFS(Table_Process_Details[RV GWP (kg CO2 equiv.) per kg API (METAL)],Table_Process_Details[Step Name],Process_Steps[[#This Row],[Name]]),NA())</f>
        <v>#N/A</v>
      </c>
      <c r="BN14" s="20" t="e">
        <f>IF(Process_Steps[[#This Row],[Real or Virtual?]]="Real",SUMIFS(Table_Process_Details[RV GWP (kg CO2 equiv.) per kg API (SOLVENT)],Table_Process_Details[Step Name],Process_Steps[[#This Row],[Name]]),NA())</f>
        <v>#N/A</v>
      </c>
      <c r="BO14" s="20" t="e">
        <f>IF(Process_Steps[[#This Row],[Real or Virtual?]]="Real",SUMIFS(Table_Process_Details[RV GWP (kg CO2 equiv.) per kg API (WATER)],Table_Process_Details[Step Name],Process_Steps[[#This Row],[Name]]),NA())</f>
        <v>#N/A</v>
      </c>
      <c r="BP14" s="20" t="e">
        <f>IF(Process_Steps[[#This Row],[Real or Virtual?]]="Real",SUMIFS(Table_Process_Details[RV GWP (kg CO2 equiv.) per kg API (ENZ&amp;PLNT)],Table_Process_Details[Step Name],Process_Steps[[#This Row],[Name]]),NA())</f>
        <v>#N/A</v>
      </c>
      <c r="BQ14" s="20" t="e">
        <f>IF(Process_Steps[[#This Row],[Real or Virtual?]]="Real",SUMIFS(Table_Process_Details[RV GWP (kg CO2 equiv.) per kg API (OTHER)],Table_Process_Details[Step Name],Process_Steps[[#This Row],[Name]]),NA())</f>
        <v>#N/A</v>
      </c>
      <c r="BR14" s="23" t="e">
        <f ca="1">INDEX(Process_Steps[Name if Real],MATCH(Process_Steps[[#This Row],['[RV Step GWP (kg CO2 equiv.) per kg API'] of Each Step Sorted by '[RV Step GWP (kg CO2 equiv.) per kg API']]],Process_Steps[RV Step GWP (kg CO2 equiv.) per kg API],0))</f>
        <v>#N/A</v>
      </c>
      <c r="BS14" s="23" t="e" cm="1">
        <f t="array" aca="1" ref="BS14" ca="1">IF(LARGE(_xlfn.IFNA(Process_Steps[RV Step GWP (kg CO2 equiv.) per kg API],0),Process_Steps[[#This Row],[Table Row]])=0,NA(),LARGE(_xlfn.IFNA(Process_Steps[RV Step GWP (kg CO2 equiv.) per kg API],0),Process_Steps[[#This Row],[Table Row]]))</f>
        <v>#N/A</v>
      </c>
      <c r="BT14" s="23" t="e">
        <f ca="1">SUM(OFFSET(Process_Steps['[RV Step GWP (kg CO2 equiv.) per kg API'] of Each Step Sorted by '[RV Step GWP (kg CO2 equiv.) per kg API']],0,0,Process_Steps[[#This Row],[Table Row]]))</f>
        <v>#N/A</v>
      </c>
      <c r="BU14" s="23" t="e">
        <f ca="1">"("&amp;TEXT(Process_Steps[[#This Row],['[RV Step GWP (kg CO2 equiv.) per kg API'] of Each Step Sorted by '[RV Step GWP (kg CO2 equiv.) per kg API']]]/SUMIF(Process_Steps['[RV Step GWP (kg CO2 equiv.) per kg API'] of Each Step Sorted by '[RV Step GWP (kg CO2 equiv.) per kg API']],"&lt;&gt;#N/A"),"0%")&amp;")"</f>
        <v>#N/A</v>
      </c>
      <c r="BV14" s="23" t="e">
        <f ca="1">INDEX(Process_Steps[RV Step GWP (kg CO2 equiv.) per kg API (REAGENT)],MATCH(Process_Steps[[#This Row],[Steps Sorted by '[RV Step GWP (kg CO2 equiv.) per kg API']]],Process_Steps[Name],0))</f>
        <v>#N/A</v>
      </c>
      <c r="BW14" s="23" t="e">
        <f ca="1">INDEX(Process_Steps[RV Step GWP (kg CO2 equiv.) per kg API (METAL)],MATCH(Process_Steps[[#This Row],[Steps Sorted by '[RV Step GWP (kg CO2 equiv.) per kg API']]],Process_Steps[Name],0))</f>
        <v>#N/A</v>
      </c>
      <c r="BX14" s="23" t="e">
        <f ca="1">INDEX(Process_Steps[RV Step GWP (kg CO2 equiv.) per kg API (SOLVENT)],MATCH(Process_Steps[[#This Row],[Steps Sorted by '[RV Step GWP (kg CO2 equiv.) per kg API']]],Process_Steps[Name],0))</f>
        <v>#N/A</v>
      </c>
      <c r="BY14" s="23" t="e">
        <f ca="1">INDEX(Process_Steps[RV Step GWP (kg CO2 equiv.) per kg API (WATER)],MATCH(Process_Steps[[#This Row],[Steps Sorted by '[RV Step GWP (kg CO2 equiv.) per kg API']]],Process_Steps[Name],0))</f>
        <v>#N/A</v>
      </c>
      <c r="BZ14" s="23" t="e">
        <f ca="1">INDEX(Process_Steps[RV Step GWP (kg CO2 equiv.) per kg API (ENZ&amp;PLNT)],MATCH(Process_Steps[[#This Row],[Steps Sorted by '[RV Step GWP (kg CO2 equiv.) per kg API']]],Process_Steps[Name],0))</f>
        <v>#N/A</v>
      </c>
      <c r="CA14" s="23" t="e">
        <f ca="1">INDEX(Process_Steps[RV Step GWP (kg CO2 equiv.) per kg API (OTHER)],MATCH(Process_Steps[[#This Row],[Steps Sorted by '[RV Step GWP (kg CO2 equiv.) per kg API']]],Process_Steps[Name],0))</f>
        <v>#N/A</v>
      </c>
      <c r="CB14" s="118" t="e">
        <f>IF(Process_Steps[[#This Row],[Real or Virtual?]]="Real",SUMIFS(Table_Process_Details[RV Acidification (kg SO2 equiv.) per kg API],Table_Process_Details[Step Name],Process_Steps[[#This Row],[Name]]),NA())</f>
        <v>#N/A</v>
      </c>
      <c r="CC14" s="20" t="e">
        <f>IF(Process_Steps[[#This Row],[Real or Virtual?]]="Real",SUMIFS(Table_Process_Details[RV Acidification (kg SO2 equiv.) per kg API (REAGENT)],Table_Process_Details[Step Name],Process_Steps[[#This Row],[Name]]),NA())</f>
        <v>#N/A</v>
      </c>
      <c r="CD14" s="20" t="e">
        <f>IF(Process_Steps[[#This Row],[Real or Virtual?]]="Real",SUMIFS(Table_Process_Details[RV Acidification (kg SO2 equiv.) per kg API (METAL)],Table_Process_Details[Step Name],Process_Steps[[#This Row],[Name]]),NA())</f>
        <v>#N/A</v>
      </c>
      <c r="CE14" s="20" t="e">
        <f>IF(Process_Steps[[#This Row],[Real or Virtual?]]="Real",SUMIFS(Table_Process_Details[RV Acidification (kg SO2 equiv.) per kg API (SOLVENT)],Table_Process_Details[Step Name],Process_Steps[[#This Row],[Name]]),NA())</f>
        <v>#N/A</v>
      </c>
      <c r="CF14" s="20" t="e">
        <f>IF(Process_Steps[[#This Row],[Real or Virtual?]]="Real",SUMIFS(Table_Process_Details[RV Acidification (kg SO2 equiv.) per kg API (WATER)],Table_Process_Details[Step Name],Process_Steps[[#This Row],[Name]]),NA())</f>
        <v>#N/A</v>
      </c>
      <c r="CG14" s="20" t="e">
        <f>IF(Process_Steps[[#This Row],[Real or Virtual?]]="Real",SUMIFS(Table_Process_Details[RV Acidification (kg SO2 equiv.) per kg API (ENZ&amp;PLNT)],Table_Process_Details[Step Name],Process_Steps[[#This Row],[Name]]),NA())</f>
        <v>#N/A</v>
      </c>
      <c r="CH14" s="20" t="e">
        <f>IF(Process_Steps[[#This Row],[Real or Virtual?]]="Real",SUMIFS(Table_Process_Details[RV Acidification (kg SO2 equiv.) per kg API (OTHER)],Table_Process_Details[Step Name],Process_Steps[[#This Row],[Name]]),NA())</f>
        <v>#N/A</v>
      </c>
      <c r="CI14" s="23" t="e">
        <f ca="1">INDEX(Process_Steps[Name if Real],MATCH(Process_Steps[[#This Row],['[RV Step Acidification (kg SO2 equiv.) per kg API'] of Each Step Sorted by '[RV Step Acidification (kg SO2 equiv.) per kg API']]],Process_Steps[RV Step Acidification (kg SO2 equiv.) per kg API],0))</f>
        <v>#N/A</v>
      </c>
      <c r="CJ14" s="23" t="e" cm="1">
        <f t="array" aca="1" ref="CJ14" ca="1">IF(LARGE(_xlfn.IFNA(Process_Steps[RV Step Acidification (kg SO2 equiv.) per kg API],0),Process_Steps[[#This Row],[Table Row]])=0,NA(),LARGE(_xlfn.IFNA(Process_Steps[RV Step Acidification (kg SO2 equiv.) per kg API],0),Process_Steps[[#This Row],[Table Row]]))</f>
        <v>#N/A</v>
      </c>
      <c r="CK14" s="23" t="e">
        <f ca="1">SUM(OFFSET(Process_Steps['[RV Step Acidification (kg SO2 equiv.) per kg API'] of Each Step Sorted by '[RV Step Acidification (kg SO2 equiv.) per kg API']],0,0,Process_Steps[[#This Row],[Table Row]]))</f>
        <v>#N/A</v>
      </c>
      <c r="CL14"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4" s="23" t="e">
        <f ca="1">INDEX(Process_Steps[RV Step Acidification (kg SO2 equiv.) per kg API (REAGENT)],MATCH(Process_Steps[[#This Row],[Steps Sorted by '[RV Step Acidification (kg SO2 equiv.) per kg API']]],Process_Steps[Name],0))</f>
        <v>#N/A</v>
      </c>
      <c r="CN14" s="23" t="e">
        <f ca="1">INDEX(Process_Steps[RV Step Acidification (kg SO2 equiv.) per kg API (METAL)],MATCH(Process_Steps[[#This Row],[Steps Sorted by '[RV Step Acidification (kg SO2 equiv.) per kg API']]],Process_Steps[Name],0))</f>
        <v>#N/A</v>
      </c>
      <c r="CO14" s="23" t="e">
        <f ca="1">INDEX(Process_Steps[RV Step Acidification (kg SO2 equiv.) per kg API (SOLVENT)],MATCH(Process_Steps[[#This Row],[Steps Sorted by '[RV Step Acidification (kg SO2 equiv.) per kg API']]],Process_Steps[Name],0))</f>
        <v>#N/A</v>
      </c>
      <c r="CP14" s="23" t="e">
        <f ca="1">INDEX(Process_Steps[RV Step Acidification (kg SO2 equiv.) per kg API (WATER)],MATCH(Process_Steps[[#This Row],[Steps Sorted by '[RV Step Acidification (kg SO2 equiv.) per kg API']]],Process_Steps[Name],0))</f>
        <v>#N/A</v>
      </c>
      <c r="CQ14" s="23" t="e">
        <f ca="1">INDEX(Process_Steps[RV Step Acidification (kg SO2 equiv.) per kg API (ENZ&amp;PLNT)],MATCH(Process_Steps[[#This Row],[Steps Sorted by '[RV Step Acidification (kg SO2 equiv.) per kg API']]],Process_Steps[Name],0))</f>
        <v>#N/A</v>
      </c>
      <c r="CR14" s="23" t="e">
        <f ca="1">INDEX(Process_Steps[RV Step Acidification (kg SO2 equiv.) per kg API (OTHER)],MATCH(Process_Steps[[#This Row],[Steps Sorted by '[RV Step Acidification (kg SO2 equiv.) per kg API']]],Process_Steps[Name],0))</f>
        <v>#N/A</v>
      </c>
      <c r="CS14" s="118" t="e">
        <f>IF(Process_Steps[[#This Row],[Real or Virtual?]]="Real",SUMIFS(Table_Process_Details[RV Eutrophication (kg phosphate equiv.) per kg API],Table_Process_Details[Step Name],Process_Steps[[#This Row],[Name]]),NA())</f>
        <v>#N/A</v>
      </c>
      <c r="CT14" s="20" t="e">
        <f>IF(Process_Steps[[#This Row],[Real or Virtual?]]="Real",SUMIFS(Table_Process_Details[RV Eutrophication (kg phosphate equiv.) per kg API (REAGENT)],Table_Process_Details[Step Name],Process_Steps[[#This Row],[Name]]),NA())</f>
        <v>#N/A</v>
      </c>
      <c r="CU14" s="20" t="e">
        <f>IF(Process_Steps[[#This Row],[Real or Virtual?]]="Real",SUMIFS(Table_Process_Details[RV Eutrophication (kg phosphate equiv.) per kg API (METAL)],Table_Process_Details[Step Name],Process_Steps[[#This Row],[Name]]),NA())</f>
        <v>#N/A</v>
      </c>
      <c r="CV14" s="20" t="e">
        <f>IF(Process_Steps[[#This Row],[Real or Virtual?]]="Real",SUMIFS(Table_Process_Details[RV Eutrophication (kg phosphate equiv.) per kg API (SOLVENT)],Table_Process_Details[Step Name],Process_Steps[[#This Row],[Name]]),NA())</f>
        <v>#N/A</v>
      </c>
      <c r="CW14" s="20" t="e">
        <f>IF(Process_Steps[[#This Row],[Real or Virtual?]]="Real",SUMIFS(Table_Process_Details[RV Eutrophication (kg phosphate equiv.) per kg API (WATER)],Table_Process_Details[Step Name],Process_Steps[[#This Row],[Name]]),NA())</f>
        <v>#N/A</v>
      </c>
      <c r="CX14" s="20" t="e">
        <f>IF(Process_Steps[[#This Row],[Real or Virtual?]]="Real",SUMIFS(Table_Process_Details[RV Eutrophication (kg phosphate equiv.) per kg API (ENZ&amp;PLNT)],Table_Process_Details[Step Name],Process_Steps[[#This Row],[Name]]),NA())</f>
        <v>#N/A</v>
      </c>
      <c r="CY14" s="20" t="e">
        <f>IF(Process_Steps[[#This Row],[Real or Virtual?]]="Real",SUMIFS(Table_Process_Details[RV Eutrophication (kg phosphate equiv.) per kg API (OTHER)],Table_Process_Details[Step Name],Process_Steps[[#This Row],[Name]]),NA())</f>
        <v>#N/A</v>
      </c>
      <c r="CZ14" s="23" t="e">
        <f ca="1">INDEX(Process_Steps[Name if Real],MATCH(Process_Steps[[#This Row],['[RV Step Eutrophication (kg phosphate equiv.) per kg API'] of Each Step Sorted by '[RV Step Eutrophication (kg phosphate equiv.) per kg API']]],Process_Steps[RV Step Eutrophication (kg posphate equiv.) per kg API],0))</f>
        <v>#N/A</v>
      </c>
      <c r="DA14" s="23" t="e" cm="1">
        <f t="array" aca="1" ref="DA14" ca="1">IF(LARGE(_xlfn.IFNA(Process_Steps[RV Step Eutrophication (kg posphate equiv.) per kg API],0),Process_Steps[[#This Row],[Table Row]])=0,NA(),LARGE(_xlfn.IFNA(Process_Steps[RV Step Eutrophication (kg posphate equiv.) per kg API],0),Process_Steps[[#This Row],[Table Row]]))</f>
        <v>#N/A</v>
      </c>
      <c r="DB14" s="23" t="e">
        <f ca="1">SUM(OFFSET(Process_Steps['[RV Step Eutrophication (kg phosphate equiv.) per kg API'] of Each Step Sorted by '[RV Step Eutrophication (kg phosphate equiv.) per kg API']],0,0,Process_Steps[[#This Row],[Table Row]]))</f>
        <v>#N/A</v>
      </c>
      <c r="DC14"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4" s="23" t="e">
        <f ca="1">INDEX(Process_Steps[RV Step Eutrophication (kg posphate equiv.) per kg API (REAGENT)],MATCH(Process_Steps[[#This Row],[Steps Sorted by '[RV Step Eutrophication (kg phosphate equiv.) per kg API']]],Process_Steps[Name],0))</f>
        <v>#N/A</v>
      </c>
      <c r="DE14" s="23" t="e">
        <f ca="1">INDEX(Process_Steps[RV Step Eutrophication (kg posphate equiv.) per kg API (METAL)],MATCH(Process_Steps[[#This Row],[Steps Sorted by '[RV Step Eutrophication (kg phosphate equiv.) per kg API']]],Process_Steps[Name],0))</f>
        <v>#N/A</v>
      </c>
      <c r="DF14" s="23" t="e">
        <f ca="1">INDEX(Process_Steps[RV Step Eutrophication (kg posphate equiv.) per kg API (SOLVENT)],MATCH(Process_Steps[[#This Row],[Steps Sorted by '[RV Step Eutrophication (kg phosphate equiv.) per kg API']]],Process_Steps[Name],0))</f>
        <v>#N/A</v>
      </c>
      <c r="DG14" s="23" t="e">
        <f ca="1">INDEX(Process_Steps[RV Step Eutrophication (kg posphate equiv.) per kg API (WATER)],MATCH(Process_Steps[[#This Row],[Steps Sorted by '[RV Step Eutrophication (kg phosphate equiv.) per kg API']]],Process_Steps[Name],0))</f>
        <v>#N/A</v>
      </c>
      <c r="DH14" s="23" t="e">
        <f ca="1">INDEX(Process_Steps[RV Step Eutrophication (kg posphate equiv.) per kg API (ENZ&amp;PLNT)],MATCH(Process_Steps[[#This Row],[Steps Sorted by '[RV Step Eutrophication (kg phosphate equiv.) per kg API']]],Process_Steps[Name],0))</f>
        <v>#N/A</v>
      </c>
      <c r="DI14" s="23" t="e">
        <f ca="1">INDEX(Process_Steps[RV Step Eutrophication (kg posphate equiv.) per kg API (OTHER)],MATCH(Process_Steps[[#This Row],[Steps Sorted by '[RV Step Eutrophication (kg phosphate equiv.) per kg API']]],Process_Steps[Name],0))</f>
        <v>#N/A</v>
      </c>
      <c r="DJ14" s="118" t="e">
        <f>IF(Process_Steps[[#This Row],[Real or Virtual?]]="Real",SUMIFS(Table_Process_Details[RV Water (kg) per kg API],Table_Process_Details[Step Name],Process_Steps[[#This Row],[Name]]),NA())</f>
        <v>#N/A</v>
      </c>
      <c r="DK14" s="20" t="e">
        <f>IF(Process_Steps[[#This Row],[Real or Virtual?]]="Real",SUMIFS(Table_Process_Details[RV Water (kg) per kg API (REAGENT)],Table_Process_Details[Step Name],Process_Steps[[#This Row],[Name]]),NA())</f>
        <v>#N/A</v>
      </c>
      <c r="DL14" s="20" t="e">
        <f>IF(Process_Steps[[#This Row],[Real or Virtual?]]="Real",SUMIFS(Table_Process_Details[RV Water (kg) per kg API (METAL)],Table_Process_Details[Step Name],Process_Steps[[#This Row],[Name]]),NA())</f>
        <v>#N/A</v>
      </c>
      <c r="DM14" s="20" t="e">
        <f>IF(Process_Steps[[#This Row],[Real or Virtual?]]="Real",SUMIFS(Table_Process_Details[RV Water (kg) per kg API (SOLVENT)],Table_Process_Details[Step Name],Process_Steps[[#This Row],[Name]]),NA())</f>
        <v>#N/A</v>
      </c>
      <c r="DN14" s="20" t="e">
        <f>IF(Process_Steps[[#This Row],[Real or Virtual?]]="Real",SUMIFS(Table_Process_Details[RV Water (kg) per kg API (WATER)],Table_Process_Details[Step Name],Process_Steps[[#This Row],[Name]]),NA())</f>
        <v>#N/A</v>
      </c>
      <c r="DO14" s="20" t="e">
        <f>IF(Process_Steps[[#This Row],[Real or Virtual?]]="Real",SUMIFS(Table_Process_Details[RV Water (kg) per kg API (ENZ&amp;PLNT)],Table_Process_Details[Step Name],Process_Steps[[#This Row],[Name]]),NA())</f>
        <v>#N/A</v>
      </c>
      <c r="DP14" s="20" t="e">
        <f>IF(Process_Steps[[#This Row],[Real or Virtual?]]="Real",SUMIFS(Table_Process_Details[RV Water (kg) per kg API (OTHER)],Table_Process_Details[Step Name],Process_Steps[[#This Row],[Name]]),NA())</f>
        <v>#N/A</v>
      </c>
      <c r="DQ14" s="23" t="e">
        <f ca="1">INDEX(Process_Steps[Name if Real],MATCH(Process_Steps[[#This Row],['[RV Step Water (kg) per kg API'] of Each Step Sorted by '[RV Step Water (kg) per kg API']]],Process_Steps[RV Step Water (kg) per kg API],0))</f>
        <v>#N/A</v>
      </c>
      <c r="DR14" s="23" t="e" cm="1">
        <f t="array" aca="1" ref="DR14" ca="1">IF(LARGE(_xlfn.IFNA(Process_Steps[RV Step Water (kg) per kg API],0),Process_Steps[[#This Row],[Table Row]])=0,NA(),LARGE(_xlfn.IFNA(Process_Steps[RV Step Water (kg) per kg API],0),Process_Steps[[#This Row],[Table Row]]))</f>
        <v>#N/A</v>
      </c>
      <c r="DS14" s="23" t="e">
        <f ca="1">SUM(OFFSET(Process_Steps['[RV Step Water (kg) per kg API'] of Each Step Sorted by '[RV Step Water (kg) per kg API']],0,0,Process_Steps[[#This Row],[Table Row]]))</f>
        <v>#N/A</v>
      </c>
      <c r="DT14" s="23" t="e">
        <f ca="1">"("&amp;TEXT(Process_Steps[[#This Row],['[RV Step Water (kg) per kg API'] of Each Step Sorted by '[RV Step Water (kg) per kg API']]]/SUMIF(Process_Steps['[RV Step Water (kg) per kg API'] of Each Step Sorted by '[RV Step Water (kg) per kg API']],"&lt;&gt;#N/A"),"0%")&amp;")"</f>
        <v>#N/A</v>
      </c>
      <c r="DU14" s="23" t="e">
        <f ca="1">INDEX(Process_Steps[RV Step Water (kg) per kg API (REAGENT)],MATCH(Process_Steps[[#This Row],[Steps Sorted by '[RV Step Water (kg) per kg API']]],Process_Steps[Name],0))</f>
        <v>#N/A</v>
      </c>
      <c r="DV14" s="23" t="e">
        <f ca="1">INDEX(Process_Steps[RV Step Water (kg) per kg API (METAL)],MATCH(Process_Steps[[#This Row],[Steps Sorted by '[RV Step Water (kg) per kg API']]],Process_Steps[Name],0))</f>
        <v>#N/A</v>
      </c>
      <c r="DW14" s="23" t="e">
        <f ca="1">INDEX(Process_Steps[RV Step Water (kg) per kg API (SOLVENT)],MATCH(Process_Steps[[#This Row],[Steps Sorted by '[RV Step Water (kg) per kg API']]],Process_Steps[Name],0))</f>
        <v>#N/A</v>
      </c>
      <c r="DX14" s="23" t="e">
        <f ca="1">INDEX(Process_Steps[RV Step Water (kg) per kg API (WATER)],MATCH(Process_Steps[[#This Row],[Steps Sorted by '[RV Step Water (kg) per kg API']]],Process_Steps[Name],0))</f>
        <v>#N/A</v>
      </c>
      <c r="DY14" s="23" t="e">
        <f ca="1">INDEX(Process_Steps[RV Step Water (kg) per kg API (ENZ&amp;PLNT)],MATCH(Process_Steps[[#This Row],[Steps Sorted by '[RV Step Water (kg) per kg API']]],Process_Steps[Name],0))</f>
        <v>#N/A</v>
      </c>
      <c r="DZ14" s="23" t="e">
        <f ca="1">INDEX(Process_Steps[RV Step Water (kg) per kg API (OTHER)],MATCH(Process_Steps[[#This Row],[Steps Sorted by '[RV Step Water (kg) per kg API']]],Process_Steps[Name],0))</f>
        <v>#N/A</v>
      </c>
    </row>
    <row r="15" spans="1:130" x14ac:dyDescent="0.25">
      <c r="A15" t="s">
        <v>788</v>
      </c>
      <c r="B15" t="s">
        <v>175</v>
      </c>
      <c r="C15" t="s">
        <v>789</v>
      </c>
      <c r="D15" t="s">
        <v>843</v>
      </c>
      <c r="F15" s="25">
        <f>INDEX(Table_Process_Details[Physical Mass (kg)],MATCH(1,INDEX((Process_Steps[[#This Row],[Name]]=Table_Process_Details[Step Name])*(Table_Process_Details[Input or Output]="Output"),0),0))</f>
        <v>110</v>
      </c>
      <c r="G15" s="25" cm="1">
        <f t="array" aca="1" ref="G15"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0.69901025556863539</v>
      </c>
      <c r="H15" s="28">
        <f ca="1">Process_Steps[[#This Row],[Total Mass that must be produced]]/Process_Steps[[#This Row],[Unscaled Step Product Mass]]</f>
        <v>6.3546386869875945E-3</v>
      </c>
      <c r="I15" s="23" t="e">
        <f>IF(Process_Steps[[#This Row],[Real or Virtual?]]="Real",Process_Steps[[#This Row],[Name]],NA())</f>
        <v>#N/A</v>
      </c>
      <c r="J15" s="30">
        <f>ROW()-ROW(Process_Steps[[#Headers],[Table Row]])</f>
        <v>9</v>
      </c>
      <c r="K15"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5" s="118" t="e">
        <f>IF(Process_Steps[[#This Row],[Real or Virtual?]]="Real",SUMIFS(Table_Process_Details[RV Physical Mass per kg API],Table_Process_Details[Input or Output],"Input",Table_Process_Details[Step Name],Process_Steps[[#This Row],[Name]]),NA())</f>
        <v>#N/A</v>
      </c>
      <c r="M15" s="20" t="e">
        <f>IF(Process_Steps[[#This Row],[Real or Virtual?]]="Real",SUMIFS(Table_Process_Details[RV Physical Mass per kg API (REAGENT)],Table_Process_Details[Input or Output],"Input",Table_Process_Details[Step Name],Process_Steps[[#This Row],[Name]]),NA())</f>
        <v>#N/A</v>
      </c>
      <c r="N15" s="20" t="e">
        <f>IF(Process_Steps[[#This Row],[Real or Virtual?]]="Real",SUMIFS(Table_Process_Details[RV Physical Mass per kg API (METAL)],Table_Process_Details[Input or Output],"Input",Table_Process_Details[Step Name],Process_Steps[[#This Row],[Name]]),NA())</f>
        <v>#N/A</v>
      </c>
      <c r="O15" s="20" t="e">
        <f>IF(Process_Steps[[#This Row],[Real or Virtual?]]="Real",SUMIFS(Table_Process_Details[RV Physical Mass per kg API (SOLVENT)],Table_Process_Details[Input or Output],"Input",Table_Process_Details[Step Name],Process_Steps[[#This Row],[Name]]),NA())</f>
        <v>#N/A</v>
      </c>
      <c r="P15" s="20" t="e">
        <f>IF(Process_Steps[[#This Row],[Real or Virtual?]]="Real",SUMIFS(Table_Process_Details[RV Physical Mass per kg API (WATER)],Table_Process_Details[Input or Output],"Input",Table_Process_Details[Step Name],Process_Steps[[#This Row],[Name]]),NA())</f>
        <v>#N/A</v>
      </c>
      <c r="Q15" s="20" t="e">
        <f>IF(Process_Steps[[#This Row],[Real or Virtual?]]="Real",SUMIFS(Table_Process_Details[RV Physical Mass per kg API (ENZ&amp;PLNT)],Table_Process_Details[Input or Output],"Input",Table_Process_Details[Step Name],Process_Steps[[#This Row],[Name]]),NA())</f>
        <v>#N/A</v>
      </c>
      <c r="R15" s="20" t="e">
        <f>IF(Process_Steps[[#This Row],[Real or Virtual?]]="Real",SUMIFS(Table_Process_Details[RV Physical Mass per kg API (OTHER)],Table_Process_Details[Input or Output],"Input",Table_Process_Details[Step Name],Process_Steps[[#This Row],[Name]]),NA())</f>
        <v>#N/A</v>
      </c>
      <c r="S15" s="118" t="e">
        <f ca="1">INDEX(Process_Steps[Name if Real],MATCH(Process_Steps[[#This Row],['[RV Step PMI per kg API'] of Each Step Sorted by '[RV Step PMI per kg API']]],Process_Steps[RV Step PMI per kg API],0))</f>
        <v>#N/A</v>
      </c>
      <c r="T15" s="118" t="e" cm="1">
        <f t="array" aca="1" ref="T15" ca="1">IF(LARGE(_xlfn.IFNA(Process_Steps[RV Step PMI per kg API],0),Process_Steps[[#This Row],[Table Row]])=0,NA(),LARGE(_xlfn.IFNA(Process_Steps[RV Step PMI per kg API],0),Process_Steps[[#This Row],[Table Row]]))</f>
        <v>#N/A</v>
      </c>
      <c r="U15" s="118" t="e">
        <f ca="1">SUM(OFFSET(Process_Steps['[RV Step PMI per kg API'] of Each Step Sorted by '[RV Step PMI per kg API']],0,0,Process_Steps[[#This Row],[Table Row]]))</f>
        <v>#N/A</v>
      </c>
      <c r="V15" s="118" t="e">
        <f ca="1">"("&amp;TEXT(Process_Steps[[#This Row],['[RV Step PMI per kg API'] of Each Step Sorted by '[RV Step PMI per kg API']]]/SUMIF(Process_Steps['[RV Step PMI per kg API'] of Each Step Sorted by '[RV Step PMI per kg API']],"&lt;&gt;#N/A"),"0%")&amp;")"</f>
        <v>#N/A</v>
      </c>
      <c r="W15" s="23" t="e">
        <f ca="1">INDEX(Process_Steps[RV Step PMI per kg API (REAGENT)],MATCH(Process_Steps[[#This Row],[Steps Sorted by '[RV Step PMI per kg API']]],Process_Steps[Name],0))</f>
        <v>#N/A</v>
      </c>
      <c r="X15" s="23" t="e">
        <f ca="1">INDEX(Process_Steps[RV Step PMI per kg API (METAL)],MATCH(Process_Steps[[#This Row],[Steps Sorted by '[RV Step PMI per kg API']]],Process_Steps[Name],0))</f>
        <v>#N/A</v>
      </c>
      <c r="Y15" s="23" t="e">
        <f ca="1">INDEX(Process_Steps[RV Step PMI per kg API (SOLVENT)],MATCH(Process_Steps[[#This Row],[Steps Sorted by '[RV Step PMI per kg API']]],Process_Steps[Name],0))</f>
        <v>#N/A</v>
      </c>
      <c r="Z15" s="23" t="e">
        <f ca="1">INDEX(Process_Steps[RV Step PMI per kg API (WATER)],MATCH(Process_Steps[[#This Row],[Steps Sorted by '[RV Step PMI per kg API']]],Process_Steps[Name],0))</f>
        <v>#N/A</v>
      </c>
      <c r="AA15" s="23" t="e">
        <f ca="1">INDEX(Process_Steps[RV Step PMI per kg API (ENZ&amp;PLNT)],MATCH(Process_Steps[[#This Row],[Steps Sorted by '[RV Step PMI per kg API']]],Process_Steps[Name],0))</f>
        <v>#N/A</v>
      </c>
      <c r="AB15" s="23" t="e">
        <f ca="1">INDEX(Process_Steps[RV Step PMI per kg API (OTHER)],MATCH(Process_Steps[[#This Row],[Steps Sorted by '[RV Step PMI per kg API']]],Process_Steps[Name],0))</f>
        <v>#N/A</v>
      </c>
      <c r="AC15" s="118" t="e">
        <f>IF(Process_Steps[[#This Row],[Real or Virtual?]]="Real",SUMIFS(Table_Process_Details[RV Mass Net (kg) per kg API],Table_Process_Details[Step Name],Process_Steps[[#This Row],[Name]]),NA())</f>
        <v>#N/A</v>
      </c>
      <c r="AD15" s="20" t="e">
        <f>IF(Process_Steps[[#This Row],[Real or Virtual?]]="Real",SUMIFS(Table_Process_Details[RV Mass Net (kg) per kg API (REAGENT)],Table_Process_Details[Step Name],Process_Steps[[#This Row],[Name]]),NA())</f>
        <v>#N/A</v>
      </c>
      <c r="AE15" s="20" t="e">
        <f>IF(Process_Steps[[#This Row],[Real or Virtual?]]="Real",SUMIFS(Table_Process_Details[RV Mass Net (kg) per kg API (METAL)],Table_Process_Details[Step Name],Process_Steps[[#This Row],[Name]]),NA())</f>
        <v>#N/A</v>
      </c>
      <c r="AF15" s="20" t="e">
        <f>IF(Process_Steps[[#This Row],[Real or Virtual?]]="Real",SUMIFS(Table_Process_Details[RV Mass Net (kg) per kg API (SOLVENT)],Table_Process_Details[Step Name],Process_Steps[[#This Row],[Name]]),NA())</f>
        <v>#N/A</v>
      </c>
      <c r="AG15" s="20" t="e">
        <f>IF(Process_Steps[[#This Row],[Real or Virtual?]]="Real",SUMIFS(Table_Process_Details[RV Mass Net (kg) per kg API (WATER)],Table_Process_Details[Step Name],Process_Steps[[#This Row],[Name]]),NA())</f>
        <v>#N/A</v>
      </c>
      <c r="AH15" s="20" t="e">
        <f>IF(Process_Steps[[#This Row],[Real or Virtual?]]="Real",SUMIFS(Table_Process_Details[RV Mass Net (kg) per kg API (ENZ&amp;PLNT)],Table_Process_Details[Step Name],Process_Steps[[#This Row],[Name]]),NA())</f>
        <v>#N/A</v>
      </c>
      <c r="AI15" s="20" t="e">
        <f>IF(Process_Steps[[#This Row],[Real or Virtual?]]="Real",SUMIFS(Table_Process_Details[RV Mass Net (kg) per kg API (OTHER)],Table_Process_Details[Step Name],Process_Steps[[#This Row],[Name]]),NA())</f>
        <v>#N/A</v>
      </c>
      <c r="AJ15" s="23" t="e">
        <f ca="1">INDEX(Process_Steps[Name if Real],MATCH(Process_Steps[[#This Row],['[RV Step Mass Net (kg) per kg API'] of Each Step Sorted by '[RV Step Mass Net (kg) per kg API']]],Process_Steps[RV Step Mass Net (kg) per kg API],0))</f>
        <v>#N/A</v>
      </c>
      <c r="AK15" s="23" t="e" cm="1">
        <f t="array" aca="1" ref="AK15" ca="1">IF(LARGE(_xlfn.IFNA(Process_Steps[RV Step Mass Net (kg) per kg API],0),Process_Steps[[#This Row],[Table Row]])=0,NA(),LARGE(_xlfn.IFNA(Process_Steps[RV Step Mass Net (kg) per kg API],0),Process_Steps[[#This Row],[Table Row]]))</f>
        <v>#N/A</v>
      </c>
      <c r="AL15" s="23" t="e">
        <f ca="1">SUM(OFFSET(Process_Steps['[RV Step Mass Net (kg) per kg API'] of Each Step Sorted by '[RV Step Mass Net (kg) per kg API']],0,0,Process_Steps[[#This Row],[Table Row]]))</f>
        <v>#N/A</v>
      </c>
      <c r="AM15" s="23" t="e">
        <f ca="1">"("&amp;TEXT(Process_Steps[[#This Row],['[RV Step Mass Net (kg) per kg API'] of Each Step Sorted by '[RV Step Mass Net (kg) per kg API']]]/SUMIF(Process_Steps['[RV Step Mass Net (kg) per kg API'] of Each Step Sorted by '[RV Step Mass Net (kg) per kg API']],"&lt;&gt;#N/A"),"0%")&amp;")"</f>
        <v>#N/A</v>
      </c>
      <c r="AN15" s="23" t="e">
        <f ca="1">INDEX(Process_Steps[RV Step Mass Net (kg) per kg API (REAGENT)],MATCH(Process_Steps[[#This Row],[Steps Sorted by '[RV Step Mass Net (kg) per kg API']]],Process_Steps[Name],0))</f>
        <v>#N/A</v>
      </c>
      <c r="AO15" s="23" t="e">
        <f ca="1">INDEX(Process_Steps[RV Step Mass Net (kg) per kg API (METAL)],MATCH(Process_Steps[[#This Row],[Steps Sorted by '[RV Step Mass Net (kg) per kg API']]],Process_Steps[Name],0))</f>
        <v>#N/A</v>
      </c>
      <c r="AP15" s="23" t="e">
        <f ca="1">INDEX(Process_Steps[RV Step Mass Net (kg) per kg API (SOLVENT)],MATCH(Process_Steps[[#This Row],[Steps Sorted by '[RV Step Mass Net (kg) per kg API']]],Process_Steps[Name],0))</f>
        <v>#N/A</v>
      </c>
      <c r="AQ15" s="23" t="e">
        <f ca="1">INDEX(Process_Steps[RV Step Mass Net (kg) per kg API (WATER)],MATCH(Process_Steps[[#This Row],[Steps Sorted by '[RV Step Mass Net (kg) per kg API']]],Process_Steps[Name],0))</f>
        <v>#N/A</v>
      </c>
      <c r="AR15" s="23" t="e">
        <f ca="1">INDEX(Process_Steps[RV Step Mass Net (kg) per kg API (ENZ&amp;PLNT)],MATCH(Process_Steps[[#This Row],[Steps Sorted by '[RV Step Mass Net (kg) per kg API']]],Process_Steps[Name],0))</f>
        <v>#N/A</v>
      </c>
      <c r="AS15" s="23" t="e">
        <f ca="1">INDEX(Process_Steps[RV Step Mass Net (kg) per kg API (OTHER)],MATCH(Process_Steps[[#This Row],[Steps Sorted by '[RV Step Mass Net (kg) per kg API']]],Process_Steps[Name],0))</f>
        <v>#N/A</v>
      </c>
      <c r="AT15" s="118" t="e">
        <f>IF(Process_Steps[[#This Row],[Real or Virtual?]]="Real",SUMIFS(Table_Process_Details[RV Energy (MJ) per kg API],Table_Process_Details[Step Name],Process_Steps[[#This Row],[Name]]),NA())</f>
        <v>#N/A</v>
      </c>
      <c r="AU15" s="20" t="e">
        <f>IF(Process_Steps[[#This Row],[Real or Virtual?]]="Real",SUMIFS(Table_Process_Details[RV Energy (MJ) per kg API (REAGENT)],Table_Process_Details[Step Name],Process_Steps[[#This Row],[Name]]),NA())</f>
        <v>#N/A</v>
      </c>
      <c r="AV15" s="20" t="e">
        <f>IF(Process_Steps[[#This Row],[Real or Virtual?]]="Real",SUMIFS(Table_Process_Details[RV Energy (MJ) per kg API (METAL)],Table_Process_Details[Step Name],Process_Steps[[#This Row],[Name]]),NA())</f>
        <v>#N/A</v>
      </c>
      <c r="AW15" s="20" t="e">
        <f>IF(Process_Steps[[#This Row],[Real or Virtual?]]="Real",SUMIFS(Table_Process_Details[RV Energy (MJ) per kg API (SOLVENT)],Table_Process_Details[Step Name],Process_Steps[[#This Row],[Name]]),NA())</f>
        <v>#N/A</v>
      </c>
      <c r="AX15" s="20" t="e">
        <f>IF(Process_Steps[[#This Row],[Real or Virtual?]]="Real",SUMIFS(Table_Process_Details[RV Energy (MJ) per kg API (WATER)],Table_Process_Details[Step Name],Process_Steps[[#This Row],[Name]]),NA())</f>
        <v>#N/A</v>
      </c>
      <c r="AY15" s="20" t="e">
        <f>IF(Process_Steps[[#This Row],[Real or Virtual?]]="Real",SUMIFS(Table_Process_Details[RV Energy (MJ) per kg API (ENZ&amp;PLNT)],Table_Process_Details[Step Name],Process_Steps[[#This Row],[Name]]),NA())</f>
        <v>#N/A</v>
      </c>
      <c r="AZ15" s="20" t="e">
        <f>IF(Process_Steps[[#This Row],[Real or Virtual?]]="Real",SUMIFS(Table_Process_Details[RV Energy (MJ) per kg API (OTHER)],Table_Process_Details[Step Name],Process_Steps[[#This Row],[Name]]),NA())</f>
        <v>#N/A</v>
      </c>
      <c r="BA15" s="23" t="e">
        <f ca="1">INDEX(Process_Steps[Name if Real],MATCH(Process_Steps[[#This Row],['[RV Step Energy (MJ) per kg API'] of Each Step Sorted by '[RV Step Energy (MJ) per kg API']]],Process_Steps[RV Step Energy (MJ) per kg API],0))</f>
        <v>#N/A</v>
      </c>
      <c r="BB15" s="23" t="e" cm="1">
        <f t="array" aca="1" ref="BB15" ca="1">IF(LARGE(_xlfn.IFNA(Process_Steps[RV Step Energy (MJ) per kg API],0),Process_Steps[[#This Row],[Table Row]])=0,NA(),LARGE(_xlfn.IFNA(Process_Steps[RV Step Energy (MJ) per kg API],0),Process_Steps[[#This Row],[Table Row]]))</f>
        <v>#N/A</v>
      </c>
      <c r="BC15" s="23" t="e">
        <f ca="1">SUM(OFFSET(Process_Steps['[RV Step Energy (MJ) per kg API'] of Each Step Sorted by '[RV Step Energy (MJ) per kg API']],0,0,Process_Steps[[#This Row],[Table Row]]))</f>
        <v>#N/A</v>
      </c>
      <c r="BD15" s="23" t="e">
        <f ca="1">"("&amp;TEXT(Process_Steps[[#This Row],['[RV Step Energy (MJ) per kg API'] of Each Step Sorted by '[RV Step Energy (MJ) per kg API']]]/SUMIF(Process_Steps['[RV Step Energy (MJ) per kg API'] of Each Step Sorted by '[RV Step Energy (MJ) per kg API']],"&lt;&gt;#N/A"),"0%")&amp;")"</f>
        <v>#N/A</v>
      </c>
      <c r="BE15" s="23" t="e">
        <f ca="1">INDEX(Process_Steps[RV Step Energy (MJ) per kg API (REAGENT)],MATCH(Process_Steps[[#This Row],[Steps Sorted by '[RV Step Energy (MJ) per kg API']]],Process_Steps[Name],0))</f>
        <v>#N/A</v>
      </c>
      <c r="BF15" s="23" t="e">
        <f ca="1">INDEX(Process_Steps[RV Step Energy (MJ) per kg API (METAL)],MATCH(Process_Steps[[#This Row],[Steps Sorted by '[RV Step Energy (MJ) per kg API']]],Process_Steps[Name],0))</f>
        <v>#N/A</v>
      </c>
      <c r="BG15" s="23" t="e">
        <f ca="1">INDEX(Process_Steps[RV Step Energy (MJ) per kg API (SOLVENT)],MATCH(Process_Steps[[#This Row],[Steps Sorted by '[RV Step Energy (MJ) per kg API']]],Process_Steps[Name],0))</f>
        <v>#N/A</v>
      </c>
      <c r="BH15" s="23" t="e">
        <f ca="1">INDEX(Process_Steps[RV Step Energy (MJ) per kg API (WATER)],MATCH(Process_Steps[[#This Row],[Steps Sorted by '[RV Step Energy (MJ) per kg API']]],Process_Steps[Name],0))</f>
        <v>#N/A</v>
      </c>
      <c r="BI15" s="23" t="e">
        <f ca="1">INDEX(Process_Steps[RV Step Energy (MJ) per kg API (ENZ&amp;PLNT)],MATCH(Process_Steps[[#This Row],[Steps Sorted by '[RV Step Energy (MJ) per kg API']]],Process_Steps[Name],0))</f>
        <v>#N/A</v>
      </c>
      <c r="BJ15" s="23" t="e">
        <f ca="1">INDEX(Process_Steps[RV Step Energy (MJ) per kg API (OTHER)],MATCH(Process_Steps[[#This Row],[Steps Sorted by '[RV Step Energy (MJ) per kg API']]],Process_Steps[Name],0))</f>
        <v>#N/A</v>
      </c>
      <c r="BK15" s="118" t="e">
        <f>IF(Process_Steps[[#This Row],[Real or Virtual?]]="Real",SUMIFS(Table_Process_Details[RV GWP (kg CO2 equiv.) per kg API],Table_Process_Details[Step Name],Process_Steps[[#This Row],[Name]]),NA())</f>
        <v>#N/A</v>
      </c>
      <c r="BL15" s="20" t="e">
        <f>IF(Process_Steps[[#This Row],[Real or Virtual?]]="Real",SUMIFS(Table_Process_Details[RV GWP (kg CO2 equiv.) per kg API (REAGENT)],Table_Process_Details[Step Name],Process_Steps[[#This Row],[Name]]),NA())</f>
        <v>#N/A</v>
      </c>
      <c r="BM15" s="20" t="e">
        <f>IF(Process_Steps[[#This Row],[Real or Virtual?]]="Real",SUMIFS(Table_Process_Details[RV GWP (kg CO2 equiv.) per kg API (METAL)],Table_Process_Details[Step Name],Process_Steps[[#This Row],[Name]]),NA())</f>
        <v>#N/A</v>
      </c>
      <c r="BN15" s="20" t="e">
        <f>IF(Process_Steps[[#This Row],[Real or Virtual?]]="Real",SUMIFS(Table_Process_Details[RV GWP (kg CO2 equiv.) per kg API (SOLVENT)],Table_Process_Details[Step Name],Process_Steps[[#This Row],[Name]]),NA())</f>
        <v>#N/A</v>
      </c>
      <c r="BO15" s="20" t="e">
        <f>IF(Process_Steps[[#This Row],[Real or Virtual?]]="Real",SUMIFS(Table_Process_Details[RV GWP (kg CO2 equiv.) per kg API (WATER)],Table_Process_Details[Step Name],Process_Steps[[#This Row],[Name]]),NA())</f>
        <v>#N/A</v>
      </c>
      <c r="BP15" s="20" t="e">
        <f>IF(Process_Steps[[#This Row],[Real or Virtual?]]="Real",SUMIFS(Table_Process_Details[RV GWP (kg CO2 equiv.) per kg API (ENZ&amp;PLNT)],Table_Process_Details[Step Name],Process_Steps[[#This Row],[Name]]),NA())</f>
        <v>#N/A</v>
      </c>
      <c r="BQ15" s="20" t="e">
        <f>IF(Process_Steps[[#This Row],[Real or Virtual?]]="Real",SUMIFS(Table_Process_Details[RV GWP (kg CO2 equiv.) per kg API (OTHER)],Table_Process_Details[Step Name],Process_Steps[[#This Row],[Name]]),NA())</f>
        <v>#N/A</v>
      </c>
      <c r="BR15" s="23" t="e">
        <f ca="1">INDEX(Process_Steps[Name if Real],MATCH(Process_Steps[[#This Row],['[RV Step GWP (kg CO2 equiv.) per kg API'] of Each Step Sorted by '[RV Step GWP (kg CO2 equiv.) per kg API']]],Process_Steps[RV Step GWP (kg CO2 equiv.) per kg API],0))</f>
        <v>#N/A</v>
      </c>
      <c r="BS15" s="23" t="e" cm="1">
        <f t="array" aca="1" ref="BS15" ca="1">IF(LARGE(_xlfn.IFNA(Process_Steps[RV Step GWP (kg CO2 equiv.) per kg API],0),Process_Steps[[#This Row],[Table Row]])=0,NA(),LARGE(_xlfn.IFNA(Process_Steps[RV Step GWP (kg CO2 equiv.) per kg API],0),Process_Steps[[#This Row],[Table Row]]))</f>
        <v>#N/A</v>
      </c>
      <c r="BT15" s="23" t="e">
        <f ca="1">SUM(OFFSET(Process_Steps['[RV Step GWP (kg CO2 equiv.) per kg API'] of Each Step Sorted by '[RV Step GWP (kg CO2 equiv.) per kg API']],0,0,Process_Steps[[#This Row],[Table Row]]))</f>
        <v>#N/A</v>
      </c>
      <c r="BU15" s="23" t="e">
        <f ca="1">"("&amp;TEXT(Process_Steps[[#This Row],['[RV Step GWP (kg CO2 equiv.) per kg API'] of Each Step Sorted by '[RV Step GWP (kg CO2 equiv.) per kg API']]]/SUMIF(Process_Steps['[RV Step GWP (kg CO2 equiv.) per kg API'] of Each Step Sorted by '[RV Step GWP (kg CO2 equiv.) per kg API']],"&lt;&gt;#N/A"),"0%")&amp;")"</f>
        <v>#N/A</v>
      </c>
      <c r="BV15" s="23" t="e">
        <f ca="1">INDEX(Process_Steps[RV Step GWP (kg CO2 equiv.) per kg API (REAGENT)],MATCH(Process_Steps[[#This Row],[Steps Sorted by '[RV Step GWP (kg CO2 equiv.) per kg API']]],Process_Steps[Name],0))</f>
        <v>#N/A</v>
      </c>
      <c r="BW15" s="23" t="e">
        <f ca="1">INDEX(Process_Steps[RV Step GWP (kg CO2 equiv.) per kg API (METAL)],MATCH(Process_Steps[[#This Row],[Steps Sorted by '[RV Step GWP (kg CO2 equiv.) per kg API']]],Process_Steps[Name],0))</f>
        <v>#N/A</v>
      </c>
      <c r="BX15" s="23" t="e">
        <f ca="1">INDEX(Process_Steps[RV Step GWP (kg CO2 equiv.) per kg API (SOLVENT)],MATCH(Process_Steps[[#This Row],[Steps Sorted by '[RV Step GWP (kg CO2 equiv.) per kg API']]],Process_Steps[Name],0))</f>
        <v>#N/A</v>
      </c>
      <c r="BY15" s="23" t="e">
        <f ca="1">INDEX(Process_Steps[RV Step GWP (kg CO2 equiv.) per kg API (WATER)],MATCH(Process_Steps[[#This Row],[Steps Sorted by '[RV Step GWP (kg CO2 equiv.) per kg API']]],Process_Steps[Name],0))</f>
        <v>#N/A</v>
      </c>
      <c r="BZ15" s="23" t="e">
        <f ca="1">INDEX(Process_Steps[RV Step GWP (kg CO2 equiv.) per kg API (ENZ&amp;PLNT)],MATCH(Process_Steps[[#This Row],[Steps Sorted by '[RV Step GWP (kg CO2 equiv.) per kg API']]],Process_Steps[Name],0))</f>
        <v>#N/A</v>
      </c>
      <c r="CA15" s="23" t="e">
        <f ca="1">INDEX(Process_Steps[RV Step GWP (kg CO2 equiv.) per kg API (OTHER)],MATCH(Process_Steps[[#This Row],[Steps Sorted by '[RV Step GWP (kg CO2 equiv.) per kg API']]],Process_Steps[Name],0))</f>
        <v>#N/A</v>
      </c>
      <c r="CB15" s="118" t="e">
        <f>IF(Process_Steps[[#This Row],[Real or Virtual?]]="Real",SUMIFS(Table_Process_Details[RV Acidification (kg SO2 equiv.) per kg API],Table_Process_Details[Step Name],Process_Steps[[#This Row],[Name]]),NA())</f>
        <v>#N/A</v>
      </c>
      <c r="CC15" s="20" t="e">
        <f>IF(Process_Steps[[#This Row],[Real or Virtual?]]="Real",SUMIFS(Table_Process_Details[RV Acidification (kg SO2 equiv.) per kg API (REAGENT)],Table_Process_Details[Step Name],Process_Steps[[#This Row],[Name]]),NA())</f>
        <v>#N/A</v>
      </c>
      <c r="CD15" s="20" t="e">
        <f>IF(Process_Steps[[#This Row],[Real or Virtual?]]="Real",SUMIFS(Table_Process_Details[RV Acidification (kg SO2 equiv.) per kg API (METAL)],Table_Process_Details[Step Name],Process_Steps[[#This Row],[Name]]),NA())</f>
        <v>#N/A</v>
      </c>
      <c r="CE15" s="20" t="e">
        <f>IF(Process_Steps[[#This Row],[Real or Virtual?]]="Real",SUMIFS(Table_Process_Details[RV Acidification (kg SO2 equiv.) per kg API (SOLVENT)],Table_Process_Details[Step Name],Process_Steps[[#This Row],[Name]]),NA())</f>
        <v>#N/A</v>
      </c>
      <c r="CF15" s="20" t="e">
        <f>IF(Process_Steps[[#This Row],[Real or Virtual?]]="Real",SUMIFS(Table_Process_Details[RV Acidification (kg SO2 equiv.) per kg API (WATER)],Table_Process_Details[Step Name],Process_Steps[[#This Row],[Name]]),NA())</f>
        <v>#N/A</v>
      </c>
      <c r="CG15" s="20" t="e">
        <f>IF(Process_Steps[[#This Row],[Real or Virtual?]]="Real",SUMIFS(Table_Process_Details[RV Acidification (kg SO2 equiv.) per kg API (ENZ&amp;PLNT)],Table_Process_Details[Step Name],Process_Steps[[#This Row],[Name]]),NA())</f>
        <v>#N/A</v>
      </c>
      <c r="CH15" s="20" t="e">
        <f>IF(Process_Steps[[#This Row],[Real or Virtual?]]="Real",SUMIFS(Table_Process_Details[RV Acidification (kg SO2 equiv.) per kg API (OTHER)],Table_Process_Details[Step Name],Process_Steps[[#This Row],[Name]]),NA())</f>
        <v>#N/A</v>
      </c>
      <c r="CI15" s="23" t="e">
        <f ca="1">INDEX(Process_Steps[Name if Real],MATCH(Process_Steps[[#This Row],['[RV Step Acidification (kg SO2 equiv.) per kg API'] of Each Step Sorted by '[RV Step Acidification (kg SO2 equiv.) per kg API']]],Process_Steps[RV Step Acidification (kg SO2 equiv.) per kg API],0))</f>
        <v>#N/A</v>
      </c>
      <c r="CJ15" s="23" t="e" cm="1">
        <f t="array" aca="1" ref="CJ15" ca="1">IF(LARGE(_xlfn.IFNA(Process_Steps[RV Step Acidification (kg SO2 equiv.) per kg API],0),Process_Steps[[#This Row],[Table Row]])=0,NA(),LARGE(_xlfn.IFNA(Process_Steps[RV Step Acidification (kg SO2 equiv.) per kg API],0),Process_Steps[[#This Row],[Table Row]]))</f>
        <v>#N/A</v>
      </c>
      <c r="CK15" s="23" t="e">
        <f ca="1">SUM(OFFSET(Process_Steps['[RV Step Acidification (kg SO2 equiv.) per kg API'] of Each Step Sorted by '[RV Step Acidification (kg SO2 equiv.) per kg API']],0,0,Process_Steps[[#This Row],[Table Row]]))</f>
        <v>#N/A</v>
      </c>
      <c r="CL15"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5" s="23" t="e">
        <f ca="1">INDEX(Process_Steps[RV Step Acidification (kg SO2 equiv.) per kg API (REAGENT)],MATCH(Process_Steps[[#This Row],[Steps Sorted by '[RV Step Acidification (kg SO2 equiv.) per kg API']]],Process_Steps[Name],0))</f>
        <v>#N/A</v>
      </c>
      <c r="CN15" s="23" t="e">
        <f ca="1">INDEX(Process_Steps[RV Step Acidification (kg SO2 equiv.) per kg API (METAL)],MATCH(Process_Steps[[#This Row],[Steps Sorted by '[RV Step Acidification (kg SO2 equiv.) per kg API']]],Process_Steps[Name],0))</f>
        <v>#N/A</v>
      </c>
      <c r="CO15" s="23" t="e">
        <f ca="1">INDEX(Process_Steps[RV Step Acidification (kg SO2 equiv.) per kg API (SOLVENT)],MATCH(Process_Steps[[#This Row],[Steps Sorted by '[RV Step Acidification (kg SO2 equiv.) per kg API']]],Process_Steps[Name],0))</f>
        <v>#N/A</v>
      </c>
      <c r="CP15" s="23" t="e">
        <f ca="1">INDEX(Process_Steps[RV Step Acidification (kg SO2 equiv.) per kg API (WATER)],MATCH(Process_Steps[[#This Row],[Steps Sorted by '[RV Step Acidification (kg SO2 equiv.) per kg API']]],Process_Steps[Name],0))</f>
        <v>#N/A</v>
      </c>
      <c r="CQ15" s="23" t="e">
        <f ca="1">INDEX(Process_Steps[RV Step Acidification (kg SO2 equiv.) per kg API (ENZ&amp;PLNT)],MATCH(Process_Steps[[#This Row],[Steps Sorted by '[RV Step Acidification (kg SO2 equiv.) per kg API']]],Process_Steps[Name],0))</f>
        <v>#N/A</v>
      </c>
      <c r="CR15" s="23" t="e">
        <f ca="1">INDEX(Process_Steps[RV Step Acidification (kg SO2 equiv.) per kg API (OTHER)],MATCH(Process_Steps[[#This Row],[Steps Sorted by '[RV Step Acidification (kg SO2 equiv.) per kg API']]],Process_Steps[Name],0))</f>
        <v>#N/A</v>
      </c>
      <c r="CS15" s="118" t="e">
        <f>IF(Process_Steps[[#This Row],[Real or Virtual?]]="Real",SUMIFS(Table_Process_Details[RV Eutrophication (kg phosphate equiv.) per kg API],Table_Process_Details[Step Name],Process_Steps[[#This Row],[Name]]),NA())</f>
        <v>#N/A</v>
      </c>
      <c r="CT15" s="20" t="e">
        <f>IF(Process_Steps[[#This Row],[Real or Virtual?]]="Real",SUMIFS(Table_Process_Details[RV Eutrophication (kg phosphate equiv.) per kg API (REAGENT)],Table_Process_Details[Step Name],Process_Steps[[#This Row],[Name]]),NA())</f>
        <v>#N/A</v>
      </c>
      <c r="CU15" s="20" t="e">
        <f>IF(Process_Steps[[#This Row],[Real or Virtual?]]="Real",SUMIFS(Table_Process_Details[RV Eutrophication (kg phosphate equiv.) per kg API (METAL)],Table_Process_Details[Step Name],Process_Steps[[#This Row],[Name]]),NA())</f>
        <v>#N/A</v>
      </c>
      <c r="CV15" s="20" t="e">
        <f>IF(Process_Steps[[#This Row],[Real or Virtual?]]="Real",SUMIFS(Table_Process_Details[RV Eutrophication (kg phosphate equiv.) per kg API (SOLVENT)],Table_Process_Details[Step Name],Process_Steps[[#This Row],[Name]]),NA())</f>
        <v>#N/A</v>
      </c>
      <c r="CW15" s="20" t="e">
        <f>IF(Process_Steps[[#This Row],[Real or Virtual?]]="Real",SUMIFS(Table_Process_Details[RV Eutrophication (kg phosphate equiv.) per kg API (WATER)],Table_Process_Details[Step Name],Process_Steps[[#This Row],[Name]]),NA())</f>
        <v>#N/A</v>
      </c>
      <c r="CX15" s="20" t="e">
        <f>IF(Process_Steps[[#This Row],[Real or Virtual?]]="Real",SUMIFS(Table_Process_Details[RV Eutrophication (kg phosphate equiv.) per kg API (ENZ&amp;PLNT)],Table_Process_Details[Step Name],Process_Steps[[#This Row],[Name]]),NA())</f>
        <v>#N/A</v>
      </c>
      <c r="CY15" s="20" t="e">
        <f>IF(Process_Steps[[#This Row],[Real or Virtual?]]="Real",SUMIFS(Table_Process_Details[RV Eutrophication (kg phosphate equiv.) per kg API (OTHER)],Table_Process_Details[Step Name],Process_Steps[[#This Row],[Name]]),NA())</f>
        <v>#N/A</v>
      </c>
      <c r="CZ15" s="23" t="e">
        <f ca="1">INDEX(Process_Steps[Name if Real],MATCH(Process_Steps[[#This Row],['[RV Step Eutrophication (kg phosphate equiv.) per kg API'] of Each Step Sorted by '[RV Step Eutrophication (kg phosphate equiv.) per kg API']]],Process_Steps[RV Step Eutrophication (kg posphate equiv.) per kg API],0))</f>
        <v>#N/A</v>
      </c>
      <c r="DA15" s="23" t="e" cm="1">
        <f t="array" aca="1" ref="DA15" ca="1">IF(LARGE(_xlfn.IFNA(Process_Steps[RV Step Eutrophication (kg posphate equiv.) per kg API],0),Process_Steps[[#This Row],[Table Row]])=0,NA(),LARGE(_xlfn.IFNA(Process_Steps[RV Step Eutrophication (kg posphate equiv.) per kg API],0),Process_Steps[[#This Row],[Table Row]]))</f>
        <v>#N/A</v>
      </c>
      <c r="DB15" s="23" t="e">
        <f ca="1">SUM(OFFSET(Process_Steps['[RV Step Eutrophication (kg phosphate equiv.) per kg API'] of Each Step Sorted by '[RV Step Eutrophication (kg phosphate equiv.) per kg API']],0,0,Process_Steps[[#This Row],[Table Row]]))</f>
        <v>#N/A</v>
      </c>
      <c r="DC15"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5" s="23" t="e">
        <f ca="1">INDEX(Process_Steps[RV Step Eutrophication (kg posphate equiv.) per kg API (REAGENT)],MATCH(Process_Steps[[#This Row],[Steps Sorted by '[RV Step Eutrophication (kg phosphate equiv.) per kg API']]],Process_Steps[Name],0))</f>
        <v>#N/A</v>
      </c>
      <c r="DE15" s="23" t="e">
        <f ca="1">INDEX(Process_Steps[RV Step Eutrophication (kg posphate equiv.) per kg API (METAL)],MATCH(Process_Steps[[#This Row],[Steps Sorted by '[RV Step Eutrophication (kg phosphate equiv.) per kg API']]],Process_Steps[Name],0))</f>
        <v>#N/A</v>
      </c>
      <c r="DF15" s="23" t="e">
        <f ca="1">INDEX(Process_Steps[RV Step Eutrophication (kg posphate equiv.) per kg API (SOLVENT)],MATCH(Process_Steps[[#This Row],[Steps Sorted by '[RV Step Eutrophication (kg phosphate equiv.) per kg API']]],Process_Steps[Name],0))</f>
        <v>#N/A</v>
      </c>
      <c r="DG15" s="23" t="e">
        <f ca="1">INDEX(Process_Steps[RV Step Eutrophication (kg posphate equiv.) per kg API (WATER)],MATCH(Process_Steps[[#This Row],[Steps Sorted by '[RV Step Eutrophication (kg phosphate equiv.) per kg API']]],Process_Steps[Name],0))</f>
        <v>#N/A</v>
      </c>
      <c r="DH15" s="23" t="e">
        <f ca="1">INDEX(Process_Steps[RV Step Eutrophication (kg posphate equiv.) per kg API (ENZ&amp;PLNT)],MATCH(Process_Steps[[#This Row],[Steps Sorted by '[RV Step Eutrophication (kg phosphate equiv.) per kg API']]],Process_Steps[Name],0))</f>
        <v>#N/A</v>
      </c>
      <c r="DI15" s="23" t="e">
        <f ca="1">INDEX(Process_Steps[RV Step Eutrophication (kg posphate equiv.) per kg API (OTHER)],MATCH(Process_Steps[[#This Row],[Steps Sorted by '[RV Step Eutrophication (kg phosphate equiv.) per kg API']]],Process_Steps[Name],0))</f>
        <v>#N/A</v>
      </c>
      <c r="DJ15" s="118" t="e">
        <f>IF(Process_Steps[[#This Row],[Real or Virtual?]]="Real",SUMIFS(Table_Process_Details[RV Water (kg) per kg API],Table_Process_Details[Step Name],Process_Steps[[#This Row],[Name]]),NA())</f>
        <v>#N/A</v>
      </c>
      <c r="DK15" s="20" t="e">
        <f>IF(Process_Steps[[#This Row],[Real or Virtual?]]="Real",SUMIFS(Table_Process_Details[RV Water (kg) per kg API (REAGENT)],Table_Process_Details[Step Name],Process_Steps[[#This Row],[Name]]),NA())</f>
        <v>#N/A</v>
      </c>
      <c r="DL15" s="20" t="e">
        <f>IF(Process_Steps[[#This Row],[Real or Virtual?]]="Real",SUMIFS(Table_Process_Details[RV Water (kg) per kg API (METAL)],Table_Process_Details[Step Name],Process_Steps[[#This Row],[Name]]),NA())</f>
        <v>#N/A</v>
      </c>
      <c r="DM15" s="20" t="e">
        <f>IF(Process_Steps[[#This Row],[Real or Virtual?]]="Real",SUMIFS(Table_Process_Details[RV Water (kg) per kg API (SOLVENT)],Table_Process_Details[Step Name],Process_Steps[[#This Row],[Name]]),NA())</f>
        <v>#N/A</v>
      </c>
      <c r="DN15" s="20" t="e">
        <f>IF(Process_Steps[[#This Row],[Real or Virtual?]]="Real",SUMIFS(Table_Process_Details[RV Water (kg) per kg API (WATER)],Table_Process_Details[Step Name],Process_Steps[[#This Row],[Name]]),NA())</f>
        <v>#N/A</v>
      </c>
      <c r="DO15" s="20" t="e">
        <f>IF(Process_Steps[[#This Row],[Real or Virtual?]]="Real",SUMIFS(Table_Process_Details[RV Water (kg) per kg API (ENZ&amp;PLNT)],Table_Process_Details[Step Name],Process_Steps[[#This Row],[Name]]),NA())</f>
        <v>#N/A</v>
      </c>
      <c r="DP15" s="20" t="e">
        <f>IF(Process_Steps[[#This Row],[Real or Virtual?]]="Real",SUMIFS(Table_Process_Details[RV Water (kg) per kg API (OTHER)],Table_Process_Details[Step Name],Process_Steps[[#This Row],[Name]]),NA())</f>
        <v>#N/A</v>
      </c>
      <c r="DQ15" s="23" t="e">
        <f ca="1">INDEX(Process_Steps[Name if Real],MATCH(Process_Steps[[#This Row],['[RV Step Water (kg) per kg API'] of Each Step Sorted by '[RV Step Water (kg) per kg API']]],Process_Steps[RV Step Water (kg) per kg API],0))</f>
        <v>#N/A</v>
      </c>
      <c r="DR15" s="23" t="e" cm="1">
        <f t="array" aca="1" ref="DR15" ca="1">IF(LARGE(_xlfn.IFNA(Process_Steps[RV Step Water (kg) per kg API],0),Process_Steps[[#This Row],[Table Row]])=0,NA(),LARGE(_xlfn.IFNA(Process_Steps[RV Step Water (kg) per kg API],0),Process_Steps[[#This Row],[Table Row]]))</f>
        <v>#N/A</v>
      </c>
      <c r="DS15" s="23" t="e">
        <f ca="1">SUM(OFFSET(Process_Steps['[RV Step Water (kg) per kg API'] of Each Step Sorted by '[RV Step Water (kg) per kg API']],0,0,Process_Steps[[#This Row],[Table Row]]))</f>
        <v>#N/A</v>
      </c>
      <c r="DT15" s="23" t="e">
        <f ca="1">"("&amp;TEXT(Process_Steps[[#This Row],['[RV Step Water (kg) per kg API'] of Each Step Sorted by '[RV Step Water (kg) per kg API']]]/SUMIF(Process_Steps['[RV Step Water (kg) per kg API'] of Each Step Sorted by '[RV Step Water (kg) per kg API']],"&lt;&gt;#N/A"),"0%")&amp;")"</f>
        <v>#N/A</v>
      </c>
      <c r="DU15" s="23" t="e">
        <f ca="1">INDEX(Process_Steps[RV Step Water (kg) per kg API (REAGENT)],MATCH(Process_Steps[[#This Row],[Steps Sorted by '[RV Step Water (kg) per kg API']]],Process_Steps[Name],0))</f>
        <v>#N/A</v>
      </c>
      <c r="DV15" s="23" t="e">
        <f ca="1">INDEX(Process_Steps[RV Step Water (kg) per kg API (METAL)],MATCH(Process_Steps[[#This Row],[Steps Sorted by '[RV Step Water (kg) per kg API']]],Process_Steps[Name],0))</f>
        <v>#N/A</v>
      </c>
      <c r="DW15" s="23" t="e">
        <f ca="1">INDEX(Process_Steps[RV Step Water (kg) per kg API (SOLVENT)],MATCH(Process_Steps[[#This Row],[Steps Sorted by '[RV Step Water (kg) per kg API']]],Process_Steps[Name],0))</f>
        <v>#N/A</v>
      </c>
      <c r="DX15" s="23" t="e">
        <f ca="1">INDEX(Process_Steps[RV Step Water (kg) per kg API (WATER)],MATCH(Process_Steps[[#This Row],[Steps Sorted by '[RV Step Water (kg) per kg API']]],Process_Steps[Name],0))</f>
        <v>#N/A</v>
      </c>
      <c r="DY15" s="23" t="e">
        <f ca="1">INDEX(Process_Steps[RV Step Water (kg) per kg API (ENZ&amp;PLNT)],MATCH(Process_Steps[[#This Row],[Steps Sorted by '[RV Step Water (kg) per kg API']]],Process_Steps[Name],0))</f>
        <v>#N/A</v>
      </c>
      <c r="DZ15" s="23" t="e">
        <f ca="1">INDEX(Process_Steps[RV Step Water (kg) per kg API (OTHER)],MATCH(Process_Steps[[#This Row],[Steps Sorted by '[RV Step Water (kg) per kg API']]],Process_Steps[Name],0))</f>
        <v>#N/A</v>
      </c>
    </row>
    <row r="16" spans="1:130" x14ac:dyDescent="0.25">
      <c r="A16" t="s">
        <v>790</v>
      </c>
      <c r="B16" t="s">
        <v>175</v>
      </c>
      <c r="C16" t="s">
        <v>791</v>
      </c>
      <c r="D16" t="s">
        <v>843</v>
      </c>
      <c r="F16" s="25">
        <f>INDEX(Table_Process_Details[Physical Mass (kg)],MATCH(1,INDEX((Process_Steps[[#This Row],[Name]]=Table_Process_Details[Step Name])*(Table_Process_Details[Input or Output]="Output"),0),0))</f>
        <v>1000.3</v>
      </c>
      <c r="G16" s="25" cm="1">
        <f t="array" aca="1" ref="G16"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4.194061533411813</v>
      </c>
      <c r="H16" s="28">
        <f ca="1">Process_Steps[[#This Row],[Total Mass that must be produced]]/Process_Steps[[#This Row],[Unscaled Step Product Mass]]</f>
        <v>4.1928036923041222E-3</v>
      </c>
      <c r="I16" s="23" t="e">
        <f>IF(Process_Steps[[#This Row],[Real or Virtual?]]="Real",Process_Steps[[#This Row],[Name]],NA())</f>
        <v>#N/A</v>
      </c>
      <c r="J16" s="30">
        <f>ROW()-ROW(Process_Steps[[#Headers],[Table Row]])</f>
        <v>10</v>
      </c>
      <c r="K16"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6" s="118" t="e">
        <f>IF(Process_Steps[[#This Row],[Real or Virtual?]]="Real",SUMIFS(Table_Process_Details[RV Physical Mass per kg API],Table_Process_Details[Input or Output],"Input",Table_Process_Details[Step Name],Process_Steps[[#This Row],[Name]]),NA())</f>
        <v>#N/A</v>
      </c>
      <c r="M16" s="20" t="e">
        <f>IF(Process_Steps[[#This Row],[Real or Virtual?]]="Real",SUMIFS(Table_Process_Details[RV Physical Mass per kg API (REAGENT)],Table_Process_Details[Input or Output],"Input",Table_Process_Details[Step Name],Process_Steps[[#This Row],[Name]]),NA())</f>
        <v>#N/A</v>
      </c>
      <c r="N16" s="20" t="e">
        <f>IF(Process_Steps[[#This Row],[Real or Virtual?]]="Real",SUMIFS(Table_Process_Details[RV Physical Mass per kg API (METAL)],Table_Process_Details[Input or Output],"Input",Table_Process_Details[Step Name],Process_Steps[[#This Row],[Name]]),NA())</f>
        <v>#N/A</v>
      </c>
      <c r="O16" s="20" t="e">
        <f>IF(Process_Steps[[#This Row],[Real or Virtual?]]="Real",SUMIFS(Table_Process_Details[RV Physical Mass per kg API (SOLVENT)],Table_Process_Details[Input or Output],"Input",Table_Process_Details[Step Name],Process_Steps[[#This Row],[Name]]),NA())</f>
        <v>#N/A</v>
      </c>
      <c r="P16" s="20" t="e">
        <f>IF(Process_Steps[[#This Row],[Real or Virtual?]]="Real",SUMIFS(Table_Process_Details[RV Physical Mass per kg API (WATER)],Table_Process_Details[Input or Output],"Input",Table_Process_Details[Step Name],Process_Steps[[#This Row],[Name]]),NA())</f>
        <v>#N/A</v>
      </c>
      <c r="Q16" s="20" t="e">
        <f>IF(Process_Steps[[#This Row],[Real or Virtual?]]="Real",SUMIFS(Table_Process_Details[RV Physical Mass per kg API (ENZ&amp;PLNT)],Table_Process_Details[Input or Output],"Input",Table_Process_Details[Step Name],Process_Steps[[#This Row],[Name]]),NA())</f>
        <v>#N/A</v>
      </c>
      <c r="R16" s="20" t="e">
        <f>IF(Process_Steps[[#This Row],[Real or Virtual?]]="Real",SUMIFS(Table_Process_Details[RV Physical Mass per kg API (OTHER)],Table_Process_Details[Input or Output],"Input",Table_Process_Details[Step Name],Process_Steps[[#This Row],[Name]]),NA())</f>
        <v>#N/A</v>
      </c>
      <c r="S16" s="118" t="e">
        <f ca="1">INDEX(Process_Steps[Name if Real],MATCH(Process_Steps[[#This Row],['[RV Step PMI per kg API'] of Each Step Sorted by '[RV Step PMI per kg API']]],Process_Steps[RV Step PMI per kg API],0))</f>
        <v>#N/A</v>
      </c>
      <c r="T16" s="118" t="e" cm="1">
        <f t="array" aca="1" ref="T16" ca="1">IF(LARGE(_xlfn.IFNA(Process_Steps[RV Step PMI per kg API],0),Process_Steps[[#This Row],[Table Row]])=0,NA(),LARGE(_xlfn.IFNA(Process_Steps[RV Step PMI per kg API],0),Process_Steps[[#This Row],[Table Row]]))</f>
        <v>#N/A</v>
      </c>
      <c r="U16" s="118" t="e">
        <f ca="1">SUM(OFFSET(Process_Steps['[RV Step PMI per kg API'] of Each Step Sorted by '[RV Step PMI per kg API']],0,0,Process_Steps[[#This Row],[Table Row]]))</f>
        <v>#N/A</v>
      </c>
      <c r="V16" s="118" t="e">
        <f ca="1">"("&amp;TEXT(Process_Steps[[#This Row],['[RV Step PMI per kg API'] of Each Step Sorted by '[RV Step PMI per kg API']]]/SUMIF(Process_Steps['[RV Step PMI per kg API'] of Each Step Sorted by '[RV Step PMI per kg API']],"&lt;&gt;#N/A"),"0%")&amp;")"</f>
        <v>#N/A</v>
      </c>
      <c r="W16" s="23" t="e">
        <f ca="1">INDEX(Process_Steps[RV Step PMI per kg API (REAGENT)],MATCH(Process_Steps[[#This Row],[Steps Sorted by '[RV Step PMI per kg API']]],Process_Steps[Name],0))</f>
        <v>#N/A</v>
      </c>
      <c r="X16" s="23" t="e">
        <f ca="1">INDEX(Process_Steps[RV Step PMI per kg API (METAL)],MATCH(Process_Steps[[#This Row],[Steps Sorted by '[RV Step PMI per kg API']]],Process_Steps[Name],0))</f>
        <v>#N/A</v>
      </c>
      <c r="Y16" s="23" t="e">
        <f ca="1">INDEX(Process_Steps[RV Step PMI per kg API (SOLVENT)],MATCH(Process_Steps[[#This Row],[Steps Sorted by '[RV Step PMI per kg API']]],Process_Steps[Name],0))</f>
        <v>#N/A</v>
      </c>
      <c r="Z16" s="23" t="e">
        <f ca="1">INDEX(Process_Steps[RV Step PMI per kg API (WATER)],MATCH(Process_Steps[[#This Row],[Steps Sorted by '[RV Step PMI per kg API']]],Process_Steps[Name],0))</f>
        <v>#N/A</v>
      </c>
      <c r="AA16" s="23" t="e">
        <f ca="1">INDEX(Process_Steps[RV Step PMI per kg API (ENZ&amp;PLNT)],MATCH(Process_Steps[[#This Row],[Steps Sorted by '[RV Step PMI per kg API']]],Process_Steps[Name],0))</f>
        <v>#N/A</v>
      </c>
      <c r="AB16" s="23" t="e">
        <f ca="1">INDEX(Process_Steps[RV Step PMI per kg API (OTHER)],MATCH(Process_Steps[[#This Row],[Steps Sorted by '[RV Step PMI per kg API']]],Process_Steps[Name],0))</f>
        <v>#N/A</v>
      </c>
      <c r="AC16" s="118" t="e">
        <f>IF(Process_Steps[[#This Row],[Real or Virtual?]]="Real",SUMIFS(Table_Process_Details[RV Mass Net (kg) per kg API],Table_Process_Details[Step Name],Process_Steps[[#This Row],[Name]]),NA())</f>
        <v>#N/A</v>
      </c>
      <c r="AD16" s="20" t="e">
        <f>IF(Process_Steps[[#This Row],[Real or Virtual?]]="Real",SUMIFS(Table_Process_Details[RV Mass Net (kg) per kg API (REAGENT)],Table_Process_Details[Step Name],Process_Steps[[#This Row],[Name]]),NA())</f>
        <v>#N/A</v>
      </c>
      <c r="AE16" s="20" t="e">
        <f>IF(Process_Steps[[#This Row],[Real or Virtual?]]="Real",SUMIFS(Table_Process_Details[RV Mass Net (kg) per kg API (METAL)],Table_Process_Details[Step Name],Process_Steps[[#This Row],[Name]]),NA())</f>
        <v>#N/A</v>
      </c>
      <c r="AF16" s="20" t="e">
        <f>IF(Process_Steps[[#This Row],[Real or Virtual?]]="Real",SUMIFS(Table_Process_Details[RV Mass Net (kg) per kg API (SOLVENT)],Table_Process_Details[Step Name],Process_Steps[[#This Row],[Name]]),NA())</f>
        <v>#N/A</v>
      </c>
      <c r="AG16" s="20" t="e">
        <f>IF(Process_Steps[[#This Row],[Real or Virtual?]]="Real",SUMIFS(Table_Process_Details[RV Mass Net (kg) per kg API (WATER)],Table_Process_Details[Step Name],Process_Steps[[#This Row],[Name]]),NA())</f>
        <v>#N/A</v>
      </c>
      <c r="AH16" s="20" t="e">
        <f>IF(Process_Steps[[#This Row],[Real or Virtual?]]="Real",SUMIFS(Table_Process_Details[RV Mass Net (kg) per kg API (ENZ&amp;PLNT)],Table_Process_Details[Step Name],Process_Steps[[#This Row],[Name]]),NA())</f>
        <v>#N/A</v>
      </c>
      <c r="AI16" s="20" t="e">
        <f>IF(Process_Steps[[#This Row],[Real or Virtual?]]="Real",SUMIFS(Table_Process_Details[RV Mass Net (kg) per kg API (OTHER)],Table_Process_Details[Step Name],Process_Steps[[#This Row],[Name]]),NA())</f>
        <v>#N/A</v>
      </c>
      <c r="AJ16" s="23" t="e">
        <f ca="1">INDEX(Process_Steps[Name if Real],MATCH(Process_Steps[[#This Row],['[RV Step Mass Net (kg) per kg API'] of Each Step Sorted by '[RV Step Mass Net (kg) per kg API']]],Process_Steps[RV Step Mass Net (kg) per kg API],0))</f>
        <v>#N/A</v>
      </c>
      <c r="AK16" s="23" t="e" cm="1">
        <f t="array" aca="1" ref="AK16" ca="1">IF(LARGE(_xlfn.IFNA(Process_Steps[RV Step Mass Net (kg) per kg API],0),Process_Steps[[#This Row],[Table Row]])=0,NA(),LARGE(_xlfn.IFNA(Process_Steps[RV Step Mass Net (kg) per kg API],0),Process_Steps[[#This Row],[Table Row]]))</f>
        <v>#N/A</v>
      </c>
      <c r="AL16" s="23" t="e">
        <f ca="1">SUM(OFFSET(Process_Steps['[RV Step Mass Net (kg) per kg API'] of Each Step Sorted by '[RV Step Mass Net (kg) per kg API']],0,0,Process_Steps[[#This Row],[Table Row]]))</f>
        <v>#N/A</v>
      </c>
      <c r="AM16" s="23" t="e">
        <f ca="1">"("&amp;TEXT(Process_Steps[[#This Row],['[RV Step Mass Net (kg) per kg API'] of Each Step Sorted by '[RV Step Mass Net (kg) per kg API']]]/SUMIF(Process_Steps['[RV Step Mass Net (kg) per kg API'] of Each Step Sorted by '[RV Step Mass Net (kg) per kg API']],"&lt;&gt;#N/A"),"0%")&amp;")"</f>
        <v>#N/A</v>
      </c>
      <c r="AN16" s="23" t="e">
        <f ca="1">INDEX(Process_Steps[RV Step Mass Net (kg) per kg API (REAGENT)],MATCH(Process_Steps[[#This Row],[Steps Sorted by '[RV Step Mass Net (kg) per kg API']]],Process_Steps[Name],0))</f>
        <v>#N/A</v>
      </c>
      <c r="AO16" s="23" t="e">
        <f ca="1">INDEX(Process_Steps[RV Step Mass Net (kg) per kg API (METAL)],MATCH(Process_Steps[[#This Row],[Steps Sorted by '[RV Step Mass Net (kg) per kg API']]],Process_Steps[Name],0))</f>
        <v>#N/A</v>
      </c>
      <c r="AP16" s="23" t="e">
        <f ca="1">INDEX(Process_Steps[RV Step Mass Net (kg) per kg API (SOLVENT)],MATCH(Process_Steps[[#This Row],[Steps Sorted by '[RV Step Mass Net (kg) per kg API']]],Process_Steps[Name],0))</f>
        <v>#N/A</v>
      </c>
      <c r="AQ16" s="23" t="e">
        <f ca="1">INDEX(Process_Steps[RV Step Mass Net (kg) per kg API (WATER)],MATCH(Process_Steps[[#This Row],[Steps Sorted by '[RV Step Mass Net (kg) per kg API']]],Process_Steps[Name],0))</f>
        <v>#N/A</v>
      </c>
      <c r="AR16" s="23" t="e">
        <f ca="1">INDEX(Process_Steps[RV Step Mass Net (kg) per kg API (ENZ&amp;PLNT)],MATCH(Process_Steps[[#This Row],[Steps Sorted by '[RV Step Mass Net (kg) per kg API']]],Process_Steps[Name],0))</f>
        <v>#N/A</v>
      </c>
      <c r="AS16" s="23" t="e">
        <f ca="1">INDEX(Process_Steps[RV Step Mass Net (kg) per kg API (OTHER)],MATCH(Process_Steps[[#This Row],[Steps Sorted by '[RV Step Mass Net (kg) per kg API']]],Process_Steps[Name],0))</f>
        <v>#N/A</v>
      </c>
      <c r="AT16" s="118" t="e">
        <f>IF(Process_Steps[[#This Row],[Real or Virtual?]]="Real",SUMIFS(Table_Process_Details[RV Energy (MJ) per kg API],Table_Process_Details[Step Name],Process_Steps[[#This Row],[Name]]),NA())</f>
        <v>#N/A</v>
      </c>
      <c r="AU16" s="20" t="e">
        <f>IF(Process_Steps[[#This Row],[Real or Virtual?]]="Real",SUMIFS(Table_Process_Details[RV Energy (MJ) per kg API (REAGENT)],Table_Process_Details[Step Name],Process_Steps[[#This Row],[Name]]),NA())</f>
        <v>#N/A</v>
      </c>
      <c r="AV16" s="20" t="e">
        <f>IF(Process_Steps[[#This Row],[Real or Virtual?]]="Real",SUMIFS(Table_Process_Details[RV Energy (MJ) per kg API (METAL)],Table_Process_Details[Step Name],Process_Steps[[#This Row],[Name]]),NA())</f>
        <v>#N/A</v>
      </c>
      <c r="AW16" s="20" t="e">
        <f>IF(Process_Steps[[#This Row],[Real or Virtual?]]="Real",SUMIFS(Table_Process_Details[RV Energy (MJ) per kg API (SOLVENT)],Table_Process_Details[Step Name],Process_Steps[[#This Row],[Name]]),NA())</f>
        <v>#N/A</v>
      </c>
      <c r="AX16" s="20" t="e">
        <f>IF(Process_Steps[[#This Row],[Real or Virtual?]]="Real",SUMIFS(Table_Process_Details[RV Energy (MJ) per kg API (WATER)],Table_Process_Details[Step Name],Process_Steps[[#This Row],[Name]]),NA())</f>
        <v>#N/A</v>
      </c>
      <c r="AY16" s="20" t="e">
        <f>IF(Process_Steps[[#This Row],[Real or Virtual?]]="Real",SUMIFS(Table_Process_Details[RV Energy (MJ) per kg API (ENZ&amp;PLNT)],Table_Process_Details[Step Name],Process_Steps[[#This Row],[Name]]),NA())</f>
        <v>#N/A</v>
      </c>
      <c r="AZ16" s="20" t="e">
        <f>IF(Process_Steps[[#This Row],[Real or Virtual?]]="Real",SUMIFS(Table_Process_Details[RV Energy (MJ) per kg API (OTHER)],Table_Process_Details[Step Name],Process_Steps[[#This Row],[Name]]),NA())</f>
        <v>#N/A</v>
      </c>
      <c r="BA16" s="23" t="e">
        <f ca="1">INDEX(Process_Steps[Name if Real],MATCH(Process_Steps[[#This Row],['[RV Step Energy (MJ) per kg API'] of Each Step Sorted by '[RV Step Energy (MJ) per kg API']]],Process_Steps[RV Step Energy (MJ) per kg API],0))</f>
        <v>#N/A</v>
      </c>
      <c r="BB16" s="23" t="e" cm="1">
        <f t="array" aca="1" ref="BB16" ca="1">IF(LARGE(_xlfn.IFNA(Process_Steps[RV Step Energy (MJ) per kg API],0),Process_Steps[[#This Row],[Table Row]])=0,NA(),LARGE(_xlfn.IFNA(Process_Steps[RV Step Energy (MJ) per kg API],0),Process_Steps[[#This Row],[Table Row]]))</f>
        <v>#N/A</v>
      </c>
      <c r="BC16" s="23" t="e">
        <f ca="1">SUM(OFFSET(Process_Steps['[RV Step Energy (MJ) per kg API'] of Each Step Sorted by '[RV Step Energy (MJ) per kg API']],0,0,Process_Steps[[#This Row],[Table Row]]))</f>
        <v>#N/A</v>
      </c>
      <c r="BD16" s="23" t="e">
        <f ca="1">"("&amp;TEXT(Process_Steps[[#This Row],['[RV Step Energy (MJ) per kg API'] of Each Step Sorted by '[RV Step Energy (MJ) per kg API']]]/SUMIF(Process_Steps['[RV Step Energy (MJ) per kg API'] of Each Step Sorted by '[RV Step Energy (MJ) per kg API']],"&lt;&gt;#N/A"),"0%")&amp;")"</f>
        <v>#N/A</v>
      </c>
      <c r="BE16" s="23" t="e">
        <f ca="1">INDEX(Process_Steps[RV Step Energy (MJ) per kg API (REAGENT)],MATCH(Process_Steps[[#This Row],[Steps Sorted by '[RV Step Energy (MJ) per kg API']]],Process_Steps[Name],0))</f>
        <v>#N/A</v>
      </c>
      <c r="BF16" s="23" t="e">
        <f ca="1">INDEX(Process_Steps[RV Step Energy (MJ) per kg API (METAL)],MATCH(Process_Steps[[#This Row],[Steps Sorted by '[RV Step Energy (MJ) per kg API']]],Process_Steps[Name],0))</f>
        <v>#N/A</v>
      </c>
      <c r="BG16" s="23" t="e">
        <f ca="1">INDEX(Process_Steps[RV Step Energy (MJ) per kg API (SOLVENT)],MATCH(Process_Steps[[#This Row],[Steps Sorted by '[RV Step Energy (MJ) per kg API']]],Process_Steps[Name],0))</f>
        <v>#N/A</v>
      </c>
      <c r="BH16" s="23" t="e">
        <f ca="1">INDEX(Process_Steps[RV Step Energy (MJ) per kg API (WATER)],MATCH(Process_Steps[[#This Row],[Steps Sorted by '[RV Step Energy (MJ) per kg API']]],Process_Steps[Name],0))</f>
        <v>#N/A</v>
      </c>
      <c r="BI16" s="23" t="e">
        <f ca="1">INDEX(Process_Steps[RV Step Energy (MJ) per kg API (ENZ&amp;PLNT)],MATCH(Process_Steps[[#This Row],[Steps Sorted by '[RV Step Energy (MJ) per kg API']]],Process_Steps[Name],0))</f>
        <v>#N/A</v>
      </c>
      <c r="BJ16" s="23" t="e">
        <f ca="1">INDEX(Process_Steps[RV Step Energy (MJ) per kg API (OTHER)],MATCH(Process_Steps[[#This Row],[Steps Sorted by '[RV Step Energy (MJ) per kg API']]],Process_Steps[Name],0))</f>
        <v>#N/A</v>
      </c>
      <c r="BK16" s="118" t="e">
        <f>IF(Process_Steps[[#This Row],[Real or Virtual?]]="Real",SUMIFS(Table_Process_Details[RV GWP (kg CO2 equiv.) per kg API],Table_Process_Details[Step Name],Process_Steps[[#This Row],[Name]]),NA())</f>
        <v>#N/A</v>
      </c>
      <c r="BL16" s="20" t="e">
        <f>IF(Process_Steps[[#This Row],[Real or Virtual?]]="Real",SUMIFS(Table_Process_Details[RV GWP (kg CO2 equiv.) per kg API (REAGENT)],Table_Process_Details[Step Name],Process_Steps[[#This Row],[Name]]),NA())</f>
        <v>#N/A</v>
      </c>
      <c r="BM16" s="20" t="e">
        <f>IF(Process_Steps[[#This Row],[Real or Virtual?]]="Real",SUMIFS(Table_Process_Details[RV GWP (kg CO2 equiv.) per kg API (METAL)],Table_Process_Details[Step Name],Process_Steps[[#This Row],[Name]]),NA())</f>
        <v>#N/A</v>
      </c>
      <c r="BN16" s="20" t="e">
        <f>IF(Process_Steps[[#This Row],[Real or Virtual?]]="Real",SUMIFS(Table_Process_Details[RV GWP (kg CO2 equiv.) per kg API (SOLVENT)],Table_Process_Details[Step Name],Process_Steps[[#This Row],[Name]]),NA())</f>
        <v>#N/A</v>
      </c>
      <c r="BO16" s="20" t="e">
        <f>IF(Process_Steps[[#This Row],[Real or Virtual?]]="Real",SUMIFS(Table_Process_Details[RV GWP (kg CO2 equiv.) per kg API (WATER)],Table_Process_Details[Step Name],Process_Steps[[#This Row],[Name]]),NA())</f>
        <v>#N/A</v>
      </c>
      <c r="BP16" s="20" t="e">
        <f>IF(Process_Steps[[#This Row],[Real or Virtual?]]="Real",SUMIFS(Table_Process_Details[RV GWP (kg CO2 equiv.) per kg API (ENZ&amp;PLNT)],Table_Process_Details[Step Name],Process_Steps[[#This Row],[Name]]),NA())</f>
        <v>#N/A</v>
      </c>
      <c r="BQ16" s="20" t="e">
        <f>IF(Process_Steps[[#This Row],[Real or Virtual?]]="Real",SUMIFS(Table_Process_Details[RV GWP (kg CO2 equiv.) per kg API (OTHER)],Table_Process_Details[Step Name],Process_Steps[[#This Row],[Name]]),NA())</f>
        <v>#N/A</v>
      </c>
      <c r="BR16" s="23" t="e">
        <f ca="1">INDEX(Process_Steps[Name if Real],MATCH(Process_Steps[[#This Row],['[RV Step GWP (kg CO2 equiv.) per kg API'] of Each Step Sorted by '[RV Step GWP (kg CO2 equiv.) per kg API']]],Process_Steps[RV Step GWP (kg CO2 equiv.) per kg API],0))</f>
        <v>#N/A</v>
      </c>
      <c r="BS16" s="23" t="e" cm="1">
        <f t="array" aca="1" ref="BS16" ca="1">IF(LARGE(_xlfn.IFNA(Process_Steps[RV Step GWP (kg CO2 equiv.) per kg API],0),Process_Steps[[#This Row],[Table Row]])=0,NA(),LARGE(_xlfn.IFNA(Process_Steps[RV Step GWP (kg CO2 equiv.) per kg API],0),Process_Steps[[#This Row],[Table Row]]))</f>
        <v>#N/A</v>
      </c>
      <c r="BT16" s="23" t="e">
        <f ca="1">SUM(OFFSET(Process_Steps['[RV Step GWP (kg CO2 equiv.) per kg API'] of Each Step Sorted by '[RV Step GWP (kg CO2 equiv.) per kg API']],0,0,Process_Steps[[#This Row],[Table Row]]))</f>
        <v>#N/A</v>
      </c>
      <c r="BU16" s="23" t="e">
        <f ca="1">"("&amp;TEXT(Process_Steps[[#This Row],['[RV Step GWP (kg CO2 equiv.) per kg API'] of Each Step Sorted by '[RV Step GWP (kg CO2 equiv.) per kg API']]]/SUMIF(Process_Steps['[RV Step GWP (kg CO2 equiv.) per kg API'] of Each Step Sorted by '[RV Step GWP (kg CO2 equiv.) per kg API']],"&lt;&gt;#N/A"),"0%")&amp;")"</f>
        <v>#N/A</v>
      </c>
      <c r="BV16" s="23" t="e">
        <f ca="1">INDEX(Process_Steps[RV Step GWP (kg CO2 equiv.) per kg API (REAGENT)],MATCH(Process_Steps[[#This Row],[Steps Sorted by '[RV Step GWP (kg CO2 equiv.) per kg API']]],Process_Steps[Name],0))</f>
        <v>#N/A</v>
      </c>
      <c r="BW16" s="23" t="e">
        <f ca="1">INDEX(Process_Steps[RV Step GWP (kg CO2 equiv.) per kg API (METAL)],MATCH(Process_Steps[[#This Row],[Steps Sorted by '[RV Step GWP (kg CO2 equiv.) per kg API']]],Process_Steps[Name],0))</f>
        <v>#N/A</v>
      </c>
      <c r="BX16" s="23" t="e">
        <f ca="1">INDEX(Process_Steps[RV Step GWP (kg CO2 equiv.) per kg API (SOLVENT)],MATCH(Process_Steps[[#This Row],[Steps Sorted by '[RV Step GWP (kg CO2 equiv.) per kg API']]],Process_Steps[Name],0))</f>
        <v>#N/A</v>
      </c>
      <c r="BY16" s="23" t="e">
        <f ca="1">INDEX(Process_Steps[RV Step GWP (kg CO2 equiv.) per kg API (WATER)],MATCH(Process_Steps[[#This Row],[Steps Sorted by '[RV Step GWP (kg CO2 equiv.) per kg API']]],Process_Steps[Name],0))</f>
        <v>#N/A</v>
      </c>
      <c r="BZ16" s="23" t="e">
        <f ca="1">INDEX(Process_Steps[RV Step GWP (kg CO2 equiv.) per kg API (ENZ&amp;PLNT)],MATCH(Process_Steps[[#This Row],[Steps Sorted by '[RV Step GWP (kg CO2 equiv.) per kg API']]],Process_Steps[Name],0))</f>
        <v>#N/A</v>
      </c>
      <c r="CA16" s="23" t="e">
        <f ca="1">INDEX(Process_Steps[RV Step GWP (kg CO2 equiv.) per kg API (OTHER)],MATCH(Process_Steps[[#This Row],[Steps Sorted by '[RV Step GWP (kg CO2 equiv.) per kg API']]],Process_Steps[Name],0))</f>
        <v>#N/A</v>
      </c>
      <c r="CB16" s="118" t="e">
        <f>IF(Process_Steps[[#This Row],[Real or Virtual?]]="Real",SUMIFS(Table_Process_Details[RV Acidification (kg SO2 equiv.) per kg API],Table_Process_Details[Step Name],Process_Steps[[#This Row],[Name]]),NA())</f>
        <v>#N/A</v>
      </c>
      <c r="CC16" s="20" t="e">
        <f>IF(Process_Steps[[#This Row],[Real or Virtual?]]="Real",SUMIFS(Table_Process_Details[RV Acidification (kg SO2 equiv.) per kg API (REAGENT)],Table_Process_Details[Step Name],Process_Steps[[#This Row],[Name]]),NA())</f>
        <v>#N/A</v>
      </c>
      <c r="CD16" s="20" t="e">
        <f>IF(Process_Steps[[#This Row],[Real or Virtual?]]="Real",SUMIFS(Table_Process_Details[RV Acidification (kg SO2 equiv.) per kg API (METAL)],Table_Process_Details[Step Name],Process_Steps[[#This Row],[Name]]),NA())</f>
        <v>#N/A</v>
      </c>
      <c r="CE16" s="20" t="e">
        <f>IF(Process_Steps[[#This Row],[Real or Virtual?]]="Real",SUMIFS(Table_Process_Details[RV Acidification (kg SO2 equiv.) per kg API (SOLVENT)],Table_Process_Details[Step Name],Process_Steps[[#This Row],[Name]]),NA())</f>
        <v>#N/A</v>
      </c>
      <c r="CF16" s="20" t="e">
        <f>IF(Process_Steps[[#This Row],[Real or Virtual?]]="Real",SUMIFS(Table_Process_Details[RV Acidification (kg SO2 equiv.) per kg API (WATER)],Table_Process_Details[Step Name],Process_Steps[[#This Row],[Name]]),NA())</f>
        <v>#N/A</v>
      </c>
      <c r="CG16" s="20" t="e">
        <f>IF(Process_Steps[[#This Row],[Real or Virtual?]]="Real",SUMIFS(Table_Process_Details[RV Acidification (kg SO2 equiv.) per kg API (ENZ&amp;PLNT)],Table_Process_Details[Step Name],Process_Steps[[#This Row],[Name]]),NA())</f>
        <v>#N/A</v>
      </c>
      <c r="CH16" s="20" t="e">
        <f>IF(Process_Steps[[#This Row],[Real or Virtual?]]="Real",SUMIFS(Table_Process_Details[RV Acidification (kg SO2 equiv.) per kg API (OTHER)],Table_Process_Details[Step Name],Process_Steps[[#This Row],[Name]]),NA())</f>
        <v>#N/A</v>
      </c>
      <c r="CI16" s="23" t="e">
        <f ca="1">INDEX(Process_Steps[Name if Real],MATCH(Process_Steps[[#This Row],['[RV Step Acidification (kg SO2 equiv.) per kg API'] of Each Step Sorted by '[RV Step Acidification (kg SO2 equiv.) per kg API']]],Process_Steps[RV Step Acidification (kg SO2 equiv.) per kg API],0))</f>
        <v>#N/A</v>
      </c>
      <c r="CJ16" s="23" t="e" cm="1">
        <f t="array" aca="1" ref="CJ16" ca="1">IF(LARGE(_xlfn.IFNA(Process_Steps[RV Step Acidification (kg SO2 equiv.) per kg API],0),Process_Steps[[#This Row],[Table Row]])=0,NA(),LARGE(_xlfn.IFNA(Process_Steps[RV Step Acidification (kg SO2 equiv.) per kg API],0),Process_Steps[[#This Row],[Table Row]]))</f>
        <v>#N/A</v>
      </c>
      <c r="CK16" s="23" t="e">
        <f ca="1">SUM(OFFSET(Process_Steps['[RV Step Acidification (kg SO2 equiv.) per kg API'] of Each Step Sorted by '[RV Step Acidification (kg SO2 equiv.) per kg API']],0,0,Process_Steps[[#This Row],[Table Row]]))</f>
        <v>#N/A</v>
      </c>
      <c r="CL16"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6" s="23" t="e">
        <f ca="1">INDEX(Process_Steps[RV Step Acidification (kg SO2 equiv.) per kg API (REAGENT)],MATCH(Process_Steps[[#This Row],[Steps Sorted by '[RV Step Acidification (kg SO2 equiv.) per kg API']]],Process_Steps[Name],0))</f>
        <v>#N/A</v>
      </c>
      <c r="CN16" s="23" t="e">
        <f ca="1">INDEX(Process_Steps[RV Step Acidification (kg SO2 equiv.) per kg API (METAL)],MATCH(Process_Steps[[#This Row],[Steps Sorted by '[RV Step Acidification (kg SO2 equiv.) per kg API']]],Process_Steps[Name],0))</f>
        <v>#N/A</v>
      </c>
      <c r="CO16" s="23" t="e">
        <f ca="1">INDEX(Process_Steps[RV Step Acidification (kg SO2 equiv.) per kg API (SOLVENT)],MATCH(Process_Steps[[#This Row],[Steps Sorted by '[RV Step Acidification (kg SO2 equiv.) per kg API']]],Process_Steps[Name],0))</f>
        <v>#N/A</v>
      </c>
      <c r="CP16" s="23" t="e">
        <f ca="1">INDEX(Process_Steps[RV Step Acidification (kg SO2 equiv.) per kg API (WATER)],MATCH(Process_Steps[[#This Row],[Steps Sorted by '[RV Step Acidification (kg SO2 equiv.) per kg API']]],Process_Steps[Name],0))</f>
        <v>#N/A</v>
      </c>
      <c r="CQ16" s="23" t="e">
        <f ca="1">INDEX(Process_Steps[RV Step Acidification (kg SO2 equiv.) per kg API (ENZ&amp;PLNT)],MATCH(Process_Steps[[#This Row],[Steps Sorted by '[RV Step Acidification (kg SO2 equiv.) per kg API']]],Process_Steps[Name],0))</f>
        <v>#N/A</v>
      </c>
      <c r="CR16" s="23" t="e">
        <f ca="1">INDEX(Process_Steps[RV Step Acidification (kg SO2 equiv.) per kg API (OTHER)],MATCH(Process_Steps[[#This Row],[Steps Sorted by '[RV Step Acidification (kg SO2 equiv.) per kg API']]],Process_Steps[Name],0))</f>
        <v>#N/A</v>
      </c>
      <c r="CS16" s="118" t="e">
        <f>IF(Process_Steps[[#This Row],[Real or Virtual?]]="Real",SUMIFS(Table_Process_Details[RV Eutrophication (kg phosphate equiv.) per kg API],Table_Process_Details[Step Name],Process_Steps[[#This Row],[Name]]),NA())</f>
        <v>#N/A</v>
      </c>
      <c r="CT16" s="20" t="e">
        <f>IF(Process_Steps[[#This Row],[Real or Virtual?]]="Real",SUMIFS(Table_Process_Details[RV Eutrophication (kg phosphate equiv.) per kg API (REAGENT)],Table_Process_Details[Step Name],Process_Steps[[#This Row],[Name]]),NA())</f>
        <v>#N/A</v>
      </c>
      <c r="CU16" s="20" t="e">
        <f>IF(Process_Steps[[#This Row],[Real or Virtual?]]="Real",SUMIFS(Table_Process_Details[RV Eutrophication (kg phosphate equiv.) per kg API (METAL)],Table_Process_Details[Step Name],Process_Steps[[#This Row],[Name]]),NA())</f>
        <v>#N/A</v>
      </c>
      <c r="CV16" s="20" t="e">
        <f>IF(Process_Steps[[#This Row],[Real or Virtual?]]="Real",SUMIFS(Table_Process_Details[RV Eutrophication (kg phosphate equiv.) per kg API (SOLVENT)],Table_Process_Details[Step Name],Process_Steps[[#This Row],[Name]]),NA())</f>
        <v>#N/A</v>
      </c>
      <c r="CW16" s="20" t="e">
        <f>IF(Process_Steps[[#This Row],[Real or Virtual?]]="Real",SUMIFS(Table_Process_Details[RV Eutrophication (kg phosphate equiv.) per kg API (WATER)],Table_Process_Details[Step Name],Process_Steps[[#This Row],[Name]]),NA())</f>
        <v>#N/A</v>
      </c>
      <c r="CX16" s="20" t="e">
        <f>IF(Process_Steps[[#This Row],[Real or Virtual?]]="Real",SUMIFS(Table_Process_Details[RV Eutrophication (kg phosphate equiv.) per kg API (ENZ&amp;PLNT)],Table_Process_Details[Step Name],Process_Steps[[#This Row],[Name]]),NA())</f>
        <v>#N/A</v>
      </c>
      <c r="CY16" s="20" t="e">
        <f>IF(Process_Steps[[#This Row],[Real or Virtual?]]="Real",SUMIFS(Table_Process_Details[RV Eutrophication (kg phosphate equiv.) per kg API (OTHER)],Table_Process_Details[Step Name],Process_Steps[[#This Row],[Name]]),NA())</f>
        <v>#N/A</v>
      </c>
      <c r="CZ16" s="23" t="e">
        <f ca="1">INDEX(Process_Steps[Name if Real],MATCH(Process_Steps[[#This Row],['[RV Step Eutrophication (kg phosphate equiv.) per kg API'] of Each Step Sorted by '[RV Step Eutrophication (kg phosphate equiv.) per kg API']]],Process_Steps[RV Step Eutrophication (kg posphate equiv.) per kg API],0))</f>
        <v>#N/A</v>
      </c>
      <c r="DA16" s="23" t="e" cm="1">
        <f t="array" aca="1" ref="DA16" ca="1">IF(LARGE(_xlfn.IFNA(Process_Steps[RV Step Eutrophication (kg posphate equiv.) per kg API],0),Process_Steps[[#This Row],[Table Row]])=0,NA(),LARGE(_xlfn.IFNA(Process_Steps[RV Step Eutrophication (kg posphate equiv.) per kg API],0),Process_Steps[[#This Row],[Table Row]]))</f>
        <v>#N/A</v>
      </c>
      <c r="DB16" s="23" t="e">
        <f ca="1">SUM(OFFSET(Process_Steps['[RV Step Eutrophication (kg phosphate equiv.) per kg API'] of Each Step Sorted by '[RV Step Eutrophication (kg phosphate equiv.) per kg API']],0,0,Process_Steps[[#This Row],[Table Row]]))</f>
        <v>#N/A</v>
      </c>
      <c r="DC16"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6" s="23" t="e">
        <f ca="1">INDEX(Process_Steps[RV Step Eutrophication (kg posphate equiv.) per kg API (REAGENT)],MATCH(Process_Steps[[#This Row],[Steps Sorted by '[RV Step Eutrophication (kg phosphate equiv.) per kg API']]],Process_Steps[Name],0))</f>
        <v>#N/A</v>
      </c>
      <c r="DE16" s="23" t="e">
        <f ca="1">INDEX(Process_Steps[RV Step Eutrophication (kg posphate equiv.) per kg API (METAL)],MATCH(Process_Steps[[#This Row],[Steps Sorted by '[RV Step Eutrophication (kg phosphate equiv.) per kg API']]],Process_Steps[Name],0))</f>
        <v>#N/A</v>
      </c>
      <c r="DF16" s="23" t="e">
        <f ca="1">INDEX(Process_Steps[RV Step Eutrophication (kg posphate equiv.) per kg API (SOLVENT)],MATCH(Process_Steps[[#This Row],[Steps Sorted by '[RV Step Eutrophication (kg phosphate equiv.) per kg API']]],Process_Steps[Name],0))</f>
        <v>#N/A</v>
      </c>
      <c r="DG16" s="23" t="e">
        <f ca="1">INDEX(Process_Steps[RV Step Eutrophication (kg posphate equiv.) per kg API (WATER)],MATCH(Process_Steps[[#This Row],[Steps Sorted by '[RV Step Eutrophication (kg phosphate equiv.) per kg API']]],Process_Steps[Name],0))</f>
        <v>#N/A</v>
      </c>
      <c r="DH16" s="23" t="e">
        <f ca="1">INDEX(Process_Steps[RV Step Eutrophication (kg posphate equiv.) per kg API (ENZ&amp;PLNT)],MATCH(Process_Steps[[#This Row],[Steps Sorted by '[RV Step Eutrophication (kg phosphate equiv.) per kg API']]],Process_Steps[Name],0))</f>
        <v>#N/A</v>
      </c>
      <c r="DI16" s="23" t="e">
        <f ca="1">INDEX(Process_Steps[RV Step Eutrophication (kg posphate equiv.) per kg API (OTHER)],MATCH(Process_Steps[[#This Row],[Steps Sorted by '[RV Step Eutrophication (kg phosphate equiv.) per kg API']]],Process_Steps[Name],0))</f>
        <v>#N/A</v>
      </c>
      <c r="DJ16" s="118" t="e">
        <f>IF(Process_Steps[[#This Row],[Real or Virtual?]]="Real",SUMIFS(Table_Process_Details[RV Water (kg) per kg API],Table_Process_Details[Step Name],Process_Steps[[#This Row],[Name]]),NA())</f>
        <v>#N/A</v>
      </c>
      <c r="DK16" s="20" t="e">
        <f>IF(Process_Steps[[#This Row],[Real or Virtual?]]="Real",SUMIFS(Table_Process_Details[RV Water (kg) per kg API (REAGENT)],Table_Process_Details[Step Name],Process_Steps[[#This Row],[Name]]),NA())</f>
        <v>#N/A</v>
      </c>
      <c r="DL16" s="20" t="e">
        <f>IF(Process_Steps[[#This Row],[Real or Virtual?]]="Real",SUMIFS(Table_Process_Details[RV Water (kg) per kg API (METAL)],Table_Process_Details[Step Name],Process_Steps[[#This Row],[Name]]),NA())</f>
        <v>#N/A</v>
      </c>
      <c r="DM16" s="20" t="e">
        <f>IF(Process_Steps[[#This Row],[Real or Virtual?]]="Real",SUMIFS(Table_Process_Details[RV Water (kg) per kg API (SOLVENT)],Table_Process_Details[Step Name],Process_Steps[[#This Row],[Name]]),NA())</f>
        <v>#N/A</v>
      </c>
      <c r="DN16" s="20" t="e">
        <f>IF(Process_Steps[[#This Row],[Real or Virtual?]]="Real",SUMIFS(Table_Process_Details[RV Water (kg) per kg API (WATER)],Table_Process_Details[Step Name],Process_Steps[[#This Row],[Name]]),NA())</f>
        <v>#N/A</v>
      </c>
      <c r="DO16" s="20" t="e">
        <f>IF(Process_Steps[[#This Row],[Real or Virtual?]]="Real",SUMIFS(Table_Process_Details[RV Water (kg) per kg API (ENZ&amp;PLNT)],Table_Process_Details[Step Name],Process_Steps[[#This Row],[Name]]),NA())</f>
        <v>#N/A</v>
      </c>
      <c r="DP16" s="20" t="e">
        <f>IF(Process_Steps[[#This Row],[Real or Virtual?]]="Real",SUMIFS(Table_Process_Details[RV Water (kg) per kg API (OTHER)],Table_Process_Details[Step Name],Process_Steps[[#This Row],[Name]]),NA())</f>
        <v>#N/A</v>
      </c>
      <c r="DQ16" s="23" t="e">
        <f ca="1">INDEX(Process_Steps[Name if Real],MATCH(Process_Steps[[#This Row],['[RV Step Water (kg) per kg API'] of Each Step Sorted by '[RV Step Water (kg) per kg API']]],Process_Steps[RV Step Water (kg) per kg API],0))</f>
        <v>#N/A</v>
      </c>
      <c r="DR16" s="23" t="e" cm="1">
        <f t="array" aca="1" ref="DR16" ca="1">IF(LARGE(_xlfn.IFNA(Process_Steps[RV Step Water (kg) per kg API],0),Process_Steps[[#This Row],[Table Row]])=0,NA(),LARGE(_xlfn.IFNA(Process_Steps[RV Step Water (kg) per kg API],0),Process_Steps[[#This Row],[Table Row]]))</f>
        <v>#N/A</v>
      </c>
      <c r="DS16" s="23" t="e">
        <f ca="1">SUM(OFFSET(Process_Steps['[RV Step Water (kg) per kg API'] of Each Step Sorted by '[RV Step Water (kg) per kg API']],0,0,Process_Steps[[#This Row],[Table Row]]))</f>
        <v>#N/A</v>
      </c>
      <c r="DT16" s="23" t="e">
        <f ca="1">"("&amp;TEXT(Process_Steps[[#This Row],['[RV Step Water (kg) per kg API'] of Each Step Sorted by '[RV Step Water (kg) per kg API']]]/SUMIF(Process_Steps['[RV Step Water (kg) per kg API'] of Each Step Sorted by '[RV Step Water (kg) per kg API']],"&lt;&gt;#N/A"),"0%")&amp;")"</f>
        <v>#N/A</v>
      </c>
      <c r="DU16" s="23" t="e">
        <f ca="1">INDEX(Process_Steps[RV Step Water (kg) per kg API (REAGENT)],MATCH(Process_Steps[[#This Row],[Steps Sorted by '[RV Step Water (kg) per kg API']]],Process_Steps[Name],0))</f>
        <v>#N/A</v>
      </c>
      <c r="DV16" s="23" t="e">
        <f ca="1">INDEX(Process_Steps[RV Step Water (kg) per kg API (METAL)],MATCH(Process_Steps[[#This Row],[Steps Sorted by '[RV Step Water (kg) per kg API']]],Process_Steps[Name],0))</f>
        <v>#N/A</v>
      </c>
      <c r="DW16" s="23" t="e">
        <f ca="1">INDEX(Process_Steps[RV Step Water (kg) per kg API (SOLVENT)],MATCH(Process_Steps[[#This Row],[Steps Sorted by '[RV Step Water (kg) per kg API']]],Process_Steps[Name],0))</f>
        <v>#N/A</v>
      </c>
      <c r="DX16" s="23" t="e">
        <f ca="1">INDEX(Process_Steps[RV Step Water (kg) per kg API (WATER)],MATCH(Process_Steps[[#This Row],[Steps Sorted by '[RV Step Water (kg) per kg API']]],Process_Steps[Name],0))</f>
        <v>#N/A</v>
      </c>
      <c r="DY16" s="23" t="e">
        <f ca="1">INDEX(Process_Steps[RV Step Water (kg) per kg API (ENZ&amp;PLNT)],MATCH(Process_Steps[[#This Row],[Steps Sorted by '[RV Step Water (kg) per kg API']]],Process_Steps[Name],0))</f>
        <v>#N/A</v>
      </c>
      <c r="DZ16" s="23" t="e">
        <f ca="1">INDEX(Process_Steps[RV Step Water (kg) per kg API (OTHER)],MATCH(Process_Steps[[#This Row],[Steps Sorted by '[RV Step Water (kg) per kg API']]],Process_Steps[Name],0))</f>
        <v>#N/A</v>
      </c>
    </row>
    <row r="17" spans="1:130" x14ac:dyDescent="0.25">
      <c r="A17" t="s">
        <v>792</v>
      </c>
      <c r="B17" t="s">
        <v>175</v>
      </c>
      <c r="C17" t="s">
        <v>793</v>
      </c>
      <c r="D17" t="s">
        <v>843</v>
      </c>
      <c r="F17" s="25">
        <f>INDEX(Table_Process_Details[Physical Mass (kg)],MATCH(1,INDEX((Process_Steps[[#This Row],[Name]]=Table_Process_Details[Step Name])*(Table_Process_Details[Input or Output]="Output"),0),0))</f>
        <v>1000</v>
      </c>
      <c r="G17" s="25" cm="1">
        <f t="array" aca="1" ref="G17"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0.69901025556863539</v>
      </c>
      <c r="H17" s="28">
        <f ca="1">Process_Steps[[#This Row],[Total Mass that must be produced]]/Process_Steps[[#This Row],[Unscaled Step Product Mass]]</f>
        <v>6.9901025556863539E-4</v>
      </c>
      <c r="I17" s="23" t="e">
        <f>IF(Process_Steps[[#This Row],[Real or Virtual?]]="Real",Process_Steps[[#This Row],[Name]],NA())</f>
        <v>#N/A</v>
      </c>
      <c r="J17" s="30">
        <f>ROW()-ROW(Process_Steps[[#Headers],[Table Row]])</f>
        <v>11</v>
      </c>
      <c r="K17"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7" s="118" t="e">
        <f>IF(Process_Steps[[#This Row],[Real or Virtual?]]="Real",SUMIFS(Table_Process_Details[RV Physical Mass per kg API],Table_Process_Details[Input or Output],"Input",Table_Process_Details[Step Name],Process_Steps[[#This Row],[Name]]),NA())</f>
        <v>#N/A</v>
      </c>
      <c r="M17" s="20" t="e">
        <f>IF(Process_Steps[[#This Row],[Real or Virtual?]]="Real",SUMIFS(Table_Process_Details[RV Physical Mass per kg API (REAGENT)],Table_Process_Details[Input or Output],"Input",Table_Process_Details[Step Name],Process_Steps[[#This Row],[Name]]),NA())</f>
        <v>#N/A</v>
      </c>
      <c r="N17" s="20" t="e">
        <f>IF(Process_Steps[[#This Row],[Real or Virtual?]]="Real",SUMIFS(Table_Process_Details[RV Physical Mass per kg API (METAL)],Table_Process_Details[Input or Output],"Input",Table_Process_Details[Step Name],Process_Steps[[#This Row],[Name]]),NA())</f>
        <v>#N/A</v>
      </c>
      <c r="O17" s="20" t="e">
        <f>IF(Process_Steps[[#This Row],[Real or Virtual?]]="Real",SUMIFS(Table_Process_Details[RV Physical Mass per kg API (SOLVENT)],Table_Process_Details[Input or Output],"Input",Table_Process_Details[Step Name],Process_Steps[[#This Row],[Name]]),NA())</f>
        <v>#N/A</v>
      </c>
      <c r="P17" s="20" t="e">
        <f>IF(Process_Steps[[#This Row],[Real or Virtual?]]="Real",SUMIFS(Table_Process_Details[RV Physical Mass per kg API (WATER)],Table_Process_Details[Input or Output],"Input",Table_Process_Details[Step Name],Process_Steps[[#This Row],[Name]]),NA())</f>
        <v>#N/A</v>
      </c>
      <c r="Q17" s="20" t="e">
        <f>IF(Process_Steps[[#This Row],[Real or Virtual?]]="Real",SUMIFS(Table_Process_Details[RV Physical Mass per kg API (ENZ&amp;PLNT)],Table_Process_Details[Input or Output],"Input",Table_Process_Details[Step Name],Process_Steps[[#This Row],[Name]]),NA())</f>
        <v>#N/A</v>
      </c>
      <c r="R17" s="20" t="e">
        <f>IF(Process_Steps[[#This Row],[Real or Virtual?]]="Real",SUMIFS(Table_Process_Details[RV Physical Mass per kg API (OTHER)],Table_Process_Details[Input or Output],"Input",Table_Process_Details[Step Name],Process_Steps[[#This Row],[Name]]),NA())</f>
        <v>#N/A</v>
      </c>
      <c r="S17" s="118" t="e">
        <f ca="1">INDEX(Process_Steps[Name if Real],MATCH(Process_Steps[[#This Row],['[RV Step PMI per kg API'] of Each Step Sorted by '[RV Step PMI per kg API']]],Process_Steps[RV Step PMI per kg API],0))</f>
        <v>#N/A</v>
      </c>
      <c r="T17" s="118" t="e" cm="1">
        <f t="array" aca="1" ref="T17" ca="1">IF(LARGE(_xlfn.IFNA(Process_Steps[RV Step PMI per kg API],0),Process_Steps[[#This Row],[Table Row]])=0,NA(),LARGE(_xlfn.IFNA(Process_Steps[RV Step PMI per kg API],0),Process_Steps[[#This Row],[Table Row]]))</f>
        <v>#N/A</v>
      </c>
      <c r="U17" s="118" t="e">
        <f ca="1">SUM(OFFSET(Process_Steps['[RV Step PMI per kg API'] of Each Step Sorted by '[RV Step PMI per kg API']],0,0,Process_Steps[[#This Row],[Table Row]]))</f>
        <v>#N/A</v>
      </c>
      <c r="V17" s="118" t="e">
        <f ca="1">"("&amp;TEXT(Process_Steps[[#This Row],['[RV Step PMI per kg API'] of Each Step Sorted by '[RV Step PMI per kg API']]]/SUMIF(Process_Steps['[RV Step PMI per kg API'] of Each Step Sorted by '[RV Step PMI per kg API']],"&lt;&gt;#N/A"),"0%")&amp;")"</f>
        <v>#N/A</v>
      </c>
      <c r="W17" s="23" t="e">
        <f ca="1">INDEX(Process_Steps[RV Step PMI per kg API (REAGENT)],MATCH(Process_Steps[[#This Row],[Steps Sorted by '[RV Step PMI per kg API']]],Process_Steps[Name],0))</f>
        <v>#N/A</v>
      </c>
      <c r="X17" s="23" t="e">
        <f ca="1">INDEX(Process_Steps[RV Step PMI per kg API (METAL)],MATCH(Process_Steps[[#This Row],[Steps Sorted by '[RV Step PMI per kg API']]],Process_Steps[Name],0))</f>
        <v>#N/A</v>
      </c>
      <c r="Y17" s="23" t="e">
        <f ca="1">INDEX(Process_Steps[RV Step PMI per kg API (SOLVENT)],MATCH(Process_Steps[[#This Row],[Steps Sorted by '[RV Step PMI per kg API']]],Process_Steps[Name],0))</f>
        <v>#N/A</v>
      </c>
      <c r="Z17" s="23" t="e">
        <f ca="1">INDEX(Process_Steps[RV Step PMI per kg API (WATER)],MATCH(Process_Steps[[#This Row],[Steps Sorted by '[RV Step PMI per kg API']]],Process_Steps[Name],0))</f>
        <v>#N/A</v>
      </c>
      <c r="AA17" s="23" t="e">
        <f ca="1">INDEX(Process_Steps[RV Step PMI per kg API (ENZ&amp;PLNT)],MATCH(Process_Steps[[#This Row],[Steps Sorted by '[RV Step PMI per kg API']]],Process_Steps[Name],0))</f>
        <v>#N/A</v>
      </c>
      <c r="AB17" s="23" t="e">
        <f ca="1">INDEX(Process_Steps[RV Step PMI per kg API (OTHER)],MATCH(Process_Steps[[#This Row],[Steps Sorted by '[RV Step PMI per kg API']]],Process_Steps[Name],0))</f>
        <v>#N/A</v>
      </c>
      <c r="AC17" s="118" t="e">
        <f>IF(Process_Steps[[#This Row],[Real or Virtual?]]="Real",SUMIFS(Table_Process_Details[RV Mass Net (kg) per kg API],Table_Process_Details[Step Name],Process_Steps[[#This Row],[Name]]),NA())</f>
        <v>#N/A</v>
      </c>
      <c r="AD17" s="20" t="e">
        <f>IF(Process_Steps[[#This Row],[Real or Virtual?]]="Real",SUMIFS(Table_Process_Details[RV Mass Net (kg) per kg API (REAGENT)],Table_Process_Details[Step Name],Process_Steps[[#This Row],[Name]]),NA())</f>
        <v>#N/A</v>
      </c>
      <c r="AE17" s="20" t="e">
        <f>IF(Process_Steps[[#This Row],[Real or Virtual?]]="Real",SUMIFS(Table_Process_Details[RV Mass Net (kg) per kg API (METAL)],Table_Process_Details[Step Name],Process_Steps[[#This Row],[Name]]),NA())</f>
        <v>#N/A</v>
      </c>
      <c r="AF17" s="20" t="e">
        <f>IF(Process_Steps[[#This Row],[Real or Virtual?]]="Real",SUMIFS(Table_Process_Details[RV Mass Net (kg) per kg API (SOLVENT)],Table_Process_Details[Step Name],Process_Steps[[#This Row],[Name]]),NA())</f>
        <v>#N/A</v>
      </c>
      <c r="AG17" s="20" t="e">
        <f>IF(Process_Steps[[#This Row],[Real or Virtual?]]="Real",SUMIFS(Table_Process_Details[RV Mass Net (kg) per kg API (WATER)],Table_Process_Details[Step Name],Process_Steps[[#This Row],[Name]]),NA())</f>
        <v>#N/A</v>
      </c>
      <c r="AH17" s="20" t="e">
        <f>IF(Process_Steps[[#This Row],[Real or Virtual?]]="Real",SUMIFS(Table_Process_Details[RV Mass Net (kg) per kg API (ENZ&amp;PLNT)],Table_Process_Details[Step Name],Process_Steps[[#This Row],[Name]]),NA())</f>
        <v>#N/A</v>
      </c>
      <c r="AI17" s="20" t="e">
        <f>IF(Process_Steps[[#This Row],[Real or Virtual?]]="Real",SUMIFS(Table_Process_Details[RV Mass Net (kg) per kg API (OTHER)],Table_Process_Details[Step Name],Process_Steps[[#This Row],[Name]]),NA())</f>
        <v>#N/A</v>
      </c>
      <c r="AJ17" s="23" t="e">
        <f ca="1">INDEX(Process_Steps[Name if Real],MATCH(Process_Steps[[#This Row],['[RV Step Mass Net (kg) per kg API'] of Each Step Sorted by '[RV Step Mass Net (kg) per kg API']]],Process_Steps[RV Step Mass Net (kg) per kg API],0))</f>
        <v>#N/A</v>
      </c>
      <c r="AK17" s="23" t="e" cm="1">
        <f t="array" aca="1" ref="AK17" ca="1">IF(LARGE(_xlfn.IFNA(Process_Steps[RV Step Mass Net (kg) per kg API],0),Process_Steps[[#This Row],[Table Row]])=0,NA(),LARGE(_xlfn.IFNA(Process_Steps[RV Step Mass Net (kg) per kg API],0),Process_Steps[[#This Row],[Table Row]]))</f>
        <v>#N/A</v>
      </c>
      <c r="AL17" s="23" t="e">
        <f ca="1">SUM(OFFSET(Process_Steps['[RV Step Mass Net (kg) per kg API'] of Each Step Sorted by '[RV Step Mass Net (kg) per kg API']],0,0,Process_Steps[[#This Row],[Table Row]]))</f>
        <v>#N/A</v>
      </c>
      <c r="AM17" s="23" t="e">
        <f ca="1">"("&amp;TEXT(Process_Steps[[#This Row],['[RV Step Mass Net (kg) per kg API'] of Each Step Sorted by '[RV Step Mass Net (kg) per kg API']]]/SUMIF(Process_Steps['[RV Step Mass Net (kg) per kg API'] of Each Step Sorted by '[RV Step Mass Net (kg) per kg API']],"&lt;&gt;#N/A"),"0%")&amp;")"</f>
        <v>#N/A</v>
      </c>
      <c r="AN17" s="23" t="e">
        <f ca="1">INDEX(Process_Steps[RV Step Mass Net (kg) per kg API (REAGENT)],MATCH(Process_Steps[[#This Row],[Steps Sorted by '[RV Step Mass Net (kg) per kg API']]],Process_Steps[Name],0))</f>
        <v>#N/A</v>
      </c>
      <c r="AO17" s="23" t="e">
        <f ca="1">INDEX(Process_Steps[RV Step Mass Net (kg) per kg API (METAL)],MATCH(Process_Steps[[#This Row],[Steps Sorted by '[RV Step Mass Net (kg) per kg API']]],Process_Steps[Name],0))</f>
        <v>#N/A</v>
      </c>
      <c r="AP17" s="23" t="e">
        <f ca="1">INDEX(Process_Steps[RV Step Mass Net (kg) per kg API (SOLVENT)],MATCH(Process_Steps[[#This Row],[Steps Sorted by '[RV Step Mass Net (kg) per kg API']]],Process_Steps[Name],0))</f>
        <v>#N/A</v>
      </c>
      <c r="AQ17" s="23" t="e">
        <f ca="1">INDEX(Process_Steps[RV Step Mass Net (kg) per kg API (WATER)],MATCH(Process_Steps[[#This Row],[Steps Sorted by '[RV Step Mass Net (kg) per kg API']]],Process_Steps[Name],0))</f>
        <v>#N/A</v>
      </c>
      <c r="AR17" s="23" t="e">
        <f ca="1">INDEX(Process_Steps[RV Step Mass Net (kg) per kg API (ENZ&amp;PLNT)],MATCH(Process_Steps[[#This Row],[Steps Sorted by '[RV Step Mass Net (kg) per kg API']]],Process_Steps[Name],0))</f>
        <v>#N/A</v>
      </c>
      <c r="AS17" s="23" t="e">
        <f ca="1">INDEX(Process_Steps[RV Step Mass Net (kg) per kg API (OTHER)],MATCH(Process_Steps[[#This Row],[Steps Sorted by '[RV Step Mass Net (kg) per kg API']]],Process_Steps[Name],0))</f>
        <v>#N/A</v>
      </c>
      <c r="AT17" s="118" t="e">
        <f>IF(Process_Steps[[#This Row],[Real or Virtual?]]="Real",SUMIFS(Table_Process_Details[RV Energy (MJ) per kg API],Table_Process_Details[Step Name],Process_Steps[[#This Row],[Name]]),NA())</f>
        <v>#N/A</v>
      </c>
      <c r="AU17" s="20" t="e">
        <f>IF(Process_Steps[[#This Row],[Real or Virtual?]]="Real",SUMIFS(Table_Process_Details[RV Energy (MJ) per kg API (REAGENT)],Table_Process_Details[Step Name],Process_Steps[[#This Row],[Name]]),NA())</f>
        <v>#N/A</v>
      </c>
      <c r="AV17" s="20" t="e">
        <f>IF(Process_Steps[[#This Row],[Real or Virtual?]]="Real",SUMIFS(Table_Process_Details[RV Energy (MJ) per kg API (METAL)],Table_Process_Details[Step Name],Process_Steps[[#This Row],[Name]]),NA())</f>
        <v>#N/A</v>
      </c>
      <c r="AW17" s="20" t="e">
        <f>IF(Process_Steps[[#This Row],[Real or Virtual?]]="Real",SUMIFS(Table_Process_Details[RV Energy (MJ) per kg API (SOLVENT)],Table_Process_Details[Step Name],Process_Steps[[#This Row],[Name]]),NA())</f>
        <v>#N/A</v>
      </c>
      <c r="AX17" s="20" t="e">
        <f>IF(Process_Steps[[#This Row],[Real or Virtual?]]="Real",SUMIFS(Table_Process_Details[RV Energy (MJ) per kg API (WATER)],Table_Process_Details[Step Name],Process_Steps[[#This Row],[Name]]),NA())</f>
        <v>#N/A</v>
      </c>
      <c r="AY17" s="20" t="e">
        <f>IF(Process_Steps[[#This Row],[Real or Virtual?]]="Real",SUMIFS(Table_Process_Details[RV Energy (MJ) per kg API (ENZ&amp;PLNT)],Table_Process_Details[Step Name],Process_Steps[[#This Row],[Name]]),NA())</f>
        <v>#N/A</v>
      </c>
      <c r="AZ17" s="20" t="e">
        <f>IF(Process_Steps[[#This Row],[Real or Virtual?]]="Real",SUMIFS(Table_Process_Details[RV Energy (MJ) per kg API (OTHER)],Table_Process_Details[Step Name],Process_Steps[[#This Row],[Name]]),NA())</f>
        <v>#N/A</v>
      </c>
      <c r="BA17" s="23" t="e">
        <f ca="1">INDEX(Process_Steps[Name if Real],MATCH(Process_Steps[[#This Row],['[RV Step Energy (MJ) per kg API'] of Each Step Sorted by '[RV Step Energy (MJ) per kg API']]],Process_Steps[RV Step Energy (MJ) per kg API],0))</f>
        <v>#N/A</v>
      </c>
      <c r="BB17" s="23" t="e" cm="1">
        <f t="array" aca="1" ref="BB17" ca="1">IF(LARGE(_xlfn.IFNA(Process_Steps[RV Step Energy (MJ) per kg API],0),Process_Steps[[#This Row],[Table Row]])=0,NA(),LARGE(_xlfn.IFNA(Process_Steps[RV Step Energy (MJ) per kg API],0),Process_Steps[[#This Row],[Table Row]]))</f>
        <v>#N/A</v>
      </c>
      <c r="BC17" s="23" t="e">
        <f ca="1">SUM(OFFSET(Process_Steps['[RV Step Energy (MJ) per kg API'] of Each Step Sorted by '[RV Step Energy (MJ) per kg API']],0,0,Process_Steps[[#This Row],[Table Row]]))</f>
        <v>#N/A</v>
      </c>
      <c r="BD17" s="23" t="e">
        <f ca="1">"("&amp;TEXT(Process_Steps[[#This Row],['[RV Step Energy (MJ) per kg API'] of Each Step Sorted by '[RV Step Energy (MJ) per kg API']]]/SUMIF(Process_Steps['[RV Step Energy (MJ) per kg API'] of Each Step Sorted by '[RV Step Energy (MJ) per kg API']],"&lt;&gt;#N/A"),"0%")&amp;")"</f>
        <v>#N/A</v>
      </c>
      <c r="BE17" s="23" t="e">
        <f ca="1">INDEX(Process_Steps[RV Step Energy (MJ) per kg API (REAGENT)],MATCH(Process_Steps[[#This Row],[Steps Sorted by '[RV Step Energy (MJ) per kg API']]],Process_Steps[Name],0))</f>
        <v>#N/A</v>
      </c>
      <c r="BF17" s="23" t="e">
        <f ca="1">INDEX(Process_Steps[RV Step Energy (MJ) per kg API (METAL)],MATCH(Process_Steps[[#This Row],[Steps Sorted by '[RV Step Energy (MJ) per kg API']]],Process_Steps[Name],0))</f>
        <v>#N/A</v>
      </c>
      <c r="BG17" s="23" t="e">
        <f ca="1">INDEX(Process_Steps[RV Step Energy (MJ) per kg API (SOLVENT)],MATCH(Process_Steps[[#This Row],[Steps Sorted by '[RV Step Energy (MJ) per kg API']]],Process_Steps[Name],0))</f>
        <v>#N/A</v>
      </c>
      <c r="BH17" s="23" t="e">
        <f ca="1">INDEX(Process_Steps[RV Step Energy (MJ) per kg API (WATER)],MATCH(Process_Steps[[#This Row],[Steps Sorted by '[RV Step Energy (MJ) per kg API']]],Process_Steps[Name],0))</f>
        <v>#N/A</v>
      </c>
      <c r="BI17" s="23" t="e">
        <f ca="1">INDEX(Process_Steps[RV Step Energy (MJ) per kg API (ENZ&amp;PLNT)],MATCH(Process_Steps[[#This Row],[Steps Sorted by '[RV Step Energy (MJ) per kg API']]],Process_Steps[Name],0))</f>
        <v>#N/A</v>
      </c>
      <c r="BJ17" s="23" t="e">
        <f ca="1">INDEX(Process_Steps[RV Step Energy (MJ) per kg API (OTHER)],MATCH(Process_Steps[[#This Row],[Steps Sorted by '[RV Step Energy (MJ) per kg API']]],Process_Steps[Name],0))</f>
        <v>#N/A</v>
      </c>
      <c r="BK17" s="118" t="e">
        <f>IF(Process_Steps[[#This Row],[Real or Virtual?]]="Real",SUMIFS(Table_Process_Details[RV GWP (kg CO2 equiv.) per kg API],Table_Process_Details[Step Name],Process_Steps[[#This Row],[Name]]),NA())</f>
        <v>#N/A</v>
      </c>
      <c r="BL17" s="20" t="e">
        <f>IF(Process_Steps[[#This Row],[Real or Virtual?]]="Real",SUMIFS(Table_Process_Details[RV GWP (kg CO2 equiv.) per kg API (REAGENT)],Table_Process_Details[Step Name],Process_Steps[[#This Row],[Name]]),NA())</f>
        <v>#N/A</v>
      </c>
      <c r="BM17" s="20" t="e">
        <f>IF(Process_Steps[[#This Row],[Real or Virtual?]]="Real",SUMIFS(Table_Process_Details[RV GWP (kg CO2 equiv.) per kg API (METAL)],Table_Process_Details[Step Name],Process_Steps[[#This Row],[Name]]),NA())</f>
        <v>#N/A</v>
      </c>
      <c r="BN17" s="20" t="e">
        <f>IF(Process_Steps[[#This Row],[Real or Virtual?]]="Real",SUMIFS(Table_Process_Details[RV GWP (kg CO2 equiv.) per kg API (SOLVENT)],Table_Process_Details[Step Name],Process_Steps[[#This Row],[Name]]),NA())</f>
        <v>#N/A</v>
      </c>
      <c r="BO17" s="20" t="e">
        <f>IF(Process_Steps[[#This Row],[Real or Virtual?]]="Real",SUMIFS(Table_Process_Details[RV GWP (kg CO2 equiv.) per kg API (WATER)],Table_Process_Details[Step Name],Process_Steps[[#This Row],[Name]]),NA())</f>
        <v>#N/A</v>
      </c>
      <c r="BP17" s="20" t="e">
        <f>IF(Process_Steps[[#This Row],[Real or Virtual?]]="Real",SUMIFS(Table_Process_Details[RV GWP (kg CO2 equiv.) per kg API (ENZ&amp;PLNT)],Table_Process_Details[Step Name],Process_Steps[[#This Row],[Name]]),NA())</f>
        <v>#N/A</v>
      </c>
      <c r="BQ17" s="20" t="e">
        <f>IF(Process_Steps[[#This Row],[Real or Virtual?]]="Real",SUMIFS(Table_Process_Details[RV GWP (kg CO2 equiv.) per kg API (OTHER)],Table_Process_Details[Step Name],Process_Steps[[#This Row],[Name]]),NA())</f>
        <v>#N/A</v>
      </c>
      <c r="BR17" s="23" t="e">
        <f ca="1">INDEX(Process_Steps[Name if Real],MATCH(Process_Steps[[#This Row],['[RV Step GWP (kg CO2 equiv.) per kg API'] of Each Step Sorted by '[RV Step GWP (kg CO2 equiv.) per kg API']]],Process_Steps[RV Step GWP (kg CO2 equiv.) per kg API],0))</f>
        <v>#N/A</v>
      </c>
      <c r="BS17" s="23" t="e" cm="1">
        <f t="array" aca="1" ref="BS17" ca="1">IF(LARGE(_xlfn.IFNA(Process_Steps[RV Step GWP (kg CO2 equiv.) per kg API],0),Process_Steps[[#This Row],[Table Row]])=0,NA(),LARGE(_xlfn.IFNA(Process_Steps[RV Step GWP (kg CO2 equiv.) per kg API],0),Process_Steps[[#This Row],[Table Row]]))</f>
        <v>#N/A</v>
      </c>
      <c r="BT17" s="23" t="e">
        <f ca="1">SUM(OFFSET(Process_Steps['[RV Step GWP (kg CO2 equiv.) per kg API'] of Each Step Sorted by '[RV Step GWP (kg CO2 equiv.) per kg API']],0,0,Process_Steps[[#This Row],[Table Row]]))</f>
        <v>#N/A</v>
      </c>
      <c r="BU17" s="23" t="e">
        <f ca="1">"("&amp;TEXT(Process_Steps[[#This Row],['[RV Step GWP (kg CO2 equiv.) per kg API'] of Each Step Sorted by '[RV Step GWP (kg CO2 equiv.) per kg API']]]/SUMIF(Process_Steps['[RV Step GWP (kg CO2 equiv.) per kg API'] of Each Step Sorted by '[RV Step GWP (kg CO2 equiv.) per kg API']],"&lt;&gt;#N/A"),"0%")&amp;")"</f>
        <v>#N/A</v>
      </c>
      <c r="BV17" s="23" t="e">
        <f ca="1">INDEX(Process_Steps[RV Step GWP (kg CO2 equiv.) per kg API (REAGENT)],MATCH(Process_Steps[[#This Row],[Steps Sorted by '[RV Step GWP (kg CO2 equiv.) per kg API']]],Process_Steps[Name],0))</f>
        <v>#N/A</v>
      </c>
      <c r="BW17" s="23" t="e">
        <f ca="1">INDEX(Process_Steps[RV Step GWP (kg CO2 equiv.) per kg API (METAL)],MATCH(Process_Steps[[#This Row],[Steps Sorted by '[RV Step GWP (kg CO2 equiv.) per kg API']]],Process_Steps[Name],0))</f>
        <v>#N/A</v>
      </c>
      <c r="BX17" s="23" t="e">
        <f ca="1">INDEX(Process_Steps[RV Step GWP (kg CO2 equiv.) per kg API (SOLVENT)],MATCH(Process_Steps[[#This Row],[Steps Sorted by '[RV Step GWP (kg CO2 equiv.) per kg API']]],Process_Steps[Name],0))</f>
        <v>#N/A</v>
      </c>
      <c r="BY17" s="23" t="e">
        <f ca="1">INDEX(Process_Steps[RV Step GWP (kg CO2 equiv.) per kg API (WATER)],MATCH(Process_Steps[[#This Row],[Steps Sorted by '[RV Step GWP (kg CO2 equiv.) per kg API']]],Process_Steps[Name],0))</f>
        <v>#N/A</v>
      </c>
      <c r="BZ17" s="23" t="e">
        <f ca="1">INDEX(Process_Steps[RV Step GWP (kg CO2 equiv.) per kg API (ENZ&amp;PLNT)],MATCH(Process_Steps[[#This Row],[Steps Sorted by '[RV Step GWP (kg CO2 equiv.) per kg API']]],Process_Steps[Name],0))</f>
        <v>#N/A</v>
      </c>
      <c r="CA17" s="23" t="e">
        <f ca="1">INDEX(Process_Steps[RV Step GWP (kg CO2 equiv.) per kg API (OTHER)],MATCH(Process_Steps[[#This Row],[Steps Sorted by '[RV Step GWP (kg CO2 equiv.) per kg API']]],Process_Steps[Name],0))</f>
        <v>#N/A</v>
      </c>
      <c r="CB17" s="118" t="e">
        <f>IF(Process_Steps[[#This Row],[Real or Virtual?]]="Real",SUMIFS(Table_Process_Details[RV Acidification (kg SO2 equiv.) per kg API],Table_Process_Details[Step Name],Process_Steps[[#This Row],[Name]]),NA())</f>
        <v>#N/A</v>
      </c>
      <c r="CC17" s="20" t="e">
        <f>IF(Process_Steps[[#This Row],[Real or Virtual?]]="Real",SUMIFS(Table_Process_Details[RV Acidification (kg SO2 equiv.) per kg API (REAGENT)],Table_Process_Details[Step Name],Process_Steps[[#This Row],[Name]]),NA())</f>
        <v>#N/A</v>
      </c>
      <c r="CD17" s="20" t="e">
        <f>IF(Process_Steps[[#This Row],[Real or Virtual?]]="Real",SUMIFS(Table_Process_Details[RV Acidification (kg SO2 equiv.) per kg API (METAL)],Table_Process_Details[Step Name],Process_Steps[[#This Row],[Name]]),NA())</f>
        <v>#N/A</v>
      </c>
      <c r="CE17" s="20" t="e">
        <f>IF(Process_Steps[[#This Row],[Real or Virtual?]]="Real",SUMIFS(Table_Process_Details[RV Acidification (kg SO2 equiv.) per kg API (SOLVENT)],Table_Process_Details[Step Name],Process_Steps[[#This Row],[Name]]),NA())</f>
        <v>#N/A</v>
      </c>
      <c r="CF17" s="20" t="e">
        <f>IF(Process_Steps[[#This Row],[Real or Virtual?]]="Real",SUMIFS(Table_Process_Details[RV Acidification (kg SO2 equiv.) per kg API (WATER)],Table_Process_Details[Step Name],Process_Steps[[#This Row],[Name]]),NA())</f>
        <v>#N/A</v>
      </c>
      <c r="CG17" s="20" t="e">
        <f>IF(Process_Steps[[#This Row],[Real or Virtual?]]="Real",SUMIFS(Table_Process_Details[RV Acidification (kg SO2 equiv.) per kg API (ENZ&amp;PLNT)],Table_Process_Details[Step Name],Process_Steps[[#This Row],[Name]]),NA())</f>
        <v>#N/A</v>
      </c>
      <c r="CH17" s="20" t="e">
        <f>IF(Process_Steps[[#This Row],[Real or Virtual?]]="Real",SUMIFS(Table_Process_Details[RV Acidification (kg SO2 equiv.) per kg API (OTHER)],Table_Process_Details[Step Name],Process_Steps[[#This Row],[Name]]),NA())</f>
        <v>#N/A</v>
      </c>
      <c r="CI17" s="23" t="e">
        <f ca="1">INDEX(Process_Steps[Name if Real],MATCH(Process_Steps[[#This Row],['[RV Step Acidification (kg SO2 equiv.) per kg API'] of Each Step Sorted by '[RV Step Acidification (kg SO2 equiv.) per kg API']]],Process_Steps[RV Step Acidification (kg SO2 equiv.) per kg API],0))</f>
        <v>#N/A</v>
      </c>
      <c r="CJ17" s="23" t="e" cm="1">
        <f t="array" aca="1" ref="CJ17" ca="1">IF(LARGE(_xlfn.IFNA(Process_Steps[RV Step Acidification (kg SO2 equiv.) per kg API],0),Process_Steps[[#This Row],[Table Row]])=0,NA(),LARGE(_xlfn.IFNA(Process_Steps[RV Step Acidification (kg SO2 equiv.) per kg API],0),Process_Steps[[#This Row],[Table Row]]))</f>
        <v>#N/A</v>
      </c>
      <c r="CK17" s="23" t="e">
        <f ca="1">SUM(OFFSET(Process_Steps['[RV Step Acidification (kg SO2 equiv.) per kg API'] of Each Step Sorted by '[RV Step Acidification (kg SO2 equiv.) per kg API']],0,0,Process_Steps[[#This Row],[Table Row]]))</f>
        <v>#N/A</v>
      </c>
      <c r="CL17"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7" s="23" t="e">
        <f ca="1">INDEX(Process_Steps[RV Step Acidification (kg SO2 equiv.) per kg API (REAGENT)],MATCH(Process_Steps[[#This Row],[Steps Sorted by '[RV Step Acidification (kg SO2 equiv.) per kg API']]],Process_Steps[Name],0))</f>
        <v>#N/A</v>
      </c>
      <c r="CN17" s="23" t="e">
        <f ca="1">INDEX(Process_Steps[RV Step Acidification (kg SO2 equiv.) per kg API (METAL)],MATCH(Process_Steps[[#This Row],[Steps Sorted by '[RV Step Acidification (kg SO2 equiv.) per kg API']]],Process_Steps[Name],0))</f>
        <v>#N/A</v>
      </c>
      <c r="CO17" s="23" t="e">
        <f ca="1">INDEX(Process_Steps[RV Step Acidification (kg SO2 equiv.) per kg API (SOLVENT)],MATCH(Process_Steps[[#This Row],[Steps Sorted by '[RV Step Acidification (kg SO2 equiv.) per kg API']]],Process_Steps[Name],0))</f>
        <v>#N/A</v>
      </c>
      <c r="CP17" s="23" t="e">
        <f ca="1">INDEX(Process_Steps[RV Step Acidification (kg SO2 equiv.) per kg API (WATER)],MATCH(Process_Steps[[#This Row],[Steps Sorted by '[RV Step Acidification (kg SO2 equiv.) per kg API']]],Process_Steps[Name],0))</f>
        <v>#N/A</v>
      </c>
      <c r="CQ17" s="23" t="e">
        <f ca="1">INDEX(Process_Steps[RV Step Acidification (kg SO2 equiv.) per kg API (ENZ&amp;PLNT)],MATCH(Process_Steps[[#This Row],[Steps Sorted by '[RV Step Acidification (kg SO2 equiv.) per kg API']]],Process_Steps[Name],0))</f>
        <v>#N/A</v>
      </c>
      <c r="CR17" s="23" t="e">
        <f ca="1">INDEX(Process_Steps[RV Step Acidification (kg SO2 equiv.) per kg API (OTHER)],MATCH(Process_Steps[[#This Row],[Steps Sorted by '[RV Step Acidification (kg SO2 equiv.) per kg API']]],Process_Steps[Name],0))</f>
        <v>#N/A</v>
      </c>
      <c r="CS17" s="118" t="e">
        <f>IF(Process_Steps[[#This Row],[Real or Virtual?]]="Real",SUMIFS(Table_Process_Details[RV Eutrophication (kg phosphate equiv.) per kg API],Table_Process_Details[Step Name],Process_Steps[[#This Row],[Name]]),NA())</f>
        <v>#N/A</v>
      </c>
      <c r="CT17" s="20" t="e">
        <f>IF(Process_Steps[[#This Row],[Real or Virtual?]]="Real",SUMIFS(Table_Process_Details[RV Eutrophication (kg phosphate equiv.) per kg API (REAGENT)],Table_Process_Details[Step Name],Process_Steps[[#This Row],[Name]]),NA())</f>
        <v>#N/A</v>
      </c>
      <c r="CU17" s="20" t="e">
        <f>IF(Process_Steps[[#This Row],[Real or Virtual?]]="Real",SUMIFS(Table_Process_Details[RV Eutrophication (kg phosphate equiv.) per kg API (METAL)],Table_Process_Details[Step Name],Process_Steps[[#This Row],[Name]]),NA())</f>
        <v>#N/A</v>
      </c>
      <c r="CV17" s="20" t="e">
        <f>IF(Process_Steps[[#This Row],[Real or Virtual?]]="Real",SUMIFS(Table_Process_Details[RV Eutrophication (kg phosphate equiv.) per kg API (SOLVENT)],Table_Process_Details[Step Name],Process_Steps[[#This Row],[Name]]),NA())</f>
        <v>#N/A</v>
      </c>
      <c r="CW17" s="20" t="e">
        <f>IF(Process_Steps[[#This Row],[Real or Virtual?]]="Real",SUMIFS(Table_Process_Details[RV Eutrophication (kg phosphate equiv.) per kg API (WATER)],Table_Process_Details[Step Name],Process_Steps[[#This Row],[Name]]),NA())</f>
        <v>#N/A</v>
      </c>
      <c r="CX17" s="20" t="e">
        <f>IF(Process_Steps[[#This Row],[Real or Virtual?]]="Real",SUMIFS(Table_Process_Details[RV Eutrophication (kg phosphate equiv.) per kg API (ENZ&amp;PLNT)],Table_Process_Details[Step Name],Process_Steps[[#This Row],[Name]]),NA())</f>
        <v>#N/A</v>
      </c>
      <c r="CY17" s="20" t="e">
        <f>IF(Process_Steps[[#This Row],[Real or Virtual?]]="Real",SUMIFS(Table_Process_Details[RV Eutrophication (kg phosphate equiv.) per kg API (OTHER)],Table_Process_Details[Step Name],Process_Steps[[#This Row],[Name]]),NA())</f>
        <v>#N/A</v>
      </c>
      <c r="CZ17" s="23" t="e">
        <f ca="1">INDEX(Process_Steps[Name if Real],MATCH(Process_Steps[[#This Row],['[RV Step Eutrophication (kg phosphate equiv.) per kg API'] of Each Step Sorted by '[RV Step Eutrophication (kg phosphate equiv.) per kg API']]],Process_Steps[RV Step Eutrophication (kg posphate equiv.) per kg API],0))</f>
        <v>#N/A</v>
      </c>
      <c r="DA17" s="23" t="e" cm="1">
        <f t="array" aca="1" ref="DA17" ca="1">IF(LARGE(_xlfn.IFNA(Process_Steps[RV Step Eutrophication (kg posphate equiv.) per kg API],0),Process_Steps[[#This Row],[Table Row]])=0,NA(),LARGE(_xlfn.IFNA(Process_Steps[RV Step Eutrophication (kg posphate equiv.) per kg API],0),Process_Steps[[#This Row],[Table Row]]))</f>
        <v>#N/A</v>
      </c>
      <c r="DB17" s="23" t="e">
        <f ca="1">SUM(OFFSET(Process_Steps['[RV Step Eutrophication (kg phosphate equiv.) per kg API'] of Each Step Sorted by '[RV Step Eutrophication (kg phosphate equiv.) per kg API']],0,0,Process_Steps[[#This Row],[Table Row]]))</f>
        <v>#N/A</v>
      </c>
      <c r="DC17"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7" s="23" t="e">
        <f ca="1">INDEX(Process_Steps[RV Step Eutrophication (kg posphate equiv.) per kg API (REAGENT)],MATCH(Process_Steps[[#This Row],[Steps Sorted by '[RV Step Eutrophication (kg phosphate equiv.) per kg API']]],Process_Steps[Name],0))</f>
        <v>#N/A</v>
      </c>
      <c r="DE17" s="23" t="e">
        <f ca="1">INDEX(Process_Steps[RV Step Eutrophication (kg posphate equiv.) per kg API (METAL)],MATCH(Process_Steps[[#This Row],[Steps Sorted by '[RV Step Eutrophication (kg phosphate equiv.) per kg API']]],Process_Steps[Name],0))</f>
        <v>#N/A</v>
      </c>
      <c r="DF17" s="23" t="e">
        <f ca="1">INDEX(Process_Steps[RV Step Eutrophication (kg posphate equiv.) per kg API (SOLVENT)],MATCH(Process_Steps[[#This Row],[Steps Sorted by '[RV Step Eutrophication (kg phosphate equiv.) per kg API']]],Process_Steps[Name],0))</f>
        <v>#N/A</v>
      </c>
      <c r="DG17" s="23" t="e">
        <f ca="1">INDEX(Process_Steps[RV Step Eutrophication (kg posphate equiv.) per kg API (WATER)],MATCH(Process_Steps[[#This Row],[Steps Sorted by '[RV Step Eutrophication (kg phosphate equiv.) per kg API']]],Process_Steps[Name],0))</f>
        <v>#N/A</v>
      </c>
      <c r="DH17" s="23" t="e">
        <f ca="1">INDEX(Process_Steps[RV Step Eutrophication (kg posphate equiv.) per kg API (ENZ&amp;PLNT)],MATCH(Process_Steps[[#This Row],[Steps Sorted by '[RV Step Eutrophication (kg phosphate equiv.) per kg API']]],Process_Steps[Name],0))</f>
        <v>#N/A</v>
      </c>
      <c r="DI17" s="23" t="e">
        <f ca="1">INDEX(Process_Steps[RV Step Eutrophication (kg posphate equiv.) per kg API (OTHER)],MATCH(Process_Steps[[#This Row],[Steps Sorted by '[RV Step Eutrophication (kg phosphate equiv.) per kg API']]],Process_Steps[Name],0))</f>
        <v>#N/A</v>
      </c>
      <c r="DJ17" s="118" t="e">
        <f>IF(Process_Steps[[#This Row],[Real or Virtual?]]="Real",SUMIFS(Table_Process_Details[RV Water (kg) per kg API],Table_Process_Details[Step Name],Process_Steps[[#This Row],[Name]]),NA())</f>
        <v>#N/A</v>
      </c>
      <c r="DK17" s="20" t="e">
        <f>IF(Process_Steps[[#This Row],[Real or Virtual?]]="Real",SUMIFS(Table_Process_Details[RV Water (kg) per kg API (REAGENT)],Table_Process_Details[Step Name],Process_Steps[[#This Row],[Name]]),NA())</f>
        <v>#N/A</v>
      </c>
      <c r="DL17" s="20" t="e">
        <f>IF(Process_Steps[[#This Row],[Real or Virtual?]]="Real",SUMIFS(Table_Process_Details[RV Water (kg) per kg API (METAL)],Table_Process_Details[Step Name],Process_Steps[[#This Row],[Name]]),NA())</f>
        <v>#N/A</v>
      </c>
      <c r="DM17" s="20" t="e">
        <f>IF(Process_Steps[[#This Row],[Real or Virtual?]]="Real",SUMIFS(Table_Process_Details[RV Water (kg) per kg API (SOLVENT)],Table_Process_Details[Step Name],Process_Steps[[#This Row],[Name]]),NA())</f>
        <v>#N/A</v>
      </c>
      <c r="DN17" s="20" t="e">
        <f>IF(Process_Steps[[#This Row],[Real or Virtual?]]="Real",SUMIFS(Table_Process_Details[RV Water (kg) per kg API (WATER)],Table_Process_Details[Step Name],Process_Steps[[#This Row],[Name]]),NA())</f>
        <v>#N/A</v>
      </c>
      <c r="DO17" s="20" t="e">
        <f>IF(Process_Steps[[#This Row],[Real or Virtual?]]="Real",SUMIFS(Table_Process_Details[RV Water (kg) per kg API (ENZ&amp;PLNT)],Table_Process_Details[Step Name],Process_Steps[[#This Row],[Name]]),NA())</f>
        <v>#N/A</v>
      </c>
      <c r="DP17" s="20" t="e">
        <f>IF(Process_Steps[[#This Row],[Real or Virtual?]]="Real",SUMIFS(Table_Process_Details[RV Water (kg) per kg API (OTHER)],Table_Process_Details[Step Name],Process_Steps[[#This Row],[Name]]),NA())</f>
        <v>#N/A</v>
      </c>
      <c r="DQ17" s="23" t="e">
        <f ca="1">INDEX(Process_Steps[Name if Real],MATCH(Process_Steps[[#This Row],['[RV Step Water (kg) per kg API'] of Each Step Sorted by '[RV Step Water (kg) per kg API']]],Process_Steps[RV Step Water (kg) per kg API],0))</f>
        <v>#N/A</v>
      </c>
      <c r="DR17" s="23" t="e" cm="1">
        <f t="array" aca="1" ref="DR17" ca="1">IF(LARGE(_xlfn.IFNA(Process_Steps[RV Step Water (kg) per kg API],0),Process_Steps[[#This Row],[Table Row]])=0,NA(),LARGE(_xlfn.IFNA(Process_Steps[RV Step Water (kg) per kg API],0),Process_Steps[[#This Row],[Table Row]]))</f>
        <v>#N/A</v>
      </c>
      <c r="DS17" s="23" t="e">
        <f ca="1">SUM(OFFSET(Process_Steps['[RV Step Water (kg) per kg API'] of Each Step Sorted by '[RV Step Water (kg) per kg API']],0,0,Process_Steps[[#This Row],[Table Row]]))</f>
        <v>#N/A</v>
      </c>
      <c r="DT17" s="23" t="e">
        <f ca="1">"("&amp;TEXT(Process_Steps[[#This Row],['[RV Step Water (kg) per kg API'] of Each Step Sorted by '[RV Step Water (kg) per kg API']]]/SUMIF(Process_Steps['[RV Step Water (kg) per kg API'] of Each Step Sorted by '[RV Step Water (kg) per kg API']],"&lt;&gt;#N/A"),"0%")&amp;")"</f>
        <v>#N/A</v>
      </c>
      <c r="DU17" s="23" t="e">
        <f ca="1">INDEX(Process_Steps[RV Step Water (kg) per kg API (REAGENT)],MATCH(Process_Steps[[#This Row],[Steps Sorted by '[RV Step Water (kg) per kg API']]],Process_Steps[Name],0))</f>
        <v>#N/A</v>
      </c>
      <c r="DV17" s="23" t="e">
        <f ca="1">INDEX(Process_Steps[RV Step Water (kg) per kg API (METAL)],MATCH(Process_Steps[[#This Row],[Steps Sorted by '[RV Step Water (kg) per kg API']]],Process_Steps[Name],0))</f>
        <v>#N/A</v>
      </c>
      <c r="DW17" s="23" t="e">
        <f ca="1">INDEX(Process_Steps[RV Step Water (kg) per kg API (SOLVENT)],MATCH(Process_Steps[[#This Row],[Steps Sorted by '[RV Step Water (kg) per kg API']]],Process_Steps[Name],0))</f>
        <v>#N/A</v>
      </c>
      <c r="DX17" s="23" t="e">
        <f ca="1">INDEX(Process_Steps[RV Step Water (kg) per kg API (WATER)],MATCH(Process_Steps[[#This Row],[Steps Sorted by '[RV Step Water (kg) per kg API']]],Process_Steps[Name],0))</f>
        <v>#N/A</v>
      </c>
      <c r="DY17" s="23" t="e">
        <f ca="1">INDEX(Process_Steps[RV Step Water (kg) per kg API (ENZ&amp;PLNT)],MATCH(Process_Steps[[#This Row],[Steps Sorted by '[RV Step Water (kg) per kg API']]],Process_Steps[Name],0))</f>
        <v>#N/A</v>
      </c>
      <c r="DZ17" s="23" t="e">
        <f ca="1">INDEX(Process_Steps[RV Step Water (kg) per kg API (OTHER)],MATCH(Process_Steps[[#This Row],[Steps Sorted by '[RV Step Water (kg) per kg API']]],Process_Steps[Name],0))</f>
        <v>#N/A</v>
      </c>
    </row>
    <row r="18" spans="1:130" s="119" customFormat="1" x14ac:dyDescent="0.25">
      <c r="A18" s="119" t="s">
        <v>794</v>
      </c>
      <c r="B18" s="119" t="s">
        <v>174</v>
      </c>
      <c r="C18" s="119" t="s">
        <v>795</v>
      </c>
      <c r="D18" s="119" t="s">
        <v>843</v>
      </c>
      <c r="F18" s="120">
        <f>INDEX(Table_Process_Details[Physical Mass (kg)],MATCH(1,INDEX((Process_Steps[[#This Row],[Name]]=Table_Process_Details[Step Name])*(Table_Process_Details[Input or Output]="Output"),0),0))</f>
        <v>157.52551020408163</v>
      </c>
      <c r="G18" s="120" cm="1">
        <f t="array" aca="1" ref="G18"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1.1011194714627279</v>
      </c>
      <c r="H18" s="121">
        <f ca="1">Process_Steps[[#This Row],[Total Mass that must be produced]]/Process_Steps[[#This Row],[Unscaled Step Product Mass]]</f>
        <v>6.9901025556824191E-3</v>
      </c>
      <c r="I18" s="122" t="str">
        <f>IF(Process_Steps[[#This Row],[Real or Virtual?]]="Real",Process_Steps[[#This Row],[Name]],NA())</f>
        <v>2) Synthesis of Intermediate (2)</v>
      </c>
      <c r="J18" s="123">
        <f>ROW()-ROW(Process_Steps[[#Headers],[Table Row]])</f>
        <v>12</v>
      </c>
      <c r="K18" s="124">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9.1478542510121468</v>
      </c>
      <c r="L18" s="124">
        <f ca="1">IF(Process_Steps[[#This Row],[Real or Virtual?]]="Real",SUMIFS(Table_Process_Details[RV Physical Mass per kg API],Table_Process_Details[Input or Output],"Input",Table_Process_Details[Step Name],Process_Steps[[#This Row],[Name]]),NA())</f>
        <v>9.7162425523985618</v>
      </c>
      <c r="M18" s="125">
        <f ca="1">IF(Process_Steps[[#This Row],[Real or Virtual?]]="Real",SUMIFS(Table_Process_Details[RV Physical Mass per kg API (REAGENT)],Table_Process_Details[Input or Output],"Input",Table_Process_Details[Step Name],Process_Steps[[#This Row],[Name]]),NA())</f>
        <v>0.38565736162807535</v>
      </c>
      <c r="N18" s="125">
        <f ca="1">IF(Process_Steps[[#This Row],[Real or Virtual?]]="Real",SUMIFS(Table_Process_Details[RV Physical Mass per kg API (METAL)],Table_Process_Details[Input or Output],"Input",Table_Process_Details[Step Name],Process_Steps[[#This Row],[Name]]),NA())</f>
        <v>0</v>
      </c>
      <c r="O18" s="125">
        <f ca="1">IF(Process_Steps[[#This Row],[Real or Virtual?]]="Real",SUMIFS(Table_Process_Details[RV Physical Mass per kg API (SOLVENT)],Table_Process_Details[Input or Output],"Input",Table_Process_Details[Step Name],Process_Steps[[#This Row],[Name]]),NA())</f>
        <v>3.8445564056253305</v>
      </c>
      <c r="P18" s="125">
        <f ca="1">IF(Process_Steps[[#This Row],[Real or Virtual?]]="Real",SUMIFS(Table_Process_Details[RV Physical Mass per kg API (WATER)],Table_Process_Details[Input or Output],"Input",Table_Process_Details[Step Name],Process_Steps[[#This Row],[Name]]),NA())</f>
        <v>5.486028785145157</v>
      </c>
      <c r="Q18" s="125">
        <f ca="1">IF(Process_Steps[[#This Row],[Real or Virtual?]]="Real",SUMIFS(Table_Process_Details[RV Physical Mass per kg API (ENZ&amp;PLNT)],Table_Process_Details[Input or Output],"Input",Table_Process_Details[Step Name],Process_Steps[[#This Row],[Name]]),NA())</f>
        <v>0</v>
      </c>
      <c r="R18" s="125">
        <f ca="1">IF(Process_Steps[[#This Row],[Real or Virtual?]]="Real",SUMIFS(Table_Process_Details[RV Physical Mass per kg API (OTHER)],Table_Process_Details[Input or Output],"Input",Table_Process_Details[Step Name],Process_Steps[[#This Row],[Name]]),NA())</f>
        <v>0</v>
      </c>
      <c r="S18" s="124" t="e">
        <f ca="1">INDEX(Process_Steps[Name if Real],MATCH(Process_Steps[[#This Row],['[RV Step PMI per kg API'] of Each Step Sorted by '[RV Step PMI per kg API']]],Process_Steps[RV Step PMI per kg API],0))</f>
        <v>#N/A</v>
      </c>
      <c r="T18" s="124" t="e" cm="1">
        <f t="array" aca="1" ref="T18" ca="1">IF(LARGE(_xlfn.IFNA(Process_Steps[RV Step PMI per kg API],0),Process_Steps[[#This Row],[Table Row]])=0,NA(),LARGE(_xlfn.IFNA(Process_Steps[RV Step PMI per kg API],0),Process_Steps[[#This Row],[Table Row]]))</f>
        <v>#N/A</v>
      </c>
      <c r="U18" s="124" t="e">
        <f ca="1">SUM(OFFSET(Process_Steps['[RV Step PMI per kg API'] of Each Step Sorted by '[RV Step PMI per kg API']],0,0,Process_Steps[[#This Row],[Table Row]]))</f>
        <v>#N/A</v>
      </c>
      <c r="V18" s="124" t="e">
        <f ca="1">"("&amp;TEXT(Process_Steps[[#This Row],['[RV Step PMI per kg API'] of Each Step Sorted by '[RV Step PMI per kg API']]]/SUMIF(Process_Steps['[RV Step PMI per kg API'] of Each Step Sorted by '[RV Step PMI per kg API']],"&lt;&gt;#N/A"),"0%")&amp;")"</f>
        <v>#N/A</v>
      </c>
      <c r="W18" s="122" t="e">
        <f ca="1">INDEX(Process_Steps[RV Step PMI per kg API (REAGENT)],MATCH(Process_Steps[[#This Row],[Steps Sorted by '[RV Step PMI per kg API']]],Process_Steps[Name],0))</f>
        <v>#N/A</v>
      </c>
      <c r="X18" s="122" t="e">
        <f ca="1">INDEX(Process_Steps[RV Step PMI per kg API (METAL)],MATCH(Process_Steps[[#This Row],[Steps Sorted by '[RV Step PMI per kg API']]],Process_Steps[Name],0))</f>
        <v>#N/A</v>
      </c>
      <c r="Y18" s="122" t="e">
        <f ca="1">INDEX(Process_Steps[RV Step PMI per kg API (SOLVENT)],MATCH(Process_Steps[[#This Row],[Steps Sorted by '[RV Step PMI per kg API']]],Process_Steps[Name],0))</f>
        <v>#N/A</v>
      </c>
      <c r="Z18" s="122" t="e">
        <f ca="1">INDEX(Process_Steps[RV Step PMI per kg API (WATER)],MATCH(Process_Steps[[#This Row],[Steps Sorted by '[RV Step PMI per kg API']]],Process_Steps[Name],0))</f>
        <v>#N/A</v>
      </c>
      <c r="AA18" s="122" t="e">
        <f ca="1">INDEX(Process_Steps[RV Step PMI per kg API (ENZ&amp;PLNT)],MATCH(Process_Steps[[#This Row],[Steps Sorted by '[RV Step PMI per kg API']]],Process_Steps[Name],0))</f>
        <v>#N/A</v>
      </c>
      <c r="AB18" s="122" t="e">
        <f ca="1">INDEX(Process_Steps[RV Step PMI per kg API (OTHER)],MATCH(Process_Steps[[#This Row],[Steps Sorted by '[RV Step PMI per kg API']]],Process_Steps[Name],0))</f>
        <v>#N/A</v>
      </c>
      <c r="AC18" s="124">
        <f ca="1">IF(Process_Steps[[#This Row],[Real or Virtual?]]="Real",SUMIFS(Table_Process_Details[RV Mass Net (kg) per kg API],Table_Process_Details[Step Name],Process_Steps[[#This Row],[Name]]),NA())</f>
        <v>6.3197938429536586</v>
      </c>
      <c r="AD18" s="125">
        <f ca="1">IF(Process_Steps[[#This Row],[Real or Virtual?]]="Real",SUMIFS(Table_Process_Details[RV Mass Net (kg) per kg API (REAGENT)],Table_Process_Details[Step Name],Process_Steps[[#This Row],[Name]]),NA())</f>
        <v>0.62109008523543885</v>
      </c>
      <c r="AE18" s="125">
        <f ca="1">IF(Process_Steps[[#This Row],[Real or Virtual?]]="Real",SUMIFS(Table_Process_Details[RV Mass Net (kg) per kg API (METAL)],Table_Process_Details[Step Name],Process_Steps[[#This Row],[Name]]),NA())</f>
        <v>0</v>
      </c>
      <c r="AF18" s="125">
        <f ca="1">IF(Process_Steps[[#This Row],[Real or Virtual?]]="Real",SUMIFS(Table_Process_Details[RV Mass Net (kg) per kg API (SOLVENT)],Table_Process_Details[Step Name],Process_Steps[[#This Row],[Name]]),NA())</f>
        <v>5.6903086782335111</v>
      </c>
      <c r="AG18" s="125">
        <f ca="1">IF(Process_Steps[[#This Row],[Real or Virtual?]]="Real",SUMIFS(Table_Process_Details[RV Mass Net (kg) per kg API (WATER)],Table_Process_Details[Step Name],Process_Steps[[#This Row],[Name]]),NA())</f>
        <v>8.3950794847087885E-3</v>
      </c>
      <c r="AH18" s="125">
        <f ca="1">IF(Process_Steps[[#This Row],[Real or Virtual?]]="Real",SUMIFS(Table_Process_Details[RV Mass Net (kg) per kg API (ENZ&amp;PLNT)],Table_Process_Details[Step Name],Process_Steps[[#This Row],[Name]]),NA())</f>
        <v>0</v>
      </c>
      <c r="AI18" s="125">
        <f ca="1">IF(Process_Steps[[#This Row],[Real or Virtual?]]="Real",SUMIFS(Table_Process_Details[RV Mass Net (kg) per kg API (OTHER)],Table_Process_Details[Step Name],Process_Steps[[#This Row],[Name]]),NA())</f>
        <v>0</v>
      </c>
      <c r="AJ18" s="122" t="e">
        <f ca="1">INDEX(Process_Steps[Name if Real],MATCH(Process_Steps[[#This Row],['[RV Step Mass Net (kg) per kg API'] of Each Step Sorted by '[RV Step Mass Net (kg) per kg API']]],Process_Steps[RV Step Mass Net (kg) per kg API],0))</f>
        <v>#N/A</v>
      </c>
      <c r="AK18" s="122" t="e" cm="1">
        <f t="array" aca="1" ref="AK18" ca="1">IF(LARGE(_xlfn.IFNA(Process_Steps[RV Step Mass Net (kg) per kg API],0),Process_Steps[[#This Row],[Table Row]])=0,NA(),LARGE(_xlfn.IFNA(Process_Steps[RV Step Mass Net (kg) per kg API],0),Process_Steps[[#This Row],[Table Row]]))</f>
        <v>#N/A</v>
      </c>
      <c r="AL18" s="122" t="e">
        <f ca="1">SUM(OFFSET(Process_Steps['[RV Step Mass Net (kg) per kg API'] of Each Step Sorted by '[RV Step Mass Net (kg) per kg API']],0,0,Process_Steps[[#This Row],[Table Row]]))</f>
        <v>#N/A</v>
      </c>
      <c r="AM18" s="122" t="e">
        <f ca="1">"("&amp;TEXT(Process_Steps[[#This Row],['[RV Step Mass Net (kg) per kg API'] of Each Step Sorted by '[RV Step Mass Net (kg) per kg API']]]/SUMIF(Process_Steps['[RV Step Mass Net (kg) per kg API'] of Each Step Sorted by '[RV Step Mass Net (kg) per kg API']],"&lt;&gt;#N/A"),"0%")&amp;")"</f>
        <v>#N/A</v>
      </c>
      <c r="AN18" s="122" t="e">
        <f ca="1">INDEX(Process_Steps[RV Step Mass Net (kg) per kg API (REAGENT)],MATCH(Process_Steps[[#This Row],[Steps Sorted by '[RV Step Mass Net (kg) per kg API']]],Process_Steps[Name],0))</f>
        <v>#N/A</v>
      </c>
      <c r="AO18" s="122" t="e">
        <f ca="1">INDEX(Process_Steps[RV Step Mass Net (kg) per kg API (METAL)],MATCH(Process_Steps[[#This Row],[Steps Sorted by '[RV Step Mass Net (kg) per kg API']]],Process_Steps[Name],0))</f>
        <v>#N/A</v>
      </c>
      <c r="AP18" s="122" t="e">
        <f ca="1">INDEX(Process_Steps[RV Step Mass Net (kg) per kg API (SOLVENT)],MATCH(Process_Steps[[#This Row],[Steps Sorted by '[RV Step Mass Net (kg) per kg API']]],Process_Steps[Name],0))</f>
        <v>#N/A</v>
      </c>
      <c r="AQ18" s="122" t="e">
        <f ca="1">INDEX(Process_Steps[RV Step Mass Net (kg) per kg API (WATER)],MATCH(Process_Steps[[#This Row],[Steps Sorted by '[RV Step Mass Net (kg) per kg API']]],Process_Steps[Name],0))</f>
        <v>#N/A</v>
      </c>
      <c r="AR18" s="122" t="e">
        <f ca="1">INDEX(Process_Steps[RV Step Mass Net (kg) per kg API (ENZ&amp;PLNT)],MATCH(Process_Steps[[#This Row],[Steps Sorted by '[RV Step Mass Net (kg) per kg API']]],Process_Steps[Name],0))</f>
        <v>#N/A</v>
      </c>
      <c r="AS18" s="122" t="e">
        <f ca="1">INDEX(Process_Steps[RV Step Mass Net (kg) per kg API (OTHER)],MATCH(Process_Steps[[#This Row],[Steps Sorted by '[RV Step Mass Net (kg) per kg API']]],Process_Steps[Name],0))</f>
        <v>#N/A</v>
      </c>
      <c r="AT18" s="124">
        <f ca="1">IF(Process_Steps[[#This Row],[Real or Virtual?]]="Real",SUMIFS(Table_Process_Details[RV Energy (MJ) per kg API],Table_Process_Details[Step Name],Process_Steps[[#This Row],[Name]]),NA())</f>
        <v>244.73838749953384</v>
      </c>
      <c r="AU18" s="125">
        <f ca="1">IF(Process_Steps[[#This Row],[Real or Virtual?]]="Real",SUMIFS(Table_Process_Details[RV Energy (MJ) per kg API (REAGENT)],Table_Process_Details[Step Name],Process_Steps[[#This Row],[Name]]),NA())</f>
        <v>13.080042460169723</v>
      </c>
      <c r="AV18" s="125">
        <f ca="1">IF(Process_Steps[[#This Row],[Real or Virtual?]]="Real",SUMIFS(Table_Process_Details[RV Energy (MJ) per kg API (METAL)],Table_Process_Details[Step Name],Process_Steps[[#This Row],[Name]]),NA())</f>
        <v>0</v>
      </c>
      <c r="AW18" s="125">
        <f ca="1">IF(Process_Steps[[#This Row],[Real or Virtual?]]="Real",SUMIFS(Table_Process_Details[RV Energy (MJ) per kg API (SOLVENT)],Table_Process_Details[Step Name],Process_Steps[[#This Row],[Name]]),NA())</f>
        <v>231.55379124945932</v>
      </c>
      <c r="AX18" s="125">
        <f ca="1">IF(Process_Steps[[#This Row],[Real or Virtual?]]="Real",SUMIFS(Table_Process_Details[RV Energy (MJ) per kg API (WATER)],Table_Process_Details[Step Name],Process_Steps[[#This Row],[Name]]),NA())</f>
        <v>0.10455378990482314</v>
      </c>
      <c r="AY18" s="125">
        <f ca="1">IF(Process_Steps[[#This Row],[Real or Virtual?]]="Real",SUMIFS(Table_Process_Details[RV Energy (MJ) per kg API (ENZ&amp;PLNT)],Table_Process_Details[Step Name],Process_Steps[[#This Row],[Name]]),NA())</f>
        <v>0</v>
      </c>
      <c r="AZ18" s="125">
        <f ca="1">IF(Process_Steps[[#This Row],[Real or Virtual?]]="Real",SUMIFS(Table_Process_Details[RV Energy (MJ) per kg API (OTHER)],Table_Process_Details[Step Name],Process_Steps[[#This Row],[Name]]),NA())</f>
        <v>0</v>
      </c>
      <c r="BA18" s="122" t="e">
        <f ca="1">INDEX(Process_Steps[Name if Real],MATCH(Process_Steps[[#This Row],['[RV Step Energy (MJ) per kg API'] of Each Step Sorted by '[RV Step Energy (MJ) per kg API']]],Process_Steps[RV Step Energy (MJ) per kg API],0))</f>
        <v>#N/A</v>
      </c>
      <c r="BB18" s="122" t="e" cm="1">
        <f t="array" aca="1" ref="BB18" ca="1">IF(LARGE(_xlfn.IFNA(Process_Steps[RV Step Energy (MJ) per kg API],0),Process_Steps[[#This Row],[Table Row]])=0,NA(),LARGE(_xlfn.IFNA(Process_Steps[RV Step Energy (MJ) per kg API],0),Process_Steps[[#This Row],[Table Row]]))</f>
        <v>#N/A</v>
      </c>
      <c r="BC18" s="122" t="e">
        <f ca="1">SUM(OFFSET(Process_Steps['[RV Step Energy (MJ) per kg API'] of Each Step Sorted by '[RV Step Energy (MJ) per kg API']],0,0,Process_Steps[[#This Row],[Table Row]]))</f>
        <v>#N/A</v>
      </c>
      <c r="BD18" s="122" t="e">
        <f ca="1">"("&amp;TEXT(Process_Steps[[#This Row],['[RV Step Energy (MJ) per kg API'] of Each Step Sorted by '[RV Step Energy (MJ) per kg API']]]/SUMIF(Process_Steps['[RV Step Energy (MJ) per kg API'] of Each Step Sorted by '[RV Step Energy (MJ) per kg API']],"&lt;&gt;#N/A"),"0%")&amp;")"</f>
        <v>#N/A</v>
      </c>
      <c r="BE18" s="122" t="e">
        <f ca="1">INDEX(Process_Steps[RV Step Energy (MJ) per kg API (REAGENT)],MATCH(Process_Steps[[#This Row],[Steps Sorted by '[RV Step Energy (MJ) per kg API']]],Process_Steps[Name],0))</f>
        <v>#N/A</v>
      </c>
      <c r="BF18" s="122" t="e">
        <f ca="1">INDEX(Process_Steps[RV Step Energy (MJ) per kg API (METAL)],MATCH(Process_Steps[[#This Row],[Steps Sorted by '[RV Step Energy (MJ) per kg API']]],Process_Steps[Name],0))</f>
        <v>#N/A</v>
      </c>
      <c r="BG18" s="122" t="e">
        <f ca="1">INDEX(Process_Steps[RV Step Energy (MJ) per kg API (SOLVENT)],MATCH(Process_Steps[[#This Row],[Steps Sorted by '[RV Step Energy (MJ) per kg API']]],Process_Steps[Name],0))</f>
        <v>#N/A</v>
      </c>
      <c r="BH18" s="122" t="e">
        <f ca="1">INDEX(Process_Steps[RV Step Energy (MJ) per kg API (WATER)],MATCH(Process_Steps[[#This Row],[Steps Sorted by '[RV Step Energy (MJ) per kg API']]],Process_Steps[Name],0))</f>
        <v>#N/A</v>
      </c>
      <c r="BI18" s="122" t="e">
        <f ca="1">INDEX(Process_Steps[RV Step Energy (MJ) per kg API (ENZ&amp;PLNT)],MATCH(Process_Steps[[#This Row],[Steps Sorted by '[RV Step Energy (MJ) per kg API']]],Process_Steps[Name],0))</f>
        <v>#N/A</v>
      </c>
      <c r="BJ18" s="122" t="e">
        <f ca="1">INDEX(Process_Steps[RV Step Energy (MJ) per kg API (OTHER)],MATCH(Process_Steps[[#This Row],[Steps Sorted by '[RV Step Energy (MJ) per kg API']]],Process_Steps[Name],0))</f>
        <v>#N/A</v>
      </c>
      <c r="BK18" s="124">
        <f ca="1">IF(Process_Steps[[#This Row],[Real or Virtual?]]="Real",SUMIFS(Table_Process_Details[RV GWP (kg CO2 equiv.) per kg API],Table_Process_Details[Step Name],Process_Steps[[#This Row],[Name]]),NA())</f>
        <v>7.2868960784397085</v>
      </c>
      <c r="BL18" s="125">
        <f ca="1">IF(Process_Steps[[#This Row],[Real or Virtual?]]="Real",SUMIFS(Table_Process_Details[RV GWP (kg CO2 equiv.) per kg API (REAGENT)],Table_Process_Details[Step Name],Process_Steps[[#This Row],[Name]]),NA())</f>
        <v>0.70750494723838131</v>
      </c>
      <c r="BM18" s="125">
        <f ca="1">IF(Process_Steps[[#This Row],[Real or Virtual?]]="Real",SUMIFS(Table_Process_Details[RV GWP (kg CO2 equiv.) per kg API (METAL)],Table_Process_Details[Step Name],Process_Steps[[#This Row],[Name]]),NA())</f>
        <v>0</v>
      </c>
      <c r="BN18" s="125">
        <f ca="1">IF(Process_Steps[[#This Row],[Real or Virtual?]]="Real",SUMIFS(Table_Process_Details[RV GWP (kg CO2 equiv.) per kg API (SOLVENT)],Table_Process_Details[Step Name],Process_Steps[[#This Row],[Name]]),NA())</f>
        <v>6.5738187413510456</v>
      </c>
      <c r="BO18" s="125">
        <f ca="1">IF(Process_Steps[[#This Row],[Real or Virtual?]]="Real",SUMIFS(Table_Process_Details[RV GWP (kg CO2 equiv.) per kg API (WATER)],Table_Process_Details[Step Name],Process_Steps[[#This Row],[Name]]),NA())</f>
        <v>5.5723898502809113E-3</v>
      </c>
      <c r="BP18" s="125">
        <f ca="1">IF(Process_Steps[[#This Row],[Real or Virtual?]]="Real",SUMIFS(Table_Process_Details[RV GWP (kg CO2 equiv.) per kg API (ENZ&amp;PLNT)],Table_Process_Details[Step Name],Process_Steps[[#This Row],[Name]]),NA())</f>
        <v>0</v>
      </c>
      <c r="BQ18" s="125">
        <f ca="1">IF(Process_Steps[[#This Row],[Real or Virtual?]]="Real",SUMIFS(Table_Process_Details[RV GWP (kg CO2 equiv.) per kg API (OTHER)],Table_Process_Details[Step Name],Process_Steps[[#This Row],[Name]]),NA())</f>
        <v>0</v>
      </c>
      <c r="BR18" s="122" t="e">
        <f ca="1">INDEX(Process_Steps[Name if Real],MATCH(Process_Steps[[#This Row],['[RV Step GWP (kg CO2 equiv.) per kg API'] of Each Step Sorted by '[RV Step GWP (kg CO2 equiv.) per kg API']]],Process_Steps[RV Step GWP (kg CO2 equiv.) per kg API],0))</f>
        <v>#N/A</v>
      </c>
      <c r="BS18" s="122" t="e" cm="1">
        <f t="array" aca="1" ref="BS18" ca="1">IF(LARGE(_xlfn.IFNA(Process_Steps[RV Step GWP (kg CO2 equiv.) per kg API],0),Process_Steps[[#This Row],[Table Row]])=0,NA(),LARGE(_xlfn.IFNA(Process_Steps[RV Step GWP (kg CO2 equiv.) per kg API],0),Process_Steps[[#This Row],[Table Row]]))</f>
        <v>#N/A</v>
      </c>
      <c r="BT18" s="122" t="e">
        <f ca="1">SUM(OFFSET(Process_Steps['[RV Step GWP (kg CO2 equiv.) per kg API'] of Each Step Sorted by '[RV Step GWP (kg CO2 equiv.) per kg API']],0,0,Process_Steps[[#This Row],[Table Row]]))</f>
        <v>#N/A</v>
      </c>
      <c r="BU18" s="122" t="e">
        <f ca="1">"("&amp;TEXT(Process_Steps[[#This Row],['[RV Step GWP (kg CO2 equiv.) per kg API'] of Each Step Sorted by '[RV Step GWP (kg CO2 equiv.) per kg API']]]/SUMIF(Process_Steps['[RV Step GWP (kg CO2 equiv.) per kg API'] of Each Step Sorted by '[RV Step GWP (kg CO2 equiv.) per kg API']],"&lt;&gt;#N/A"),"0%")&amp;")"</f>
        <v>#N/A</v>
      </c>
      <c r="BV18" s="122" t="e">
        <f ca="1">INDEX(Process_Steps[RV Step GWP (kg CO2 equiv.) per kg API (REAGENT)],MATCH(Process_Steps[[#This Row],[Steps Sorted by '[RV Step GWP (kg CO2 equiv.) per kg API']]],Process_Steps[Name],0))</f>
        <v>#N/A</v>
      </c>
      <c r="BW18" s="122" t="e">
        <f ca="1">INDEX(Process_Steps[RV Step GWP (kg CO2 equiv.) per kg API (METAL)],MATCH(Process_Steps[[#This Row],[Steps Sorted by '[RV Step GWP (kg CO2 equiv.) per kg API']]],Process_Steps[Name],0))</f>
        <v>#N/A</v>
      </c>
      <c r="BX18" s="122" t="e">
        <f ca="1">INDEX(Process_Steps[RV Step GWP (kg CO2 equiv.) per kg API (SOLVENT)],MATCH(Process_Steps[[#This Row],[Steps Sorted by '[RV Step GWP (kg CO2 equiv.) per kg API']]],Process_Steps[Name],0))</f>
        <v>#N/A</v>
      </c>
      <c r="BY18" s="122" t="e">
        <f ca="1">INDEX(Process_Steps[RV Step GWP (kg CO2 equiv.) per kg API (WATER)],MATCH(Process_Steps[[#This Row],[Steps Sorted by '[RV Step GWP (kg CO2 equiv.) per kg API']]],Process_Steps[Name],0))</f>
        <v>#N/A</v>
      </c>
      <c r="BZ18" s="122" t="e">
        <f ca="1">INDEX(Process_Steps[RV Step GWP (kg CO2 equiv.) per kg API (ENZ&amp;PLNT)],MATCH(Process_Steps[[#This Row],[Steps Sorted by '[RV Step GWP (kg CO2 equiv.) per kg API']]],Process_Steps[Name],0))</f>
        <v>#N/A</v>
      </c>
      <c r="CA18" s="122" t="e">
        <f ca="1">INDEX(Process_Steps[RV Step GWP (kg CO2 equiv.) per kg API (OTHER)],MATCH(Process_Steps[[#This Row],[Steps Sorted by '[RV Step GWP (kg CO2 equiv.) per kg API']]],Process_Steps[Name],0))</f>
        <v>#N/A</v>
      </c>
      <c r="CB18" s="124">
        <f ca="1">IF(Process_Steps[[#This Row],[Real or Virtual?]]="Real",SUMIFS(Table_Process_Details[RV Acidification (kg SO2 equiv.) per kg API],Table_Process_Details[Step Name],Process_Steps[[#This Row],[Name]]),NA())</f>
        <v>2.9102777000424053E-2</v>
      </c>
      <c r="CC18" s="125">
        <f ca="1">IF(Process_Steps[[#This Row],[Real or Virtual?]]="Real",SUMIFS(Table_Process_Details[RV Acidification (kg SO2 equiv.) per kg API (REAGENT)],Table_Process_Details[Step Name],Process_Steps[[#This Row],[Name]]),NA())</f>
        <v>4.9864031373803774E-3</v>
      </c>
      <c r="CD18" s="125">
        <f ca="1">IF(Process_Steps[[#This Row],[Real or Virtual?]]="Real",SUMIFS(Table_Process_Details[RV Acidification (kg SO2 equiv.) per kg API (METAL)],Table_Process_Details[Step Name],Process_Steps[[#This Row],[Name]]),NA())</f>
        <v>0</v>
      </c>
      <c r="CE18" s="125">
        <f ca="1">IF(Process_Steps[[#This Row],[Real or Virtual?]]="Real",SUMIFS(Table_Process_Details[RV Acidification (kg SO2 equiv.) per kg API (SOLVENT)],Table_Process_Details[Step Name],Process_Steps[[#This Row],[Name]]),NA())</f>
        <v>2.4095025338618153E-2</v>
      </c>
      <c r="CF18" s="125">
        <f ca="1">IF(Process_Steps[[#This Row],[Real or Virtual?]]="Real",SUMIFS(Table_Process_Details[RV Acidification (kg SO2 equiv.) per kg API (WATER)],Table_Process_Details[Step Name],Process_Steps[[#This Row],[Name]]),NA())</f>
        <v>2.1348524425521339E-5</v>
      </c>
      <c r="CG18" s="125">
        <f ca="1">IF(Process_Steps[[#This Row],[Real or Virtual?]]="Real",SUMIFS(Table_Process_Details[RV Acidification (kg SO2 equiv.) per kg API (ENZ&amp;PLNT)],Table_Process_Details[Step Name],Process_Steps[[#This Row],[Name]]),NA())</f>
        <v>0</v>
      </c>
      <c r="CH18" s="125">
        <f ca="1">IF(Process_Steps[[#This Row],[Real or Virtual?]]="Real",SUMIFS(Table_Process_Details[RV Acidification (kg SO2 equiv.) per kg API (OTHER)],Table_Process_Details[Step Name],Process_Steps[[#This Row],[Name]]),NA())</f>
        <v>0</v>
      </c>
      <c r="CI18" s="122" t="e">
        <f ca="1">INDEX(Process_Steps[Name if Real],MATCH(Process_Steps[[#This Row],['[RV Step Acidification (kg SO2 equiv.) per kg API'] of Each Step Sorted by '[RV Step Acidification (kg SO2 equiv.) per kg API']]],Process_Steps[RV Step Acidification (kg SO2 equiv.) per kg API],0))</f>
        <v>#N/A</v>
      </c>
      <c r="CJ18" s="122" t="e" cm="1">
        <f t="array" aca="1" ref="CJ18" ca="1">IF(LARGE(_xlfn.IFNA(Process_Steps[RV Step Acidification (kg SO2 equiv.) per kg API],0),Process_Steps[[#This Row],[Table Row]])=0,NA(),LARGE(_xlfn.IFNA(Process_Steps[RV Step Acidification (kg SO2 equiv.) per kg API],0),Process_Steps[[#This Row],[Table Row]]))</f>
        <v>#N/A</v>
      </c>
      <c r="CK18" s="122" t="e">
        <f ca="1">SUM(OFFSET(Process_Steps['[RV Step Acidification (kg SO2 equiv.) per kg API'] of Each Step Sorted by '[RV Step Acidification (kg SO2 equiv.) per kg API']],0,0,Process_Steps[[#This Row],[Table Row]]))</f>
        <v>#N/A</v>
      </c>
      <c r="CL18" s="122"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8" s="122" t="e">
        <f ca="1">INDEX(Process_Steps[RV Step Acidification (kg SO2 equiv.) per kg API (REAGENT)],MATCH(Process_Steps[[#This Row],[Steps Sorted by '[RV Step Acidification (kg SO2 equiv.) per kg API']]],Process_Steps[Name],0))</f>
        <v>#N/A</v>
      </c>
      <c r="CN18" s="122" t="e">
        <f ca="1">INDEX(Process_Steps[RV Step Acidification (kg SO2 equiv.) per kg API (METAL)],MATCH(Process_Steps[[#This Row],[Steps Sorted by '[RV Step Acidification (kg SO2 equiv.) per kg API']]],Process_Steps[Name],0))</f>
        <v>#N/A</v>
      </c>
      <c r="CO18" s="122" t="e">
        <f ca="1">INDEX(Process_Steps[RV Step Acidification (kg SO2 equiv.) per kg API (SOLVENT)],MATCH(Process_Steps[[#This Row],[Steps Sorted by '[RV Step Acidification (kg SO2 equiv.) per kg API']]],Process_Steps[Name],0))</f>
        <v>#N/A</v>
      </c>
      <c r="CP18" s="122" t="e">
        <f ca="1">INDEX(Process_Steps[RV Step Acidification (kg SO2 equiv.) per kg API (WATER)],MATCH(Process_Steps[[#This Row],[Steps Sorted by '[RV Step Acidification (kg SO2 equiv.) per kg API']]],Process_Steps[Name],0))</f>
        <v>#N/A</v>
      </c>
      <c r="CQ18" s="122" t="e">
        <f ca="1">INDEX(Process_Steps[RV Step Acidification (kg SO2 equiv.) per kg API (ENZ&amp;PLNT)],MATCH(Process_Steps[[#This Row],[Steps Sorted by '[RV Step Acidification (kg SO2 equiv.) per kg API']]],Process_Steps[Name],0))</f>
        <v>#N/A</v>
      </c>
      <c r="CR18" s="122" t="e">
        <f ca="1">INDEX(Process_Steps[RV Step Acidification (kg SO2 equiv.) per kg API (OTHER)],MATCH(Process_Steps[[#This Row],[Steps Sorted by '[RV Step Acidification (kg SO2 equiv.) per kg API']]],Process_Steps[Name],0))</f>
        <v>#N/A</v>
      </c>
      <c r="CS18" s="124">
        <f ca="1">IF(Process_Steps[[#This Row],[Real or Virtual?]]="Real",SUMIFS(Table_Process_Details[RV Eutrophication (kg phosphate equiv.) per kg API],Table_Process_Details[Step Name],Process_Steps[[#This Row],[Name]]),NA())</f>
        <v>0.18831447032109466</v>
      </c>
      <c r="CT18" s="125">
        <f ca="1">IF(Process_Steps[[#This Row],[Real or Virtual?]]="Real",SUMIFS(Table_Process_Details[RV Eutrophication (kg phosphate equiv.) per kg API (REAGENT)],Table_Process_Details[Step Name],Process_Steps[[#This Row],[Name]]),NA())</f>
        <v>1.4284233660345489E-3</v>
      </c>
      <c r="CU18" s="125">
        <f ca="1">IF(Process_Steps[[#This Row],[Real or Virtual?]]="Real",SUMIFS(Table_Process_Details[RV Eutrophication (kg phosphate equiv.) per kg API (METAL)],Table_Process_Details[Step Name],Process_Steps[[#This Row],[Name]]),NA())</f>
        <v>0</v>
      </c>
      <c r="CV18" s="125">
        <f ca="1">IF(Process_Steps[[#This Row],[Real or Virtual?]]="Real",SUMIFS(Table_Process_Details[RV Eutrophication (kg phosphate equiv.) per kg API (SOLVENT)],Table_Process_Details[Step Name],Process_Steps[[#This Row],[Name]]),NA())</f>
        <v>0.18687332941100285</v>
      </c>
      <c r="CW18" s="125">
        <f ca="1">IF(Process_Steps[[#This Row],[Real or Virtual?]]="Real",SUMIFS(Table_Process_Details[RV Eutrophication (kg phosphate equiv.) per kg API (WATER)],Table_Process_Details[Step Name],Process_Steps[[#This Row],[Name]]),NA())</f>
        <v>1.2717544057242678E-5</v>
      </c>
      <c r="CX18" s="125">
        <f ca="1">IF(Process_Steps[[#This Row],[Real or Virtual?]]="Real",SUMIFS(Table_Process_Details[RV Eutrophication (kg phosphate equiv.) per kg API (ENZ&amp;PLNT)],Table_Process_Details[Step Name],Process_Steps[[#This Row],[Name]]),NA())</f>
        <v>0</v>
      </c>
      <c r="CY18" s="125">
        <f ca="1">IF(Process_Steps[[#This Row],[Real or Virtual?]]="Real",SUMIFS(Table_Process_Details[RV Eutrophication (kg phosphate equiv.) per kg API (OTHER)],Table_Process_Details[Step Name],Process_Steps[[#This Row],[Name]]),NA())</f>
        <v>0</v>
      </c>
      <c r="CZ18" s="122" t="e">
        <f ca="1">INDEX(Process_Steps[Name if Real],MATCH(Process_Steps[[#This Row],['[RV Step Eutrophication (kg phosphate equiv.) per kg API'] of Each Step Sorted by '[RV Step Eutrophication (kg phosphate equiv.) per kg API']]],Process_Steps[RV Step Eutrophication (kg posphate equiv.) per kg API],0))</f>
        <v>#N/A</v>
      </c>
      <c r="DA18" s="122" t="e" cm="1">
        <f t="array" aca="1" ref="DA18" ca="1">IF(LARGE(_xlfn.IFNA(Process_Steps[RV Step Eutrophication (kg posphate equiv.) per kg API],0),Process_Steps[[#This Row],[Table Row]])=0,NA(),LARGE(_xlfn.IFNA(Process_Steps[RV Step Eutrophication (kg posphate equiv.) per kg API],0),Process_Steps[[#This Row],[Table Row]]))</f>
        <v>#N/A</v>
      </c>
      <c r="DB18" s="122" t="e">
        <f ca="1">SUM(OFFSET(Process_Steps['[RV Step Eutrophication (kg phosphate equiv.) per kg API'] of Each Step Sorted by '[RV Step Eutrophication (kg phosphate equiv.) per kg API']],0,0,Process_Steps[[#This Row],[Table Row]]))</f>
        <v>#N/A</v>
      </c>
      <c r="DC18" s="122"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8" s="122" t="e">
        <f ca="1">INDEX(Process_Steps[RV Step Eutrophication (kg posphate equiv.) per kg API (REAGENT)],MATCH(Process_Steps[[#This Row],[Steps Sorted by '[RV Step Eutrophication (kg phosphate equiv.) per kg API']]],Process_Steps[Name],0))</f>
        <v>#N/A</v>
      </c>
      <c r="DE18" s="122" t="e">
        <f ca="1">INDEX(Process_Steps[RV Step Eutrophication (kg posphate equiv.) per kg API (METAL)],MATCH(Process_Steps[[#This Row],[Steps Sorted by '[RV Step Eutrophication (kg phosphate equiv.) per kg API']]],Process_Steps[Name],0))</f>
        <v>#N/A</v>
      </c>
      <c r="DF18" s="122" t="e">
        <f ca="1">INDEX(Process_Steps[RV Step Eutrophication (kg posphate equiv.) per kg API (SOLVENT)],MATCH(Process_Steps[[#This Row],[Steps Sorted by '[RV Step Eutrophication (kg phosphate equiv.) per kg API']]],Process_Steps[Name],0))</f>
        <v>#N/A</v>
      </c>
      <c r="DG18" s="122" t="e">
        <f ca="1">INDEX(Process_Steps[RV Step Eutrophication (kg posphate equiv.) per kg API (WATER)],MATCH(Process_Steps[[#This Row],[Steps Sorted by '[RV Step Eutrophication (kg phosphate equiv.) per kg API']]],Process_Steps[Name],0))</f>
        <v>#N/A</v>
      </c>
      <c r="DH18" s="122" t="e">
        <f ca="1">INDEX(Process_Steps[RV Step Eutrophication (kg posphate equiv.) per kg API (ENZ&amp;PLNT)],MATCH(Process_Steps[[#This Row],[Steps Sorted by '[RV Step Eutrophication (kg phosphate equiv.) per kg API']]],Process_Steps[Name],0))</f>
        <v>#N/A</v>
      </c>
      <c r="DI18" s="122" t="e">
        <f ca="1">INDEX(Process_Steps[RV Step Eutrophication (kg posphate equiv.) per kg API (OTHER)],MATCH(Process_Steps[[#This Row],[Steps Sorted by '[RV Step Eutrophication (kg phosphate equiv.) per kg API']]],Process_Steps[Name],0))</f>
        <v>#N/A</v>
      </c>
      <c r="DJ18" s="124">
        <f ca="1">IF(Process_Steps[[#This Row],[Real or Virtual?]]="Real",SUMIFS(Table_Process_Details[RV Water (kg) per kg API],Table_Process_Details[Step Name],Process_Steps[[#This Row],[Name]]),NA())</f>
        <v>31.238709221217242</v>
      </c>
      <c r="DK18" s="125">
        <f ca="1">IF(Process_Steps[[#This Row],[Real or Virtual?]]="Real",SUMIFS(Table_Process_Details[RV Water (kg) per kg API (REAGENT)],Table_Process_Details[Step Name],Process_Steps[[#This Row],[Name]]),NA())</f>
        <v>2.2243783319686297</v>
      </c>
      <c r="DL18" s="125">
        <f ca="1">IF(Process_Steps[[#This Row],[Real or Virtual?]]="Real",SUMIFS(Table_Process_Details[RV Water (kg) per kg API (METAL)],Table_Process_Details[Step Name],Process_Steps[[#This Row],[Name]]),NA())</f>
        <v>0</v>
      </c>
      <c r="DM18" s="125">
        <f ca="1">IF(Process_Steps[[#This Row],[Real or Virtual?]]="Real",SUMIFS(Table_Process_Details[RV Water (kg) per kg API (SOLVENT)],Table_Process_Details[Step Name],Process_Steps[[#This Row],[Name]]),NA())</f>
        <v>22.083561360961383</v>
      </c>
      <c r="DN18" s="125">
        <f ca="1">IF(Process_Steps[[#This Row],[Real or Virtual?]]="Real",SUMIFS(Table_Process_Details[RV Water (kg) per kg API (WATER)],Table_Process_Details[Step Name],Process_Steps[[#This Row],[Name]]),NA())</f>
        <v>6.9307695282872261</v>
      </c>
      <c r="DO18" s="125">
        <f ca="1">IF(Process_Steps[[#This Row],[Real or Virtual?]]="Real",SUMIFS(Table_Process_Details[RV Water (kg) per kg API (ENZ&amp;PLNT)],Table_Process_Details[Step Name],Process_Steps[[#This Row],[Name]]),NA())</f>
        <v>0</v>
      </c>
      <c r="DP18" s="125">
        <f ca="1">IF(Process_Steps[[#This Row],[Real or Virtual?]]="Real",SUMIFS(Table_Process_Details[RV Water (kg) per kg API (OTHER)],Table_Process_Details[Step Name],Process_Steps[[#This Row],[Name]]),NA())</f>
        <v>0</v>
      </c>
      <c r="DQ18" s="122" t="e">
        <f ca="1">INDEX(Process_Steps[Name if Real],MATCH(Process_Steps[[#This Row],['[RV Step Water (kg) per kg API'] of Each Step Sorted by '[RV Step Water (kg) per kg API']]],Process_Steps[RV Step Water (kg) per kg API],0))</f>
        <v>#N/A</v>
      </c>
      <c r="DR18" s="122" t="e" cm="1">
        <f t="array" aca="1" ref="DR18" ca="1">IF(LARGE(_xlfn.IFNA(Process_Steps[RV Step Water (kg) per kg API],0),Process_Steps[[#This Row],[Table Row]])=0,NA(),LARGE(_xlfn.IFNA(Process_Steps[RV Step Water (kg) per kg API],0),Process_Steps[[#This Row],[Table Row]]))</f>
        <v>#N/A</v>
      </c>
      <c r="DS18" s="122" t="e">
        <f ca="1">SUM(OFFSET(Process_Steps['[RV Step Water (kg) per kg API'] of Each Step Sorted by '[RV Step Water (kg) per kg API']],0,0,Process_Steps[[#This Row],[Table Row]]))</f>
        <v>#N/A</v>
      </c>
      <c r="DT18" s="122" t="e">
        <f ca="1">"("&amp;TEXT(Process_Steps[[#This Row],['[RV Step Water (kg) per kg API'] of Each Step Sorted by '[RV Step Water (kg) per kg API']]]/SUMIF(Process_Steps['[RV Step Water (kg) per kg API'] of Each Step Sorted by '[RV Step Water (kg) per kg API']],"&lt;&gt;#N/A"),"0%")&amp;")"</f>
        <v>#N/A</v>
      </c>
      <c r="DU18" s="122" t="e">
        <f ca="1">INDEX(Process_Steps[RV Step Water (kg) per kg API (REAGENT)],MATCH(Process_Steps[[#This Row],[Steps Sorted by '[RV Step Water (kg) per kg API']]],Process_Steps[Name],0))</f>
        <v>#N/A</v>
      </c>
      <c r="DV18" s="122" t="e">
        <f ca="1">INDEX(Process_Steps[RV Step Water (kg) per kg API (METAL)],MATCH(Process_Steps[[#This Row],[Steps Sorted by '[RV Step Water (kg) per kg API']]],Process_Steps[Name],0))</f>
        <v>#N/A</v>
      </c>
      <c r="DW18" s="122" t="e">
        <f ca="1">INDEX(Process_Steps[RV Step Water (kg) per kg API (SOLVENT)],MATCH(Process_Steps[[#This Row],[Steps Sorted by '[RV Step Water (kg) per kg API']]],Process_Steps[Name],0))</f>
        <v>#N/A</v>
      </c>
      <c r="DX18" s="122" t="e">
        <f ca="1">INDEX(Process_Steps[RV Step Water (kg) per kg API (WATER)],MATCH(Process_Steps[[#This Row],[Steps Sorted by '[RV Step Water (kg) per kg API']]],Process_Steps[Name],0))</f>
        <v>#N/A</v>
      </c>
      <c r="DY18" s="122" t="e">
        <f ca="1">INDEX(Process_Steps[RV Step Water (kg) per kg API (ENZ&amp;PLNT)],MATCH(Process_Steps[[#This Row],[Steps Sorted by '[RV Step Water (kg) per kg API']]],Process_Steps[Name],0))</f>
        <v>#N/A</v>
      </c>
      <c r="DZ18" s="122" t="e">
        <f ca="1">INDEX(Process_Steps[RV Step Water (kg) per kg API (OTHER)],MATCH(Process_Steps[[#This Row],[Steps Sorted by '[RV Step Water (kg) per kg API']]],Process_Steps[Name],0))</f>
        <v>#N/A</v>
      </c>
    </row>
    <row r="19" spans="1:130" x14ac:dyDescent="0.25">
      <c r="A19" t="s">
        <v>796</v>
      </c>
      <c r="B19" t="s">
        <v>175</v>
      </c>
      <c r="C19" t="s">
        <v>797</v>
      </c>
      <c r="D19" t="s">
        <v>844</v>
      </c>
      <c r="F19" s="25">
        <f>INDEX(Table_Process_Details[Physical Mass (kg)],MATCH(1,INDEX((Process_Steps[[#This Row],[Name]]=Table_Process_Details[Step Name])*(Table_Process_Details[Input or Output]="Output"),0),0))</f>
        <v>100</v>
      </c>
      <c r="G19" s="25" cm="1">
        <f t="array" aca="1" ref="G19"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2.2022389429254559</v>
      </c>
      <c r="H19" s="28">
        <f ca="1">Process_Steps[[#This Row],[Total Mass that must be produced]]/Process_Steps[[#This Row],[Unscaled Step Product Mass]]</f>
        <v>2.2022389429254559E-2</v>
      </c>
      <c r="I19" s="23" t="e">
        <f>IF(Process_Steps[[#This Row],[Real or Virtual?]]="Real",Process_Steps[[#This Row],[Name]],NA())</f>
        <v>#N/A</v>
      </c>
      <c r="J19" s="30">
        <f>ROW()-ROW(Process_Steps[[#Headers],[Table Row]])</f>
        <v>13</v>
      </c>
      <c r="K19"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19" s="118" t="e">
        <f>IF(Process_Steps[[#This Row],[Real or Virtual?]]="Real",SUMIFS(Table_Process_Details[RV Physical Mass per kg API],Table_Process_Details[Input or Output],"Input",Table_Process_Details[Step Name],Process_Steps[[#This Row],[Name]]),NA())</f>
        <v>#N/A</v>
      </c>
      <c r="M19" s="20" t="e">
        <f>IF(Process_Steps[[#This Row],[Real or Virtual?]]="Real",SUMIFS(Table_Process_Details[RV Physical Mass per kg API (REAGENT)],Table_Process_Details[Input or Output],"Input",Table_Process_Details[Step Name],Process_Steps[[#This Row],[Name]]),NA())</f>
        <v>#N/A</v>
      </c>
      <c r="N19" s="20" t="e">
        <f>IF(Process_Steps[[#This Row],[Real or Virtual?]]="Real",SUMIFS(Table_Process_Details[RV Physical Mass per kg API (METAL)],Table_Process_Details[Input or Output],"Input",Table_Process_Details[Step Name],Process_Steps[[#This Row],[Name]]),NA())</f>
        <v>#N/A</v>
      </c>
      <c r="O19" s="20" t="e">
        <f>IF(Process_Steps[[#This Row],[Real or Virtual?]]="Real",SUMIFS(Table_Process_Details[RV Physical Mass per kg API (SOLVENT)],Table_Process_Details[Input or Output],"Input",Table_Process_Details[Step Name],Process_Steps[[#This Row],[Name]]),NA())</f>
        <v>#N/A</v>
      </c>
      <c r="P19" s="20" t="e">
        <f>IF(Process_Steps[[#This Row],[Real or Virtual?]]="Real",SUMIFS(Table_Process_Details[RV Physical Mass per kg API (WATER)],Table_Process_Details[Input or Output],"Input",Table_Process_Details[Step Name],Process_Steps[[#This Row],[Name]]),NA())</f>
        <v>#N/A</v>
      </c>
      <c r="Q19" s="20" t="e">
        <f>IF(Process_Steps[[#This Row],[Real or Virtual?]]="Real",SUMIFS(Table_Process_Details[RV Physical Mass per kg API (ENZ&amp;PLNT)],Table_Process_Details[Input or Output],"Input",Table_Process_Details[Step Name],Process_Steps[[#This Row],[Name]]),NA())</f>
        <v>#N/A</v>
      </c>
      <c r="R19" s="20" t="e">
        <f>IF(Process_Steps[[#This Row],[Real or Virtual?]]="Real",SUMIFS(Table_Process_Details[RV Physical Mass per kg API (OTHER)],Table_Process_Details[Input or Output],"Input",Table_Process_Details[Step Name],Process_Steps[[#This Row],[Name]]),NA())</f>
        <v>#N/A</v>
      </c>
      <c r="S19" s="118" t="e">
        <f ca="1">INDEX(Process_Steps[Name if Real],MATCH(Process_Steps[[#This Row],['[RV Step PMI per kg API'] of Each Step Sorted by '[RV Step PMI per kg API']]],Process_Steps[RV Step PMI per kg API],0))</f>
        <v>#N/A</v>
      </c>
      <c r="T19" s="118" t="e" cm="1">
        <f t="array" aca="1" ref="T19" ca="1">IF(LARGE(_xlfn.IFNA(Process_Steps[RV Step PMI per kg API],0),Process_Steps[[#This Row],[Table Row]])=0,NA(),LARGE(_xlfn.IFNA(Process_Steps[RV Step PMI per kg API],0),Process_Steps[[#This Row],[Table Row]]))</f>
        <v>#N/A</v>
      </c>
      <c r="U19" s="118" t="e">
        <f ca="1">SUM(OFFSET(Process_Steps['[RV Step PMI per kg API'] of Each Step Sorted by '[RV Step PMI per kg API']],0,0,Process_Steps[[#This Row],[Table Row]]))</f>
        <v>#N/A</v>
      </c>
      <c r="V19" s="118" t="e">
        <f ca="1">"("&amp;TEXT(Process_Steps[[#This Row],['[RV Step PMI per kg API'] of Each Step Sorted by '[RV Step PMI per kg API']]]/SUMIF(Process_Steps['[RV Step PMI per kg API'] of Each Step Sorted by '[RV Step PMI per kg API']],"&lt;&gt;#N/A"),"0%")&amp;")"</f>
        <v>#N/A</v>
      </c>
      <c r="W19" s="23" t="e">
        <f ca="1">INDEX(Process_Steps[RV Step PMI per kg API (REAGENT)],MATCH(Process_Steps[[#This Row],[Steps Sorted by '[RV Step PMI per kg API']]],Process_Steps[Name],0))</f>
        <v>#N/A</v>
      </c>
      <c r="X19" s="23" t="e">
        <f ca="1">INDEX(Process_Steps[RV Step PMI per kg API (METAL)],MATCH(Process_Steps[[#This Row],[Steps Sorted by '[RV Step PMI per kg API']]],Process_Steps[Name],0))</f>
        <v>#N/A</v>
      </c>
      <c r="Y19" s="23" t="e">
        <f ca="1">INDEX(Process_Steps[RV Step PMI per kg API (SOLVENT)],MATCH(Process_Steps[[#This Row],[Steps Sorted by '[RV Step PMI per kg API']]],Process_Steps[Name],0))</f>
        <v>#N/A</v>
      </c>
      <c r="Z19" s="23" t="e">
        <f ca="1">INDEX(Process_Steps[RV Step PMI per kg API (WATER)],MATCH(Process_Steps[[#This Row],[Steps Sorted by '[RV Step PMI per kg API']]],Process_Steps[Name],0))</f>
        <v>#N/A</v>
      </c>
      <c r="AA19" s="23" t="e">
        <f ca="1">INDEX(Process_Steps[RV Step PMI per kg API (ENZ&amp;PLNT)],MATCH(Process_Steps[[#This Row],[Steps Sorted by '[RV Step PMI per kg API']]],Process_Steps[Name],0))</f>
        <v>#N/A</v>
      </c>
      <c r="AB19" s="23" t="e">
        <f ca="1">INDEX(Process_Steps[RV Step PMI per kg API (OTHER)],MATCH(Process_Steps[[#This Row],[Steps Sorted by '[RV Step PMI per kg API']]],Process_Steps[Name],0))</f>
        <v>#N/A</v>
      </c>
      <c r="AC19" s="118" t="e">
        <f>IF(Process_Steps[[#This Row],[Real or Virtual?]]="Real",SUMIFS(Table_Process_Details[RV Mass Net (kg) per kg API],Table_Process_Details[Step Name],Process_Steps[[#This Row],[Name]]),NA())</f>
        <v>#N/A</v>
      </c>
      <c r="AD19" s="20" t="e">
        <f>IF(Process_Steps[[#This Row],[Real or Virtual?]]="Real",SUMIFS(Table_Process_Details[RV Mass Net (kg) per kg API (REAGENT)],Table_Process_Details[Step Name],Process_Steps[[#This Row],[Name]]),NA())</f>
        <v>#N/A</v>
      </c>
      <c r="AE19" s="20" t="e">
        <f>IF(Process_Steps[[#This Row],[Real or Virtual?]]="Real",SUMIFS(Table_Process_Details[RV Mass Net (kg) per kg API (METAL)],Table_Process_Details[Step Name],Process_Steps[[#This Row],[Name]]),NA())</f>
        <v>#N/A</v>
      </c>
      <c r="AF19" s="20" t="e">
        <f>IF(Process_Steps[[#This Row],[Real or Virtual?]]="Real",SUMIFS(Table_Process_Details[RV Mass Net (kg) per kg API (SOLVENT)],Table_Process_Details[Step Name],Process_Steps[[#This Row],[Name]]),NA())</f>
        <v>#N/A</v>
      </c>
      <c r="AG19" s="20" t="e">
        <f>IF(Process_Steps[[#This Row],[Real or Virtual?]]="Real",SUMIFS(Table_Process_Details[RV Mass Net (kg) per kg API (WATER)],Table_Process_Details[Step Name],Process_Steps[[#This Row],[Name]]),NA())</f>
        <v>#N/A</v>
      </c>
      <c r="AH19" s="20" t="e">
        <f>IF(Process_Steps[[#This Row],[Real or Virtual?]]="Real",SUMIFS(Table_Process_Details[RV Mass Net (kg) per kg API (ENZ&amp;PLNT)],Table_Process_Details[Step Name],Process_Steps[[#This Row],[Name]]),NA())</f>
        <v>#N/A</v>
      </c>
      <c r="AI19" s="20" t="e">
        <f>IF(Process_Steps[[#This Row],[Real or Virtual?]]="Real",SUMIFS(Table_Process_Details[RV Mass Net (kg) per kg API (OTHER)],Table_Process_Details[Step Name],Process_Steps[[#This Row],[Name]]),NA())</f>
        <v>#N/A</v>
      </c>
      <c r="AJ19" s="23" t="e">
        <f ca="1">INDEX(Process_Steps[Name if Real],MATCH(Process_Steps[[#This Row],['[RV Step Mass Net (kg) per kg API'] of Each Step Sorted by '[RV Step Mass Net (kg) per kg API']]],Process_Steps[RV Step Mass Net (kg) per kg API],0))</f>
        <v>#N/A</v>
      </c>
      <c r="AK19" s="23" t="e" cm="1">
        <f t="array" aca="1" ref="AK19" ca="1">IF(LARGE(_xlfn.IFNA(Process_Steps[RV Step Mass Net (kg) per kg API],0),Process_Steps[[#This Row],[Table Row]])=0,NA(),LARGE(_xlfn.IFNA(Process_Steps[RV Step Mass Net (kg) per kg API],0),Process_Steps[[#This Row],[Table Row]]))</f>
        <v>#N/A</v>
      </c>
      <c r="AL19" s="23" t="e">
        <f ca="1">SUM(OFFSET(Process_Steps['[RV Step Mass Net (kg) per kg API'] of Each Step Sorted by '[RV Step Mass Net (kg) per kg API']],0,0,Process_Steps[[#This Row],[Table Row]]))</f>
        <v>#N/A</v>
      </c>
      <c r="AM19" s="23" t="e">
        <f ca="1">"("&amp;TEXT(Process_Steps[[#This Row],['[RV Step Mass Net (kg) per kg API'] of Each Step Sorted by '[RV Step Mass Net (kg) per kg API']]]/SUMIF(Process_Steps['[RV Step Mass Net (kg) per kg API'] of Each Step Sorted by '[RV Step Mass Net (kg) per kg API']],"&lt;&gt;#N/A"),"0%")&amp;")"</f>
        <v>#N/A</v>
      </c>
      <c r="AN19" s="23" t="e">
        <f ca="1">INDEX(Process_Steps[RV Step Mass Net (kg) per kg API (REAGENT)],MATCH(Process_Steps[[#This Row],[Steps Sorted by '[RV Step Mass Net (kg) per kg API']]],Process_Steps[Name],0))</f>
        <v>#N/A</v>
      </c>
      <c r="AO19" s="23" t="e">
        <f ca="1">INDEX(Process_Steps[RV Step Mass Net (kg) per kg API (METAL)],MATCH(Process_Steps[[#This Row],[Steps Sorted by '[RV Step Mass Net (kg) per kg API']]],Process_Steps[Name],0))</f>
        <v>#N/A</v>
      </c>
      <c r="AP19" s="23" t="e">
        <f ca="1">INDEX(Process_Steps[RV Step Mass Net (kg) per kg API (SOLVENT)],MATCH(Process_Steps[[#This Row],[Steps Sorted by '[RV Step Mass Net (kg) per kg API']]],Process_Steps[Name],0))</f>
        <v>#N/A</v>
      </c>
      <c r="AQ19" s="23" t="e">
        <f ca="1">INDEX(Process_Steps[RV Step Mass Net (kg) per kg API (WATER)],MATCH(Process_Steps[[#This Row],[Steps Sorted by '[RV Step Mass Net (kg) per kg API']]],Process_Steps[Name],0))</f>
        <v>#N/A</v>
      </c>
      <c r="AR19" s="23" t="e">
        <f ca="1">INDEX(Process_Steps[RV Step Mass Net (kg) per kg API (ENZ&amp;PLNT)],MATCH(Process_Steps[[#This Row],[Steps Sorted by '[RV Step Mass Net (kg) per kg API']]],Process_Steps[Name],0))</f>
        <v>#N/A</v>
      </c>
      <c r="AS19" s="23" t="e">
        <f ca="1">INDEX(Process_Steps[RV Step Mass Net (kg) per kg API (OTHER)],MATCH(Process_Steps[[#This Row],[Steps Sorted by '[RV Step Mass Net (kg) per kg API']]],Process_Steps[Name],0))</f>
        <v>#N/A</v>
      </c>
      <c r="AT19" s="118" t="e">
        <f>IF(Process_Steps[[#This Row],[Real or Virtual?]]="Real",SUMIFS(Table_Process_Details[RV Energy (MJ) per kg API],Table_Process_Details[Step Name],Process_Steps[[#This Row],[Name]]),NA())</f>
        <v>#N/A</v>
      </c>
      <c r="AU19" s="20" t="e">
        <f>IF(Process_Steps[[#This Row],[Real or Virtual?]]="Real",SUMIFS(Table_Process_Details[RV Energy (MJ) per kg API (REAGENT)],Table_Process_Details[Step Name],Process_Steps[[#This Row],[Name]]),NA())</f>
        <v>#N/A</v>
      </c>
      <c r="AV19" s="20" t="e">
        <f>IF(Process_Steps[[#This Row],[Real or Virtual?]]="Real",SUMIFS(Table_Process_Details[RV Energy (MJ) per kg API (METAL)],Table_Process_Details[Step Name],Process_Steps[[#This Row],[Name]]),NA())</f>
        <v>#N/A</v>
      </c>
      <c r="AW19" s="20" t="e">
        <f>IF(Process_Steps[[#This Row],[Real or Virtual?]]="Real",SUMIFS(Table_Process_Details[RV Energy (MJ) per kg API (SOLVENT)],Table_Process_Details[Step Name],Process_Steps[[#This Row],[Name]]),NA())</f>
        <v>#N/A</v>
      </c>
      <c r="AX19" s="20" t="e">
        <f>IF(Process_Steps[[#This Row],[Real or Virtual?]]="Real",SUMIFS(Table_Process_Details[RV Energy (MJ) per kg API (WATER)],Table_Process_Details[Step Name],Process_Steps[[#This Row],[Name]]),NA())</f>
        <v>#N/A</v>
      </c>
      <c r="AY19" s="20" t="e">
        <f>IF(Process_Steps[[#This Row],[Real or Virtual?]]="Real",SUMIFS(Table_Process_Details[RV Energy (MJ) per kg API (ENZ&amp;PLNT)],Table_Process_Details[Step Name],Process_Steps[[#This Row],[Name]]),NA())</f>
        <v>#N/A</v>
      </c>
      <c r="AZ19" s="20" t="e">
        <f>IF(Process_Steps[[#This Row],[Real or Virtual?]]="Real",SUMIFS(Table_Process_Details[RV Energy (MJ) per kg API (OTHER)],Table_Process_Details[Step Name],Process_Steps[[#This Row],[Name]]),NA())</f>
        <v>#N/A</v>
      </c>
      <c r="BA19" s="23" t="e">
        <f ca="1">INDEX(Process_Steps[Name if Real],MATCH(Process_Steps[[#This Row],['[RV Step Energy (MJ) per kg API'] of Each Step Sorted by '[RV Step Energy (MJ) per kg API']]],Process_Steps[RV Step Energy (MJ) per kg API],0))</f>
        <v>#N/A</v>
      </c>
      <c r="BB19" s="23" t="e" cm="1">
        <f t="array" aca="1" ref="BB19" ca="1">IF(LARGE(_xlfn.IFNA(Process_Steps[RV Step Energy (MJ) per kg API],0),Process_Steps[[#This Row],[Table Row]])=0,NA(),LARGE(_xlfn.IFNA(Process_Steps[RV Step Energy (MJ) per kg API],0),Process_Steps[[#This Row],[Table Row]]))</f>
        <v>#N/A</v>
      </c>
      <c r="BC19" s="23" t="e">
        <f ca="1">SUM(OFFSET(Process_Steps['[RV Step Energy (MJ) per kg API'] of Each Step Sorted by '[RV Step Energy (MJ) per kg API']],0,0,Process_Steps[[#This Row],[Table Row]]))</f>
        <v>#N/A</v>
      </c>
      <c r="BD19" s="23" t="e">
        <f ca="1">"("&amp;TEXT(Process_Steps[[#This Row],['[RV Step Energy (MJ) per kg API'] of Each Step Sorted by '[RV Step Energy (MJ) per kg API']]]/SUMIF(Process_Steps['[RV Step Energy (MJ) per kg API'] of Each Step Sorted by '[RV Step Energy (MJ) per kg API']],"&lt;&gt;#N/A"),"0%")&amp;")"</f>
        <v>#N/A</v>
      </c>
      <c r="BE19" s="23" t="e">
        <f ca="1">INDEX(Process_Steps[RV Step Energy (MJ) per kg API (REAGENT)],MATCH(Process_Steps[[#This Row],[Steps Sorted by '[RV Step Energy (MJ) per kg API']]],Process_Steps[Name],0))</f>
        <v>#N/A</v>
      </c>
      <c r="BF19" s="23" t="e">
        <f ca="1">INDEX(Process_Steps[RV Step Energy (MJ) per kg API (METAL)],MATCH(Process_Steps[[#This Row],[Steps Sorted by '[RV Step Energy (MJ) per kg API']]],Process_Steps[Name],0))</f>
        <v>#N/A</v>
      </c>
      <c r="BG19" s="23" t="e">
        <f ca="1">INDEX(Process_Steps[RV Step Energy (MJ) per kg API (SOLVENT)],MATCH(Process_Steps[[#This Row],[Steps Sorted by '[RV Step Energy (MJ) per kg API']]],Process_Steps[Name],0))</f>
        <v>#N/A</v>
      </c>
      <c r="BH19" s="23" t="e">
        <f ca="1">INDEX(Process_Steps[RV Step Energy (MJ) per kg API (WATER)],MATCH(Process_Steps[[#This Row],[Steps Sorted by '[RV Step Energy (MJ) per kg API']]],Process_Steps[Name],0))</f>
        <v>#N/A</v>
      </c>
      <c r="BI19" s="23" t="e">
        <f ca="1">INDEX(Process_Steps[RV Step Energy (MJ) per kg API (ENZ&amp;PLNT)],MATCH(Process_Steps[[#This Row],[Steps Sorted by '[RV Step Energy (MJ) per kg API']]],Process_Steps[Name],0))</f>
        <v>#N/A</v>
      </c>
      <c r="BJ19" s="23" t="e">
        <f ca="1">INDEX(Process_Steps[RV Step Energy (MJ) per kg API (OTHER)],MATCH(Process_Steps[[#This Row],[Steps Sorted by '[RV Step Energy (MJ) per kg API']]],Process_Steps[Name],0))</f>
        <v>#N/A</v>
      </c>
      <c r="BK19" s="118" t="e">
        <f>IF(Process_Steps[[#This Row],[Real or Virtual?]]="Real",SUMIFS(Table_Process_Details[RV GWP (kg CO2 equiv.) per kg API],Table_Process_Details[Step Name],Process_Steps[[#This Row],[Name]]),NA())</f>
        <v>#N/A</v>
      </c>
      <c r="BL19" s="20" t="e">
        <f>IF(Process_Steps[[#This Row],[Real or Virtual?]]="Real",SUMIFS(Table_Process_Details[RV GWP (kg CO2 equiv.) per kg API (REAGENT)],Table_Process_Details[Step Name],Process_Steps[[#This Row],[Name]]),NA())</f>
        <v>#N/A</v>
      </c>
      <c r="BM19" s="20" t="e">
        <f>IF(Process_Steps[[#This Row],[Real or Virtual?]]="Real",SUMIFS(Table_Process_Details[RV GWP (kg CO2 equiv.) per kg API (METAL)],Table_Process_Details[Step Name],Process_Steps[[#This Row],[Name]]),NA())</f>
        <v>#N/A</v>
      </c>
      <c r="BN19" s="20" t="e">
        <f>IF(Process_Steps[[#This Row],[Real or Virtual?]]="Real",SUMIFS(Table_Process_Details[RV GWP (kg CO2 equiv.) per kg API (SOLVENT)],Table_Process_Details[Step Name],Process_Steps[[#This Row],[Name]]),NA())</f>
        <v>#N/A</v>
      </c>
      <c r="BO19" s="20" t="e">
        <f>IF(Process_Steps[[#This Row],[Real or Virtual?]]="Real",SUMIFS(Table_Process_Details[RV GWP (kg CO2 equiv.) per kg API (WATER)],Table_Process_Details[Step Name],Process_Steps[[#This Row],[Name]]),NA())</f>
        <v>#N/A</v>
      </c>
      <c r="BP19" s="20" t="e">
        <f>IF(Process_Steps[[#This Row],[Real or Virtual?]]="Real",SUMIFS(Table_Process_Details[RV GWP (kg CO2 equiv.) per kg API (ENZ&amp;PLNT)],Table_Process_Details[Step Name],Process_Steps[[#This Row],[Name]]),NA())</f>
        <v>#N/A</v>
      </c>
      <c r="BQ19" s="20" t="e">
        <f>IF(Process_Steps[[#This Row],[Real or Virtual?]]="Real",SUMIFS(Table_Process_Details[RV GWP (kg CO2 equiv.) per kg API (OTHER)],Table_Process_Details[Step Name],Process_Steps[[#This Row],[Name]]),NA())</f>
        <v>#N/A</v>
      </c>
      <c r="BR19" s="23" t="e">
        <f ca="1">INDEX(Process_Steps[Name if Real],MATCH(Process_Steps[[#This Row],['[RV Step GWP (kg CO2 equiv.) per kg API'] of Each Step Sorted by '[RV Step GWP (kg CO2 equiv.) per kg API']]],Process_Steps[RV Step GWP (kg CO2 equiv.) per kg API],0))</f>
        <v>#N/A</v>
      </c>
      <c r="BS19" s="23" t="e" cm="1">
        <f t="array" aca="1" ref="BS19" ca="1">IF(LARGE(_xlfn.IFNA(Process_Steps[RV Step GWP (kg CO2 equiv.) per kg API],0),Process_Steps[[#This Row],[Table Row]])=0,NA(),LARGE(_xlfn.IFNA(Process_Steps[RV Step GWP (kg CO2 equiv.) per kg API],0),Process_Steps[[#This Row],[Table Row]]))</f>
        <v>#N/A</v>
      </c>
      <c r="BT19" s="23" t="e">
        <f ca="1">SUM(OFFSET(Process_Steps['[RV Step GWP (kg CO2 equiv.) per kg API'] of Each Step Sorted by '[RV Step GWP (kg CO2 equiv.) per kg API']],0,0,Process_Steps[[#This Row],[Table Row]]))</f>
        <v>#N/A</v>
      </c>
      <c r="BU19" s="23" t="e">
        <f ca="1">"("&amp;TEXT(Process_Steps[[#This Row],['[RV Step GWP (kg CO2 equiv.) per kg API'] of Each Step Sorted by '[RV Step GWP (kg CO2 equiv.) per kg API']]]/SUMIF(Process_Steps['[RV Step GWP (kg CO2 equiv.) per kg API'] of Each Step Sorted by '[RV Step GWP (kg CO2 equiv.) per kg API']],"&lt;&gt;#N/A"),"0%")&amp;")"</f>
        <v>#N/A</v>
      </c>
      <c r="BV19" s="23" t="e">
        <f ca="1">INDEX(Process_Steps[RV Step GWP (kg CO2 equiv.) per kg API (REAGENT)],MATCH(Process_Steps[[#This Row],[Steps Sorted by '[RV Step GWP (kg CO2 equiv.) per kg API']]],Process_Steps[Name],0))</f>
        <v>#N/A</v>
      </c>
      <c r="BW19" s="23" t="e">
        <f ca="1">INDEX(Process_Steps[RV Step GWP (kg CO2 equiv.) per kg API (METAL)],MATCH(Process_Steps[[#This Row],[Steps Sorted by '[RV Step GWP (kg CO2 equiv.) per kg API']]],Process_Steps[Name],0))</f>
        <v>#N/A</v>
      </c>
      <c r="BX19" s="23" t="e">
        <f ca="1">INDEX(Process_Steps[RV Step GWP (kg CO2 equiv.) per kg API (SOLVENT)],MATCH(Process_Steps[[#This Row],[Steps Sorted by '[RV Step GWP (kg CO2 equiv.) per kg API']]],Process_Steps[Name],0))</f>
        <v>#N/A</v>
      </c>
      <c r="BY19" s="23" t="e">
        <f ca="1">INDEX(Process_Steps[RV Step GWP (kg CO2 equiv.) per kg API (WATER)],MATCH(Process_Steps[[#This Row],[Steps Sorted by '[RV Step GWP (kg CO2 equiv.) per kg API']]],Process_Steps[Name],0))</f>
        <v>#N/A</v>
      </c>
      <c r="BZ19" s="23" t="e">
        <f ca="1">INDEX(Process_Steps[RV Step GWP (kg CO2 equiv.) per kg API (ENZ&amp;PLNT)],MATCH(Process_Steps[[#This Row],[Steps Sorted by '[RV Step GWP (kg CO2 equiv.) per kg API']]],Process_Steps[Name],0))</f>
        <v>#N/A</v>
      </c>
      <c r="CA19" s="23" t="e">
        <f ca="1">INDEX(Process_Steps[RV Step GWP (kg CO2 equiv.) per kg API (OTHER)],MATCH(Process_Steps[[#This Row],[Steps Sorted by '[RV Step GWP (kg CO2 equiv.) per kg API']]],Process_Steps[Name],0))</f>
        <v>#N/A</v>
      </c>
      <c r="CB19" s="118" t="e">
        <f>IF(Process_Steps[[#This Row],[Real or Virtual?]]="Real",SUMIFS(Table_Process_Details[RV Acidification (kg SO2 equiv.) per kg API],Table_Process_Details[Step Name],Process_Steps[[#This Row],[Name]]),NA())</f>
        <v>#N/A</v>
      </c>
      <c r="CC19" s="20" t="e">
        <f>IF(Process_Steps[[#This Row],[Real or Virtual?]]="Real",SUMIFS(Table_Process_Details[RV Acidification (kg SO2 equiv.) per kg API (REAGENT)],Table_Process_Details[Step Name],Process_Steps[[#This Row],[Name]]),NA())</f>
        <v>#N/A</v>
      </c>
      <c r="CD19" s="20" t="e">
        <f>IF(Process_Steps[[#This Row],[Real or Virtual?]]="Real",SUMIFS(Table_Process_Details[RV Acidification (kg SO2 equiv.) per kg API (METAL)],Table_Process_Details[Step Name],Process_Steps[[#This Row],[Name]]),NA())</f>
        <v>#N/A</v>
      </c>
      <c r="CE19" s="20" t="e">
        <f>IF(Process_Steps[[#This Row],[Real or Virtual?]]="Real",SUMIFS(Table_Process_Details[RV Acidification (kg SO2 equiv.) per kg API (SOLVENT)],Table_Process_Details[Step Name],Process_Steps[[#This Row],[Name]]),NA())</f>
        <v>#N/A</v>
      </c>
      <c r="CF19" s="20" t="e">
        <f>IF(Process_Steps[[#This Row],[Real or Virtual?]]="Real",SUMIFS(Table_Process_Details[RV Acidification (kg SO2 equiv.) per kg API (WATER)],Table_Process_Details[Step Name],Process_Steps[[#This Row],[Name]]),NA())</f>
        <v>#N/A</v>
      </c>
      <c r="CG19" s="20" t="e">
        <f>IF(Process_Steps[[#This Row],[Real or Virtual?]]="Real",SUMIFS(Table_Process_Details[RV Acidification (kg SO2 equiv.) per kg API (ENZ&amp;PLNT)],Table_Process_Details[Step Name],Process_Steps[[#This Row],[Name]]),NA())</f>
        <v>#N/A</v>
      </c>
      <c r="CH19" s="20" t="e">
        <f>IF(Process_Steps[[#This Row],[Real or Virtual?]]="Real",SUMIFS(Table_Process_Details[RV Acidification (kg SO2 equiv.) per kg API (OTHER)],Table_Process_Details[Step Name],Process_Steps[[#This Row],[Name]]),NA())</f>
        <v>#N/A</v>
      </c>
      <c r="CI19" s="23" t="e">
        <f ca="1">INDEX(Process_Steps[Name if Real],MATCH(Process_Steps[[#This Row],['[RV Step Acidification (kg SO2 equiv.) per kg API'] of Each Step Sorted by '[RV Step Acidification (kg SO2 equiv.) per kg API']]],Process_Steps[RV Step Acidification (kg SO2 equiv.) per kg API],0))</f>
        <v>#N/A</v>
      </c>
      <c r="CJ19" s="23" t="e" cm="1">
        <f t="array" aca="1" ref="CJ19" ca="1">IF(LARGE(_xlfn.IFNA(Process_Steps[RV Step Acidification (kg SO2 equiv.) per kg API],0),Process_Steps[[#This Row],[Table Row]])=0,NA(),LARGE(_xlfn.IFNA(Process_Steps[RV Step Acidification (kg SO2 equiv.) per kg API],0),Process_Steps[[#This Row],[Table Row]]))</f>
        <v>#N/A</v>
      </c>
      <c r="CK19" s="23" t="e">
        <f ca="1">SUM(OFFSET(Process_Steps['[RV Step Acidification (kg SO2 equiv.) per kg API'] of Each Step Sorted by '[RV Step Acidification (kg SO2 equiv.) per kg API']],0,0,Process_Steps[[#This Row],[Table Row]]))</f>
        <v>#N/A</v>
      </c>
      <c r="CL19"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19" s="23" t="e">
        <f ca="1">INDEX(Process_Steps[RV Step Acidification (kg SO2 equiv.) per kg API (REAGENT)],MATCH(Process_Steps[[#This Row],[Steps Sorted by '[RV Step Acidification (kg SO2 equiv.) per kg API']]],Process_Steps[Name],0))</f>
        <v>#N/A</v>
      </c>
      <c r="CN19" s="23" t="e">
        <f ca="1">INDEX(Process_Steps[RV Step Acidification (kg SO2 equiv.) per kg API (METAL)],MATCH(Process_Steps[[#This Row],[Steps Sorted by '[RV Step Acidification (kg SO2 equiv.) per kg API']]],Process_Steps[Name],0))</f>
        <v>#N/A</v>
      </c>
      <c r="CO19" s="23" t="e">
        <f ca="1">INDEX(Process_Steps[RV Step Acidification (kg SO2 equiv.) per kg API (SOLVENT)],MATCH(Process_Steps[[#This Row],[Steps Sorted by '[RV Step Acidification (kg SO2 equiv.) per kg API']]],Process_Steps[Name],0))</f>
        <v>#N/A</v>
      </c>
      <c r="CP19" s="23" t="e">
        <f ca="1">INDEX(Process_Steps[RV Step Acidification (kg SO2 equiv.) per kg API (WATER)],MATCH(Process_Steps[[#This Row],[Steps Sorted by '[RV Step Acidification (kg SO2 equiv.) per kg API']]],Process_Steps[Name],0))</f>
        <v>#N/A</v>
      </c>
      <c r="CQ19" s="23" t="e">
        <f ca="1">INDEX(Process_Steps[RV Step Acidification (kg SO2 equiv.) per kg API (ENZ&amp;PLNT)],MATCH(Process_Steps[[#This Row],[Steps Sorted by '[RV Step Acidification (kg SO2 equiv.) per kg API']]],Process_Steps[Name],0))</f>
        <v>#N/A</v>
      </c>
      <c r="CR19" s="23" t="e">
        <f ca="1">INDEX(Process_Steps[RV Step Acidification (kg SO2 equiv.) per kg API (OTHER)],MATCH(Process_Steps[[#This Row],[Steps Sorted by '[RV Step Acidification (kg SO2 equiv.) per kg API']]],Process_Steps[Name],0))</f>
        <v>#N/A</v>
      </c>
      <c r="CS19" s="118" t="e">
        <f>IF(Process_Steps[[#This Row],[Real or Virtual?]]="Real",SUMIFS(Table_Process_Details[RV Eutrophication (kg phosphate equiv.) per kg API],Table_Process_Details[Step Name],Process_Steps[[#This Row],[Name]]),NA())</f>
        <v>#N/A</v>
      </c>
      <c r="CT19" s="20" t="e">
        <f>IF(Process_Steps[[#This Row],[Real or Virtual?]]="Real",SUMIFS(Table_Process_Details[RV Eutrophication (kg phosphate equiv.) per kg API (REAGENT)],Table_Process_Details[Step Name],Process_Steps[[#This Row],[Name]]),NA())</f>
        <v>#N/A</v>
      </c>
      <c r="CU19" s="20" t="e">
        <f>IF(Process_Steps[[#This Row],[Real or Virtual?]]="Real",SUMIFS(Table_Process_Details[RV Eutrophication (kg phosphate equiv.) per kg API (METAL)],Table_Process_Details[Step Name],Process_Steps[[#This Row],[Name]]),NA())</f>
        <v>#N/A</v>
      </c>
      <c r="CV19" s="20" t="e">
        <f>IF(Process_Steps[[#This Row],[Real or Virtual?]]="Real",SUMIFS(Table_Process_Details[RV Eutrophication (kg phosphate equiv.) per kg API (SOLVENT)],Table_Process_Details[Step Name],Process_Steps[[#This Row],[Name]]),NA())</f>
        <v>#N/A</v>
      </c>
      <c r="CW19" s="20" t="e">
        <f>IF(Process_Steps[[#This Row],[Real or Virtual?]]="Real",SUMIFS(Table_Process_Details[RV Eutrophication (kg phosphate equiv.) per kg API (WATER)],Table_Process_Details[Step Name],Process_Steps[[#This Row],[Name]]),NA())</f>
        <v>#N/A</v>
      </c>
      <c r="CX19" s="20" t="e">
        <f>IF(Process_Steps[[#This Row],[Real or Virtual?]]="Real",SUMIFS(Table_Process_Details[RV Eutrophication (kg phosphate equiv.) per kg API (ENZ&amp;PLNT)],Table_Process_Details[Step Name],Process_Steps[[#This Row],[Name]]),NA())</f>
        <v>#N/A</v>
      </c>
      <c r="CY19" s="20" t="e">
        <f>IF(Process_Steps[[#This Row],[Real or Virtual?]]="Real",SUMIFS(Table_Process_Details[RV Eutrophication (kg phosphate equiv.) per kg API (OTHER)],Table_Process_Details[Step Name],Process_Steps[[#This Row],[Name]]),NA())</f>
        <v>#N/A</v>
      </c>
      <c r="CZ19" s="23" t="e">
        <f ca="1">INDEX(Process_Steps[Name if Real],MATCH(Process_Steps[[#This Row],['[RV Step Eutrophication (kg phosphate equiv.) per kg API'] of Each Step Sorted by '[RV Step Eutrophication (kg phosphate equiv.) per kg API']]],Process_Steps[RV Step Eutrophication (kg posphate equiv.) per kg API],0))</f>
        <v>#N/A</v>
      </c>
      <c r="DA19" s="23" t="e" cm="1">
        <f t="array" aca="1" ref="DA19" ca="1">IF(LARGE(_xlfn.IFNA(Process_Steps[RV Step Eutrophication (kg posphate equiv.) per kg API],0),Process_Steps[[#This Row],[Table Row]])=0,NA(),LARGE(_xlfn.IFNA(Process_Steps[RV Step Eutrophication (kg posphate equiv.) per kg API],0),Process_Steps[[#This Row],[Table Row]]))</f>
        <v>#N/A</v>
      </c>
      <c r="DB19" s="23" t="e">
        <f ca="1">SUM(OFFSET(Process_Steps['[RV Step Eutrophication (kg phosphate equiv.) per kg API'] of Each Step Sorted by '[RV Step Eutrophication (kg phosphate equiv.) per kg API']],0,0,Process_Steps[[#This Row],[Table Row]]))</f>
        <v>#N/A</v>
      </c>
      <c r="DC19"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19" s="23" t="e">
        <f ca="1">INDEX(Process_Steps[RV Step Eutrophication (kg posphate equiv.) per kg API (REAGENT)],MATCH(Process_Steps[[#This Row],[Steps Sorted by '[RV Step Eutrophication (kg phosphate equiv.) per kg API']]],Process_Steps[Name],0))</f>
        <v>#N/A</v>
      </c>
      <c r="DE19" s="23" t="e">
        <f ca="1">INDEX(Process_Steps[RV Step Eutrophication (kg posphate equiv.) per kg API (METAL)],MATCH(Process_Steps[[#This Row],[Steps Sorted by '[RV Step Eutrophication (kg phosphate equiv.) per kg API']]],Process_Steps[Name],0))</f>
        <v>#N/A</v>
      </c>
      <c r="DF19" s="23" t="e">
        <f ca="1">INDEX(Process_Steps[RV Step Eutrophication (kg posphate equiv.) per kg API (SOLVENT)],MATCH(Process_Steps[[#This Row],[Steps Sorted by '[RV Step Eutrophication (kg phosphate equiv.) per kg API']]],Process_Steps[Name],0))</f>
        <v>#N/A</v>
      </c>
      <c r="DG19" s="23" t="e">
        <f ca="1">INDEX(Process_Steps[RV Step Eutrophication (kg posphate equiv.) per kg API (WATER)],MATCH(Process_Steps[[#This Row],[Steps Sorted by '[RV Step Eutrophication (kg phosphate equiv.) per kg API']]],Process_Steps[Name],0))</f>
        <v>#N/A</v>
      </c>
      <c r="DH19" s="23" t="e">
        <f ca="1">INDEX(Process_Steps[RV Step Eutrophication (kg posphate equiv.) per kg API (ENZ&amp;PLNT)],MATCH(Process_Steps[[#This Row],[Steps Sorted by '[RV Step Eutrophication (kg phosphate equiv.) per kg API']]],Process_Steps[Name],0))</f>
        <v>#N/A</v>
      </c>
      <c r="DI19" s="23" t="e">
        <f ca="1">INDEX(Process_Steps[RV Step Eutrophication (kg posphate equiv.) per kg API (OTHER)],MATCH(Process_Steps[[#This Row],[Steps Sorted by '[RV Step Eutrophication (kg phosphate equiv.) per kg API']]],Process_Steps[Name],0))</f>
        <v>#N/A</v>
      </c>
      <c r="DJ19" s="118" t="e">
        <f>IF(Process_Steps[[#This Row],[Real or Virtual?]]="Real",SUMIFS(Table_Process_Details[RV Water (kg) per kg API],Table_Process_Details[Step Name],Process_Steps[[#This Row],[Name]]),NA())</f>
        <v>#N/A</v>
      </c>
      <c r="DK19" s="20" t="e">
        <f>IF(Process_Steps[[#This Row],[Real or Virtual?]]="Real",SUMIFS(Table_Process_Details[RV Water (kg) per kg API (REAGENT)],Table_Process_Details[Step Name],Process_Steps[[#This Row],[Name]]),NA())</f>
        <v>#N/A</v>
      </c>
      <c r="DL19" s="20" t="e">
        <f>IF(Process_Steps[[#This Row],[Real or Virtual?]]="Real",SUMIFS(Table_Process_Details[RV Water (kg) per kg API (METAL)],Table_Process_Details[Step Name],Process_Steps[[#This Row],[Name]]),NA())</f>
        <v>#N/A</v>
      </c>
      <c r="DM19" s="20" t="e">
        <f>IF(Process_Steps[[#This Row],[Real or Virtual?]]="Real",SUMIFS(Table_Process_Details[RV Water (kg) per kg API (SOLVENT)],Table_Process_Details[Step Name],Process_Steps[[#This Row],[Name]]),NA())</f>
        <v>#N/A</v>
      </c>
      <c r="DN19" s="20" t="e">
        <f>IF(Process_Steps[[#This Row],[Real or Virtual?]]="Real",SUMIFS(Table_Process_Details[RV Water (kg) per kg API (WATER)],Table_Process_Details[Step Name],Process_Steps[[#This Row],[Name]]),NA())</f>
        <v>#N/A</v>
      </c>
      <c r="DO19" s="20" t="e">
        <f>IF(Process_Steps[[#This Row],[Real or Virtual?]]="Real",SUMIFS(Table_Process_Details[RV Water (kg) per kg API (ENZ&amp;PLNT)],Table_Process_Details[Step Name],Process_Steps[[#This Row],[Name]]),NA())</f>
        <v>#N/A</v>
      </c>
      <c r="DP19" s="20" t="e">
        <f>IF(Process_Steps[[#This Row],[Real or Virtual?]]="Real",SUMIFS(Table_Process_Details[RV Water (kg) per kg API (OTHER)],Table_Process_Details[Step Name],Process_Steps[[#This Row],[Name]]),NA())</f>
        <v>#N/A</v>
      </c>
      <c r="DQ19" s="23" t="e">
        <f ca="1">INDEX(Process_Steps[Name if Real],MATCH(Process_Steps[[#This Row],['[RV Step Water (kg) per kg API'] of Each Step Sorted by '[RV Step Water (kg) per kg API']]],Process_Steps[RV Step Water (kg) per kg API],0))</f>
        <v>#N/A</v>
      </c>
      <c r="DR19" s="23" t="e" cm="1">
        <f t="array" aca="1" ref="DR19" ca="1">IF(LARGE(_xlfn.IFNA(Process_Steps[RV Step Water (kg) per kg API],0),Process_Steps[[#This Row],[Table Row]])=0,NA(),LARGE(_xlfn.IFNA(Process_Steps[RV Step Water (kg) per kg API],0),Process_Steps[[#This Row],[Table Row]]))</f>
        <v>#N/A</v>
      </c>
      <c r="DS19" s="23" t="e">
        <f ca="1">SUM(OFFSET(Process_Steps['[RV Step Water (kg) per kg API'] of Each Step Sorted by '[RV Step Water (kg) per kg API']],0,0,Process_Steps[[#This Row],[Table Row]]))</f>
        <v>#N/A</v>
      </c>
      <c r="DT19" s="23" t="e">
        <f ca="1">"("&amp;TEXT(Process_Steps[[#This Row],['[RV Step Water (kg) per kg API'] of Each Step Sorted by '[RV Step Water (kg) per kg API']]]/SUMIF(Process_Steps['[RV Step Water (kg) per kg API'] of Each Step Sorted by '[RV Step Water (kg) per kg API']],"&lt;&gt;#N/A"),"0%")&amp;")"</f>
        <v>#N/A</v>
      </c>
      <c r="DU19" s="23" t="e">
        <f ca="1">INDEX(Process_Steps[RV Step Water (kg) per kg API (REAGENT)],MATCH(Process_Steps[[#This Row],[Steps Sorted by '[RV Step Water (kg) per kg API']]],Process_Steps[Name],0))</f>
        <v>#N/A</v>
      </c>
      <c r="DV19" s="23" t="e">
        <f ca="1">INDEX(Process_Steps[RV Step Water (kg) per kg API (METAL)],MATCH(Process_Steps[[#This Row],[Steps Sorted by '[RV Step Water (kg) per kg API']]],Process_Steps[Name],0))</f>
        <v>#N/A</v>
      </c>
      <c r="DW19" s="23" t="e">
        <f ca="1">INDEX(Process_Steps[RV Step Water (kg) per kg API (SOLVENT)],MATCH(Process_Steps[[#This Row],[Steps Sorted by '[RV Step Water (kg) per kg API']]],Process_Steps[Name],0))</f>
        <v>#N/A</v>
      </c>
      <c r="DX19" s="23" t="e">
        <f ca="1">INDEX(Process_Steps[RV Step Water (kg) per kg API (WATER)],MATCH(Process_Steps[[#This Row],[Steps Sorted by '[RV Step Water (kg) per kg API']]],Process_Steps[Name],0))</f>
        <v>#N/A</v>
      </c>
      <c r="DY19" s="23" t="e">
        <f ca="1">INDEX(Process_Steps[RV Step Water (kg) per kg API (ENZ&amp;PLNT)],MATCH(Process_Steps[[#This Row],[Steps Sorted by '[RV Step Water (kg) per kg API']]],Process_Steps[Name],0))</f>
        <v>#N/A</v>
      </c>
      <c r="DZ19" s="23" t="e">
        <f ca="1">INDEX(Process_Steps[RV Step Water (kg) per kg API (OTHER)],MATCH(Process_Steps[[#This Row],[Steps Sorted by '[RV Step Water (kg) per kg API']]],Process_Steps[Name],0))</f>
        <v>#N/A</v>
      </c>
    </row>
    <row r="20" spans="1:130" s="119" customFormat="1" x14ac:dyDescent="0.25">
      <c r="A20" s="119" t="s">
        <v>798</v>
      </c>
      <c r="B20" s="119" t="s">
        <v>174</v>
      </c>
      <c r="C20" s="119" t="s">
        <v>799</v>
      </c>
      <c r="D20" s="119" t="s">
        <v>844</v>
      </c>
      <c r="F20" s="120">
        <f>INDEX(Table_Process_Details[Physical Mass (kg)],MATCH(1,INDEX((Process_Steps[[#This Row],[Name]]=Table_Process_Details[Step Name])*(Table_Process_Details[Input or Output]="Output"),0),0))</f>
        <v>0.09</v>
      </c>
      <c r="G20" s="120" cm="1">
        <f t="array" aca="1" ref="G20"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0.99100752431639572</v>
      </c>
      <c r="H20" s="121">
        <f ca="1">Process_Steps[[#This Row],[Total Mass that must be produced]]/Process_Steps[[#This Row],[Unscaled Step Product Mass]]</f>
        <v>11.011194714626619</v>
      </c>
      <c r="I20" s="122" t="str">
        <f>IF(Process_Steps[[#This Row],[Real or Virtual?]]="Real",Process_Steps[[#This Row],[Name]],NA())</f>
        <v>3) Synthesis of Intermediate (3)</v>
      </c>
      <c r="J20" s="123">
        <f>ROW()-ROW(Process_Steps[[#Headers],[Table Row]])</f>
        <v>14</v>
      </c>
      <c r="K20" s="124">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37.777777777777779</v>
      </c>
      <c r="L20" s="124">
        <f ca="1">IF(Process_Steps[[#This Row],[Real or Virtual?]]="Real",SUMIFS(Table_Process_Details[RV Physical Mass per kg API],Table_Process_Details[Input or Output],"Input",Table_Process_Details[Step Name],Process_Steps[[#This Row],[Name]]),NA())</f>
        <v>33.033584143879857</v>
      </c>
      <c r="M20" s="125">
        <f ca="1">IF(Process_Steps[[#This Row],[Real or Virtual?]]="Real",SUMIFS(Table_Process_Details[RV Physical Mass per kg API (REAGENT)],Table_Process_Details[Input or Output],"Input",Table_Process_Details[Step Name],Process_Steps[[#This Row],[Name]]),NA())</f>
        <v>10.460634978895289</v>
      </c>
      <c r="N20" s="125">
        <f ca="1">IF(Process_Steps[[#This Row],[Real or Virtual?]]="Real",SUMIFS(Table_Process_Details[RV Physical Mass per kg API (METAL)],Table_Process_Details[Input or Output],"Input",Table_Process_Details[Step Name],Process_Steps[[#This Row],[Name]]),NA())</f>
        <v>0</v>
      </c>
      <c r="O20" s="125">
        <f ca="1">IF(Process_Steps[[#This Row],[Real or Virtual?]]="Real",SUMIFS(Table_Process_Details[RV Physical Mass per kg API (SOLVENT)],Table_Process_Details[Input or Output],"Input",Table_Process_Details[Step Name],Process_Steps[[#This Row],[Name]]),NA())</f>
        <v>11.561754450357949</v>
      </c>
      <c r="P20" s="125">
        <f ca="1">IF(Process_Steps[[#This Row],[Real or Virtual?]]="Real",SUMIFS(Table_Process_Details[RV Physical Mass per kg API (WATER)],Table_Process_Details[Input or Output],"Input",Table_Process_Details[Step Name],Process_Steps[[#This Row],[Name]]),NA())</f>
        <v>11.011194714626619</v>
      </c>
      <c r="Q20" s="125">
        <f ca="1">IF(Process_Steps[[#This Row],[Real or Virtual?]]="Real",SUMIFS(Table_Process_Details[RV Physical Mass per kg API (ENZ&amp;PLNT)],Table_Process_Details[Input or Output],"Input",Table_Process_Details[Step Name],Process_Steps[[#This Row],[Name]]),NA())</f>
        <v>0</v>
      </c>
      <c r="R20" s="125">
        <f ca="1">IF(Process_Steps[[#This Row],[Real or Virtual?]]="Real",SUMIFS(Table_Process_Details[RV Physical Mass per kg API (OTHER)],Table_Process_Details[Input or Output],"Input",Table_Process_Details[Step Name],Process_Steps[[#This Row],[Name]]),NA())</f>
        <v>0</v>
      </c>
      <c r="S20" s="124" t="e">
        <f ca="1">INDEX(Process_Steps[Name if Real],MATCH(Process_Steps[[#This Row],['[RV Step PMI per kg API'] of Each Step Sorted by '[RV Step PMI per kg API']]],Process_Steps[RV Step PMI per kg API],0))</f>
        <v>#N/A</v>
      </c>
      <c r="T20" s="124" t="e" cm="1">
        <f t="array" aca="1" ref="T20" ca="1">IF(LARGE(_xlfn.IFNA(Process_Steps[RV Step PMI per kg API],0),Process_Steps[[#This Row],[Table Row]])=0,NA(),LARGE(_xlfn.IFNA(Process_Steps[RV Step PMI per kg API],0),Process_Steps[[#This Row],[Table Row]]))</f>
        <v>#N/A</v>
      </c>
      <c r="U20" s="124" t="e">
        <f ca="1">SUM(OFFSET(Process_Steps['[RV Step PMI per kg API'] of Each Step Sorted by '[RV Step PMI per kg API']],0,0,Process_Steps[[#This Row],[Table Row]]))</f>
        <v>#N/A</v>
      </c>
      <c r="V20" s="124" t="e">
        <f ca="1">"("&amp;TEXT(Process_Steps[[#This Row],['[RV Step PMI per kg API'] of Each Step Sorted by '[RV Step PMI per kg API']]]/SUMIF(Process_Steps['[RV Step PMI per kg API'] of Each Step Sorted by '[RV Step PMI per kg API']],"&lt;&gt;#N/A"),"0%")&amp;")"</f>
        <v>#N/A</v>
      </c>
      <c r="W20" s="122" t="e">
        <f ca="1">INDEX(Process_Steps[RV Step PMI per kg API (REAGENT)],MATCH(Process_Steps[[#This Row],[Steps Sorted by '[RV Step PMI per kg API']]],Process_Steps[Name],0))</f>
        <v>#N/A</v>
      </c>
      <c r="X20" s="122" t="e">
        <f ca="1">INDEX(Process_Steps[RV Step PMI per kg API (METAL)],MATCH(Process_Steps[[#This Row],[Steps Sorted by '[RV Step PMI per kg API']]],Process_Steps[Name],0))</f>
        <v>#N/A</v>
      </c>
      <c r="Y20" s="122" t="e">
        <f ca="1">INDEX(Process_Steps[RV Step PMI per kg API (SOLVENT)],MATCH(Process_Steps[[#This Row],[Steps Sorted by '[RV Step PMI per kg API']]],Process_Steps[Name],0))</f>
        <v>#N/A</v>
      </c>
      <c r="Z20" s="122" t="e">
        <f ca="1">INDEX(Process_Steps[RV Step PMI per kg API (WATER)],MATCH(Process_Steps[[#This Row],[Steps Sorted by '[RV Step PMI per kg API']]],Process_Steps[Name],0))</f>
        <v>#N/A</v>
      </c>
      <c r="AA20" s="122" t="e">
        <f ca="1">INDEX(Process_Steps[RV Step PMI per kg API (ENZ&amp;PLNT)],MATCH(Process_Steps[[#This Row],[Steps Sorted by '[RV Step PMI per kg API']]],Process_Steps[Name],0))</f>
        <v>#N/A</v>
      </c>
      <c r="AB20" s="122" t="e">
        <f ca="1">INDEX(Process_Steps[RV Step PMI per kg API (OTHER)],MATCH(Process_Steps[[#This Row],[Steps Sorted by '[RV Step PMI per kg API']]],Process_Steps[Name],0))</f>
        <v>#N/A</v>
      </c>
      <c r="AC20" s="124">
        <f ca="1">IF(Process_Steps[[#This Row],[Real or Virtual?]]="Real",SUMIFS(Table_Process_Details[RV Mass Net (kg) per kg API],Table_Process_Details[Step Name],Process_Steps[[#This Row],[Name]]),NA())</f>
        <v>38.412716463737347</v>
      </c>
      <c r="AD20" s="125">
        <f ca="1">IF(Process_Steps[[#This Row],[Real or Virtual?]]="Real",SUMIFS(Table_Process_Details[RV Mass Net (kg) per kg API (REAGENT)],Table_Process_Details[Step Name],Process_Steps[[#This Row],[Name]]),NA())</f>
        <v>21.822148392898534</v>
      </c>
      <c r="AE20" s="125">
        <f ca="1">IF(Process_Steps[[#This Row],[Real or Virtual?]]="Real",SUMIFS(Table_Process_Details[RV Mass Net (kg) per kg API (METAL)],Table_Process_Details[Step Name],Process_Steps[[#This Row],[Name]]),NA())</f>
        <v>0</v>
      </c>
      <c r="AF20" s="125">
        <f ca="1">IF(Process_Steps[[#This Row],[Real or Virtual?]]="Real",SUMIFS(Table_Process_Details[RV Mass Net (kg) per kg API (SOLVENT)],Table_Process_Details[Step Name],Process_Steps[[#This Row],[Name]]),NA())</f>
        <v>16.573718021655473</v>
      </c>
      <c r="AG20" s="125">
        <f ca="1">IF(Process_Steps[[#This Row],[Real or Virtual?]]="Real",SUMIFS(Table_Process_Details[RV Mass Net (kg) per kg API (WATER)],Table_Process_Details[Step Name],Process_Steps[[#This Row],[Name]]),NA())</f>
        <v>1.6850049183336515E-2</v>
      </c>
      <c r="AH20" s="125">
        <f ca="1">IF(Process_Steps[[#This Row],[Real or Virtual?]]="Real",SUMIFS(Table_Process_Details[RV Mass Net (kg) per kg API (ENZ&amp;PLNT)],Table_Process_Details[Step Name],Process_Steps[[#This Row],[Name]]),NA())</f>
        <v>0</v>
      </c>
      <c r="AI20" s="125">
        <f ca="1">IF(Process_Steps[[#This Row],[Real or Virtual?]]="Real",SUMIFS(Table_Process_Details[RV Mass Net (kg) per kg API (OTHER)],Table_Process_Details[Step Name],Process_Steps[[#This Row],[Name]]),NA())</f>
        <v>0</v>
      </c>
      <c r="AJ20" s="122" t="e">
        <f ca="1">INDEX(Process_Steps[Name if Real],MATCH(Process_Steps[[#This Row],['[RV Step Mass Net (kg) per kg API'] of Each Step Sorted by '[RV Step Mass Net (kg) per kg API']]],Process_Steps[RV Step Mass Net (kg) per kg API],0))</f>
        <v>#N/A</v>
      </c>
      <c r="AK20" s="122" t="e" cm="1">
        <f t="array" aca="1" ref="AK20" ca="1">IF(LARGE(_xlfn.IFNA(Process_Steps[RV Step Mass Net (kg) per kg API],0),Process_Steps[[#This Row],[Table Row]])=0,NA(),LARGE(_xlfn.IFNA(Process_Steps[RV Step Mass Net (kg) per kg API],0),Process_Steps[[#This Row],[Table Row]]))</f>
        <v>#N/A</v>
      </c>
      <c r="AL20" s="122" t="e">
        <f ca="1">SUM(OFFSET(Process_Steps['[RV Step Mass Net (kg) per kg API'] of Each Step Sorted by '[RV Step Mass Net (kg) per kg API']],0,0,Process_Steps[[#This Row],[Table Row]]))</f>
        <v>#N/A</v>
      </c>
      <c r="AM20" s="122" t="e">
        <f ca="1">"("&amp;TEXT(Process_Steps[[#This Row],['[RV Step Mass Net (kg) per kg API'] of Each Step Sorted by '[RV Step Mass Net (kg) per kg API']]]/SUMIF(Process_Steps['[RV Step Mass Net (kg) per kg API'] of Each Step Sorted by '[RV Step Mass Net (kg) per kg API']],"&lt;&gt;#N/A"),"0%")&amp;")"</f>
        <v>#N/A</v>
      </c>
      <c r="AN20" s="122" t="e">
        <f ca="1">INDEX(Process_Steps[RV Step Mass Net (kg) per kg API (REAGENT)],MATCH(Process_Steps[[#This Row],[Steps Sorted by '[RV Step Mass Net (kg) per kg API']]],Process_Steps[Name],0))</f>
        <v>#N/A</v>
      </c>
      <c r="AO20" s="122" t="e">
        <f ca="1">INDEX(Process_Steps[RV Step Mass Net (kg) per kg API (METAL)],MATCH(Process_Steps[[#This Row],[Steps Sorted by '[RV Step Mass Net (kg) per kg API']]],Process_Steps[Name],0))</f>
        <v>#N/A</v>
      </c>
      <c r="AP20" s="122" t="e">
        <f ca="1">INDEX(Process_Steps[RV Step Mass Net (kg) per kg API (SOLVENT)],MATCH(Process_Steps[[#This Row],[Steps Sorted by '[RV Step Mass Net (kg) per kg API']]],Process_Steps[Name],0))</f>
        <v>#N/A</v>
      </c>
      <c r="AQ20" s="122" t="e">
        <f ca="1">INDEX(Process_Steps[RV Step Mass Net (kg) per kg API (WATER)],MATCH(Process_Steps[[#This Row],[Steps Sorted by '[RV Step Mass Net (kg) per kg API']]],Process_Steps[Name],0))</f>
        <v>#N/A</v>
      </c>
      <c r="AR20" s="122" t="e">
        <f ca="1">INDEX(Process_Steps[RV Step Mass Net (kg) per kg API (ENZ&amp;PLNT)],MATCH(Process_Steps[[#This Row],[Steps Sorted by '[RV Step Mass Net (kg) per kg API']]],Process_Steps[Name],0))</f>
        <v>#N/A</v>
      </c>
      <c r="AS20" s="122" t="e">
        <f ca="1">INDEX(Process_Steps[RV Step Mass Net (kg) per kg API (OTHER)],MATCH(Process_Steps[[#This Row],[Steps Sorted by '[RV Step Mass Net (kg) per kg API']]],Process_Steps[Name],0))</f>
        <v>#N/A</v>
      </c>
      <c r="AT20" s="124">
        <f ca="1">IF(Process_Steps[[#This Row],[Real or Virtual?]]="Real",SUMIFS(Table_Process_Details[RV Energy (MJ) per kg API],Table_Process_Details[Step Name],Process_Steps[[#This Row],[Name]]),NA())</f>
        <v>1487.5659384209112</v>
      </c>
      <c r="AU20" s="125">
        <f ca="1">IF(Process_Steps[[#This Row],[Real or Virtual?]]="Real",SUMIFS(Table_Process_Details[RV Energy (MJ) per kg API (REAGENT)],Table_Process_Details[Step Name],Process_Steps[[#This Row],[Name]]),NA())</f>
        <v>783.1593780391845</v>
      </c>
      <c r="AV20" s="125">
        <f ca="1">IF(Process_Steps[[#This Row],[Real or Virtual?]]="Real",SUMIFS(Table_Process_Details[RV Energy (MJ) per kg API (METAL)],Table_Process_Details[Step Name],Process_Steps[[#This Row],[Name]]),NA())</f>
        <v>0</v>
      </c>
      <c r="AW20" s="125">
        <f ca="1">IF(Process_Steps[[#This Row],[Real or Virtual?]]="Real",SUMIFS(Table_Process_Details[RV Energy (MJ) per kg API (SOLVENT)],Table_Process_Details[Step Name],Process_Steps[[#This Row],[Name]]),NA())</f>
        <v>704.19670691870579</v>
      </c>
      <c r="AX20" s="125">
        <f ca="1">IF(Process_Steps[[#This Row],[Real or Virtual?]]="Real",SUMIFS(Table_Process_Details[RV Energy (MJ) per kg API (WATER)],Table_Process_Details[Step Name],Process_Steps[[#This Row],[Name]]),NA())</f>
        <v>0.20985346302073932</v>
      </c>
      <c r="AY20" s="125">
        <f ca="1">IF(Process_Steps[[#This Row],[Real or Virtual?]]="Real",SUMIFS(Table_Process_Details[RV Energy (MJ) per kg API (ENZ&amp;PLNT)],Table_Process_Details[Step Name],Process_Steps[[#This Row],[Name]]),NA())</f>
        <v>0</v>
      </c>
      <c r="AZ20" s="125">
        <f ca="1">IF(Process_Steps[[#This Row],[Real or Virtual?]]="Real",SUMIFS(Table_Process_Details[RV Energy (MJ) per kg API (OTHER)],Table_Process_Details[Step Name],Process_Steps[[#This Row],[Name]]),NA())</f>
        <v>0</v>
      </c>
      <c r="BA20" s="122" t="e">
        <f ca="1">INDEX(Process_Steps[Name if Real],MATCH(Process_Steps[[#This Row],['[RV Step Energy (MJ) per kg API'] of Each Step Sorted by '[RV Step Energy (MJ) per kg API']]],Process_Steps[RV Step Energy (MJ) per kg API],0))</f>
        <v>#N/A</v>
      </c>
      <c r="BB20" s="122" t="e" cm="1">
        <f t="array" aca="1" ref="BB20" ca="1">IF(LARGE(_xlfn.IFNA(Process_Steps[RV Step Energy (MJ) per kg API],0),Process_Steps[[#This Row],[Table Row]])=0,NA(),LARGE(_xlfn.IFNA(Process_Steps[RV Step Energy (MJ) per kg API],0),Process_Steps[[#This Row],[Table Row]]))</f>
        <v>#N/A</v>
      </c>
      <c r="BC20" s="122" t="e">
        <f ca="1">SUM(OFFSET(Process_Steps['[RV Step Energy (MJ) per kg API'] of Each Step Sorted by '[RV Step Energy (MJ) per kg API']],0,0,Process_Steps[[#This Row],[Table Row]]))</f>
        <v>#N/A</v>
      </c>
      <c r="BD20" s="122" t="e">
        <f ca="1">"("&amp;TEXT(Process_Steps[[#This Row],['[RV Step Energy (MJ) per kg API'] of Each Step Sorted by '[RV Step Energy (MJ) per kg API']]]/SUMIF(Process_Steps['[RV Step Energy (MJ) per kg API'] of Each Step Sorted by '[RV Step Energy (MJ) per kg API']],"&lt;&gt;#N/A"),"0%")&amp;")"</f>
        <v>#N/A</v>
      </c>
      <c r="BE20" s="122" t="e">
        <f ca="1">INDEX(Process_Steps[RV Step Energy (MJ) per kg API (REAGENT)],MATCH(Process_Steps[[#This Row],[Steps Sorted by '[RV Step Energy (MJ) per kg API']]],Process_Steps[Name],0))</f>
        <v>#N/A</v>
      </c>
      <c r="BF20" s="122" t="e">
        <f ca="1">INDEX(Process_Steps[RV Step Energy (MJ) per kg API (METAL)],MATCH(Process_Steps[[#This Row],[Steps Sorted by '[RV Step Energy (MJ) per kg API']]],Process_Steps[Name],0))</f>
        <v>#N/A</v>
      </c>
      <c r="BG20" s="122" t="e">
        <f ca="1">INDEX(Process_Steps[RV Step Energy (MJ) per kg API (SOLVENT)],MATCH(Process_Steps[[#This Row],[Steps Sorted by '[RV Step Energy (MJ) per kg API']]],Process_Steps[Name],0))</f>
        <v>#N/A</v>
      </c>
      <c r="BH20" s="122" t="e">
        <f ca="1">INDEX(Process_Steps[RV Step Energy (MJ) per kg API (WATER)],MATCH(Process_Steps[[#This Row],[Steps Sorted by '[RV Step Energy (MJ) per kg API']]],Process_Steps[Name],0))</f>
        <v>#N/A</v>
      </c>
      <c r="BI20" s="122" t="e">
        <f ca="1">INDEX(Process_Steps[RV Step Energy (MJ) per kg API (ENZ&amp;PLNT)],MATCH(Process_Steps[[#This Row],[Steps Sorted by '[RV Step Energy (MJ) per kg API']]],Process_Steps[Name],0))</f>
        <v>#N/A</v>
      </c>
      <c r="BJ20" s="122" t="e">
        <f ca="1">INDEX(Process_Steps[RV Step Energy (MJ) per kg API (OTHER)],MATCH(Process_Steps[[#This Row],[Steps Sorted by '[RV Step Energy (MJ) per kg API']]],Process_Steps[Name],0))</f>
        <v>#N/A</v>
      </c>
      <c r="BK20" s="124">
        <f ca="1">IF(Process_Steps[[#This Row],[Real or Virtual?]]="Real",SUMIFS(Table_Process_Details[RV GWP (kg CO2 equiv.) per kg API],Table_Process_Details[Step Name],Process_Steps[[#This Row],[Name]]),NA())</f>
        <v>46.711228243892393</v>
      </c>
      <c r="BL20" s="125">
        <f ca="1">IF(Process_Steps[[#This Row],[Real or Virtual?]]="Real",SUMIFS(Table_Process_Details[RV GWP (kg CO2 equiv.) per kg API (REAGENT)],Table_Process_Details[Step Name],Process_Steps[[#This Row],[Name]]),NA())</f>
        <v>27.452927634606134</v>
      </c>
      <c r="BM20" s="125">
        <f ca="1">IF(Process_Steps[[#This Row],[Real or Virtual?]]="Real",SUMIFS(Table_Process_Details[RV GWP (kg CO2 equiv.) per kg API (METAL)],Table_Process_Details[Step Name],Process_Steps[[#This Row],[Name]]),NA())</f>
        <v>0</v>
      </c>
      <c r="BN20" s="125">
        <f ca="1">IF(Process_Steps[[#This Row],[Real or Virtual?]]="Real",SUMIFS(Table_Process_Details[RV GWP (kg CO2 equiv.) per kg API (SOLVENT)],Table_Process_Details[Step Name],Process_Steps[[#This Row],[Name]]),NA())</f>
        <v>19.247116076344426</v>
      </c>
      <c r="BO20" s="125">
        <f ca="1">IF(Process_Steps[[#This Row],[Real or Virtual?]]="Real",SUMIFS(Table_Process_Details[RV GWP (kg CO2 equiv.) per kg API (WATER)],Table_Process_Details[Step Name],Process_Steps[[#This Row],[Name]]),NA())</f>
        <v>1.1184532941824272E-2</v>
      </c>
      <c r="BP20" s="125">
        <f ca="1">IF(Process_Steps[[#This Row],[Real or Virtual?]]="Real",SUMIFS(Table_Process_Details[RV GWP (kg CO2 equiv.) per kg API (ENZ&amp;PLNT)],Table_Process_Details[Step Name],Process_Steps[[#This Row],[Name]]),NA())</f>
        <v>0</v>
      </c>
      <c r="BQ20" s="125">
        <f ca="1">IF(Process_Steps[[#This Row],[Real or Virtual?]]="Real",SUMIFS(Table_Process_Details[RV GWP (kg CO2 equiv.) per kg API (OTHER)],Table_Process_Details[Step Name],Process_Steps[[#This Row],[Name]]),NA())</f>
        <v>0</v>
      </c>
      <c r="BR20" s="122" t="e">
        <f ca="1">INDEX(Process_Steps[Name if Real],MATCH(Process_Steps[[#This Row],['[RV Step GWP (kg CO2 equiv.) per kg API'] of Each Step Sorted by '[RV Step GWP (kg CO2 equiv.) per kg API']]],Process_Steps[RV Step GWP (kg CO2 equiv.) per kg API],0))</f>
        <v>#N/A</v>
      </c>
      <c r="BS20" s="122" t="e" cm="1">
        <f t="array" aca="1" ref="BS20" ca="1">IF(LARGE(_xlfn.IFNA(Process_Steps[RV Step GWP (kg CO2 equiv.) per kg API],0),Process_Steps[[#This Row],[Table Row]])=0,NA(),LARGE(_xlfn.IFNA(Process_Steps[RV Step GWP (kg CO2 equiv.) per kg API],0),Process_Steps[[#This Row],[Table Row]]))</f>
        <v>#N/A</v>
      </c>
      <c r="BT20" s="122" t="e">
        <f ca="1">SUM(OFFSET(Process_Steps['[RV Step GWP (kg CO2 equiv.) per kg API'] of Each Step Sorted by '[RV Step GWP (kg CO2 equiv.) per kg API']],0,0,Process_Steps[[#This Row],[Table Row]]))</f>
        <v>#N/A</v>
      </c>
      <c r="BU20" s="122" t="e">
        <f ca="1">"("&amp;TEXT(Process_Steps[[#This Row],['[RV Step GWP (kg CO2 equiv.) per kg API'] of Each Step Sorted by '[RV Step GWP (kg CO2 equiv.) per kg API']]]/SUMIF(Process_Steps['[RV Step GWP (kg CO2 equiv.) per kg API'] of Each Step Sorted by '[RV Step GWP (kg CO2 equiv.) per kg API']],"&lt;&gt;#N/A"),"0%")&amp;")"</f>
        <v>#N/A</v>
      </c>
      <c r="BV20" s="122" t="e">
        <f ca="1">INDEX(Process_Steps[RV Step GWP (kg CO2 equiv.) per kg API (REAGENT)],MATCH(Process_Steps[[#This Row],[Steps Sorted by '[RV Step GWP (kg CO2 equiv.) per kg API']]],Process_Steps[Name],0))</f>
        <v>#N/A</v>
      </c>
      <c r="BW20" s="122" t="e">
        <f ca="1">INDEX(Process_Steps[RV Step GWP (kg CO2 equiv.) per kg API (METAL)],MATCH(Process_Steps[[#This Row],[Steps Sorted by '[RV Step GWP (kg CO2 equiv.) per kg API']]],Process_Steps[Name],0))</f>
        <v>#N/A</v>
      </c>
      <c r="BX20" s="122" t="e">
        <f ca="1">INDEX(Process_Steps[RV Step GWP (kg CO2 equiv.) per kg API (SOLVENT)],MATCH(Process_Steps[[#This Row],[Steps Sorted by '[RV Step GWP (kg CO2 equiv.) per kg API']]],Process_Steps[Name],0))</f>
        <v>#N/A</v>
      </c>
      <c r="BY20" s="122" t="e">
        <f ca="1">INDEX(Process_Steps[RV Step GWP (kg CO2 equiv.) per kg API (WATER)],MATCH(Process_Steps[[#This Row],[Steps Sorted by '[RV Step GWP (kg CO2 equiv.) per kg API']]],Process_Steps[Name],0))</f>
        <v>#N/A</v>
      </c>
      <c r="BZ20" s="122" t="e">
        <f ca="1">INDEX(Process_Steps[RV Step GWP (kg CO2 equiv.) per kg API (ENZ&amp;PLNT)],MATCH(Process_Steps[[#This Row],[Steps Sorted by '[RV Step GWP (kg CO2 equiv.) per kg API']]],Process_Steps[Name],0))</f>
        <v>#N/A</v>
      </c>
      <c r="CA20" s="122" t="e">
        <f ca="1">INDEX(Process_Steps[RV Step GWP (kg CO2 equiv.) per kg API (OTHER)],MATCH(Process_Steps[[#This Row],[Steps Sorted by '[RV Step GWP (kg CO2 equiv.) per kg API']]],Process_Steps[Name],0))</f>
        <v>#N/A</v>
      </c>
      <c r="CB20" s="124">
        <f ca="1">IF(Process_Steps[[#This Row],[Real or Virtual?]]="Real",SUMIFS(Table_Process_Details[RV Acidification (kg SO2 equiv.) per kg API],Table_Process_Details[Step Name],Process_Steps[[#This Row],[Name]]),NA())</f>
        <v>0.18376335119880077</v>
      </c>
      <c r="CC20" s="125">
        <f ca="1">IF(Process_Steps[[#This Row],[Real or Virtual?]]="Real",SUMIFS(Table_Process_Details[RV Acidification (kg SO2 equiv.) per kg API (REAGENT)],Table_Process_Details[Step Name],Process_Steps[[#This Row],[Name]]),NA())</f>
        <v>0.1174008961978827</v>
      </c>
      <c r="CD20" s="125">
        <f ca="1">IF(Process_Steps[[#This Row],[Real or Virtual?]]="Real",SUMIFS(Table_Process_Details[RV Acidification (kg SO2 equiv.) per kg API (METAL)],Table_Process_Details[Step Name],Process_Steps[[#This Row],[Name]]),NA())</f>
        <v>0</v>
      </c>
      <c r="CE20" s="125">
        <f ca="1">IF(Process_Steps[[#This Row],[Real or Virtual?]]="Real",SUMIFS(Table_Process_Details[RV Acidification (kg SO2 equiv.) per kg API (SOLVENT)],Table_Process_Details[Step Name],Process_Steps[[#This Row],[Name]]),NA())</f>
        <v>6.6319605652413779E-2</v>
      </c>
      <c r="CF20" s="125">
        <f ca="1">IF(Process_Steps[[#This Row],[Real or Virtual?]]="Real",SUMIFS(Table_Process_Details[RV Acidification (kg SO2 equiv.) per kg API (WATER)],Table_Process_Details[Step Name],Process_Steps[[#This Row],[Name]]),NA())</f>
        <v>4.284934850431303E-5</v>
      </c>
      <c r="CG20" s="125">
        <f ca="1">IF(Process_Steps[[#This Row],[Real or Virtual?]]="Real",SUMIFS(Table_Process_Details[RV Acidification (kg SO2 equiv.) per kg API (ENZ&amp;PLNT)],Table_Process_Details[Step Name],Process_Steps[[#This Row],[Name]]),NA())</f>
        <v>0</v>
      </c>
      <c r="CH20" s="125">
        <f ca="1">IF(Process_Steps[[#This Row],[Real or Virtual?]]="Real",SUMIFS(Table_Process_Details[RV Acidification (kg SO2 equiv.) per kg API (OTHER)],Table_Process_Details[Step Name],Process_Steps[[#This Row],[Name]]),NA())</f>
        <v>0</v>
      </c>
      <c r="CI20" s="122" t="e">
        <f ca="1">INDEX(Process_Steps[Name if Real],MATCH(Process_Steps[[#This Row],['[RV Step Acidification (kg SO2 equiv.) per kg API'] of Each Step Sorted by '[RV Step Acidification (kg SO2 equiv.) per kg API']]],Process_Steps[RV Step Acidification (kg SO2 equiv.) per kg API],0))</f>
        <v>#N/A</v>
      </c>
      <c r="CJ20" s="122" t="e" cm="1">
        <f t="array" aca="1" ref="CJ20" ca="1">IF(LARGE(_xlfn.IFNA(Process_Steps[RV Step Acidification (kg SO2 equiv.) per kg API],0),Process_Steps[[#This Row],[Table Row]])=0,NA(),LARGE(_xlfn.IFNA(Process_Steps[RV Step Acidification (kg SO2 equiv.) per kg API],0),Process_Steps[[#This Row],[Table Row]]))</f>
        <v>#N/A</v>
      </c>
      <c r="CK20" s="122" t="e">
        <f ca="1">SUM(OFFSET(Process_Steps['[RV Step Acidification (kg SO2 equiv.) per kg API'] of Each Step Sorted by '[RV Step Acidification (kg SO2 equiv.) per kg API']],0,0,Process_Steps[[#This Row],[Table Row]]))</f>
        <v>#N/A</v>
      </c>
      <c r="CL20" s="122"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0" s="122" t="e">
        <f ca="1">INDEX(Process_Steps[RV Step Acidification (kg SO2 equiv.) per kg API (REAGENT)],MATCH(Process_Steps[[#This Row],[Steps Sorted by '[RV Step Acidification (kg SO2 equiv.) per kg API']]],Process_Steps[Name],0))</f>
        <v>#N/A</v>
      </c>
      <c r="CN20" s="122" t="e">
        <f ca="1">INDEX(Process_Steps[RV Step Acidification (kg SO2 equiv.) per kg API (METAL)],MATCH(Process_Steps[[#This Row],[Steps Sorted by '[RV Step Acidification (kg SO2 equiv.) per kg API']]],Process_Steps[Name],0))</f>
        <v>#N/A</v>
      </c>
      <c r="CO20" s="122" t="e">
        <f ca="1">INDEX(Process_Steps[RV Step Acidification (kg SO2 equiv.) per kg API (SOLVENT)],MATCH(Process_Steps[[#This Row],[Steps Sorted by '[RV Step Acidification (kg SO2 equiv.) per kg API']]],Process_Steps[Name],0))</f>
        <v>#N/A</v>
      </c>
      <c r="CP20" s="122" t="e">
        <f ca="1">INDEX(Process_Steps[RV Step Acidification (kg SO2 equiv.) per kg API (WATER)],MATCH(Process_Steps[[#This Row],[Steps Sorted by '[RV Step Acidification (kg SO2 equiv.) per kg API']]],Process_Steps[Name],0))</f>
        <v>#N/A</v>
      </c>
      <c r="CQ20" s="122" t="e">
        <f ca="1">INDEX(Process_Steps[RV Step Acidification (kg SO2 equiv.) per kg API (ENZ&amp;PLNT)],MATCH(Process_Steps[[#This Row],[Steps Sorted by '[RV Step Acidification (kg SO2 equiv.) per kg API']]],Process_Steps[Name],0))</f>
        <v>#N/A</v>
      </c>
      <c r="CR20" s="122" t="e">
        <f ca="1">INDEX(Process_Steps[RV Step Acidification (kg SO2 equiv.) per kg API (OTHER)],MATCH(Process_Steps[[#This Row],[Steps Sorted by '[RV Step Acidification (kg SO2 equiv.) per kg API']]],Process_Steps[Name],0))</f>
        <v>#N/A</v>
      </c>
      <c r="CS20" s="124">
        <f ca="1">IF(Process_Steps[[#This Row],[Real or Virtual?]]="Real",SUMIFS(Table_Process_Details[RV Eutrophication (kg phosphate equiv.) per kg API],Table_Process_Details[Step Name],Process_Steps[[#This Row],[Name]]),NA())</f>
        <v>0.53637991561224418</v>
      </c>
      <c r="CT20" s="125">
        <f ca="1">IF(Process_Steps[[#This Row],[Real or Virtual?]]="Real",SUMIFS(Table_Process_Details[RV Eutrophication (kg phosphate equiv.) per kg API (REAGENT)],Table_Process_Details[Step Name],Process_Steps[[#This Row],[Name]]),NA())</f>
        <v>9.400401110058737E-2</v>
      </c>
      <c r="CU20" s="125">
        <f ca="1">IF(Process_Steps[[#This Row],[Real or Virtual?]]="Real",SUMIFS(Table_Process_Details[RV Eutrophication (kg phosphate equiv.) per kg API (METAL)],Table_Process_Details[Step Name],Process_Steps[[#This Row],[Name]]),NA())</f>
        <v>0</v>
      </c>
      <c r="CV20" s="125">
        <f ca="1">IF(Process_Steps[[#This Row],[Real or Virtual?]]="Real",SUMIFS(Table_Process_Details[RV Eutrophication (kg phosphate equiv.) per kg API (SOLVENT)],Table_Process_Details[Step Name],Process_Steps[[#This Row],[Name]]),NA())</f>
        <v>0.44235037869701188</v>
      </c>
      <c r="CW20" s="125">
        <f ca="1">IF(Process_Steps[[#This Row],[Real or Virtual?]]="Real",SUMIFS(Table_Process_Details[RV Eutrophication (kg phosphate equiv.) per kg API (WATER)],Table_Process_Details[Step Name],Process_Steps[[#This Row],[Name]]),NA())</f>
        <v>2.5525814644889162E-5</v>
      </c>
      <c r="CX20" s="125">
        <f ca="1">IF(Process_Steps[[#This Row],[Real or Virtual?]]="Real",SUMIFS(Table_Process_Details[RV Eutrophication (kg phosphate equiv.) per kg API (ENZ&amp;PLNT)],Table_Process_Details[Step Name],Process_Steps[[#This Row],[Name]]),NA())</f>
        <v>0</v>
      </c>
      <c r="CY20" s="125">
        <f ca="1">IF(Process_Steps[[#This Row],[Real or Virtual?]]="Real",SUMIFS(Table_Process_Details[RV Eutrophication (kg phosphate equiv.) per kg API (OTHER)],Table_Process_Details[Step Name],Process_Steps[[#This Row],[Name]]),NA())</f>
        <v>0</v>
      </c>
      <c r="CZ20" s="122" t="e">
        <f ca="1">INDEX(Process_Steps[Name if Real],MATCH(Process_Steps[[#This Row],['[RV Step Eutrophication (kg phosphate equiv.) per kg API'] of Each Step Sorted by '[RV Step Eutrophication (kg phosphate equiv.) per kg API']]],Process_Steps[RV Step Eutrophication (kg posphate equiv.) per kg API],0))</f>
        <v>#N/A</v>
      </c>
      <c r="DA20" s="122" t="e" cm="1">
        <f t="array" aca="1" ref="DA20" ca="1">IF(LARGE(_xlfn.IFNA(Process_Steps[RV Step Eutrophication (kg posphate equiv.) per kg API],0),Process_Steps[[#This Row],[Table Row]])=0,NA(),LARGE(_xlfn.IFNA(Process_Steps[RV Step Eutrophication (kg posphate equiv.) per kg API],0),Process_Steps[[#This Row],[Table Row]]))</f>
        <v>#N/A</v>
      </c>
      <c r="DB20" s="122" t="e">
        <f ca="1">SUM(OFFSET(Process_Steps['[RV Step Eutrophication (kg phosphate equiv.) per kg API'] of Each Step Sorted by '[RV Step Eutrophication (kg phosphate equiv.) per kg API']],0,0,Process_Steps[[#This Row],[Table Row]]))</f>
        <v>#N/A</v>
      </c>
      <c r="DC20" s="122"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0" s="122" t="e">
        <f ca="1">INDEX(Process_Steps[RV Step Eutrophication (kg posphate equiv.) per kg API (REAGENT)],MATCH(Process_Steps[[#This Row],[Steps Sorted by '[RV Step Eutrophication (kg phosphate equiv.) per kg API']]],Process_Steps[Name],0))</f>
        <v>#N/A</v>
      </c>
      <c r="DE20" s="122" t="e">
        <f ca="1">INDEX(Process_Steps[RV Step Eutrophication (kg posphate equiv.) per kg API (METAL)],MATCH(Process_Steps[[#This Row],[Steps Sorted by '[RV Step Eutrophication (kg phosphate equiv.) per kg API']]],Process_Steps[Name],0))</f>
        <v>#N/A</v>
      </c>
      <c r="DF20" s="122" t="e">
        <f ca="1">INDEX(Process_Steps[RV Step Eutrophication (kg posphate equiv.) per kg API (SOLVENT)],MATCH(Process_Steps[[#This Row],[Steps Sorted by '[RV Step Eutrophication (kg phosphate equiv.) per kg API']]],Process_Steps[Name],0))</f>
        <v>#N/A</v>
      </c>
      <c r="DG20" s="122" t="e">
        <f ca="1">INDEX(Process_Steps[RV Step Eutrophication (kg posphate equiv.) per kg API (WATER)],MATCH(Process_Steps[[#This Row],[Steps Sorted by '[RV Step Eutrophication (kg phosphate equiv.) per kg API']]],Process_Steps[Name],0))</f>
        <v>#N/A</v>
      </c>
      <c r="DH20" s="122" t="e">
        <f ca="1">INDEX(Process_Steps[RV Step Eutrophication (kg posphate equiv.) per kg API (ENZ&amp;PLNT)],MATCH(Process_Steps[[#This Row],[Steps Sorted by '[RV Step Eutrophication (kg phosphate equiv.) per kg API']]],Process_Steps[Name],0))</f>
        <v>#N/A</v>
      </c>
      <c r="DI20" s="122" t="e">
        <f ca="1">INDEX(Process_Steps[RV Step Eutrophication (kg posphate equiv.) per kg API (OTHER)],MATCH(Process_Steps[[#This Row],[Steps Sorted by '[RV Step Eutrophication (kg phosphate equiv.) per kg API']]],Process_Steps[Name],0))</f>
        <v>#N/A</v>
      </c>
      <c r="DJ20" s="124">
        <f ca="1">IF(Process_Steps[[#This Row],[Real or Virtual?]]="Real",SUMIFS(Table_Process_Details[RV Water (kg) per kg API],Table_Process_Details[Step Name],Process_Steps[[#This Row],[Name]]),NA())</f>
        <v>222.39994815541937</v>
      </c>
      <c r="DK20" s="125">
        <f ca="1">IF(Process_Steps[[#This Row],[Real or Virtual?]]="Real",SUMIFS(Table_Process_Details[RV Water (kg) per kg API (REAGENT)],Table_Process_Details[Step Name],Process_Steps[[#This Row],[Name]]),NA())</f>
        <v>153.72237003099235</v>
      </c>
      <c r="DL20" s="125">
        <f ca="1">IF(Process_Steps[[#This Row],[Real or Virtual?]]="Real",SUMIFS(Table_Process_Details[RV Water (kg) per kg API (METAL)],Table_Process_Details[Step Name],Process_Steps[[#This Row],[Name]]),NA())</f>
        <v>0</v>
      </c>
      <c r="DM20" s="125">
        <f ca="1">IF(Process_Steps[[#This Row],[Real or Virtual?]]="Real",SUMIFS(Table_Process_Details[RV Water (kg) per kg API (SOLVENT)],Table_Process_Details[Step Name],Process_Steps[[#This Row],[Name]]),NA())</f>
        <v>54.766595191778713</v>
      </c>
      <c r="DN20" s="125">
        <f ca="1">IF(Process_Steps[[#This Row],[Real or Virtual?]]="Real",SUMIFS(Table_Process_Details[RV Water (kg) per kg API (WATER)],Table_Process_Details[Step Name],Process_Steps[[#This Row],[Name]]),NA())</f>
        <v>13.910982932648295</v>
      </c>
      <c r="DO20" s="125">
        <f ca="1">IF(Process_Steps[[#This Row],[Real or Virtual?]]="Real",SUMIFS(Table_Process_Details[RV Water (kg) per kg API (ENZ&amp;PLNT)],Table_Process_Details[Step Name],Process_Steps[[#This Row],[Name]]),NA())</f>
        <v>0</v>
      </c>
      <c r="DP20" s="125">
        <f ca="1">IF(Process_Steps[[#This Row],[Real or Virtual?]]="Real",SUMIFS(Table_Process_Details[RV Water (kg) per kg API (OTHER)],Table_Process_Details[Step Name],Process_Steps[[#This Row],[Name]]),NA())</f>
        <v>0</v>
      </c>
      <c r="DQ20" s="122" t="e">
        <f ca="1">INDEX(Process_Steps[Name if Real],MATCH(Process_Steps[[#This Row],['[RV Step Water (kg) per kg API'] of Each Step Sorted by '[RV Step Water (kg) per kg API']]],Process_Steps[RV Step Water (kg) per kg API],0))</f>
        <v>#N/A</v>
      </c>
      <c r="DR20" s="122" t="e" cm="1">
        <f t="array" aca="1" ref="DR20" ca="1">IF(LARGE(_xlfn.IFNA(Process_Steps[RV Step Water (kg) per kg API],0),Process_Steps[[#This Row],[Table Row]])=0,NA(),LARGE(_xlfn.IFNA(Process_Steps[RV Step Water (kg) per kg API],0),Process_Steps[[#This Row],[Table Row]]))</f>
        <v>#N/A</v>
      </c>
      <c r="DS20" s="122" t="e">
        <f ca="1">SUM(OFFSET(Process_Steps['[RV Step Water (kg) per kg API'] of Each Step Sorted by '[RV Step Water (kg) per kg API']],0,0,Process_Steps[[#This Row],[Table Row]]))</f>
        <v>#N/A</v>
      </c>
      <c r="DT20" s="122" t="e">
        <f ca="1">"("&amp;TEXT(Process_Steps[[#This Row],['[RV Step Water (kg) per kg API'] of Each Step Sorted by '[RV Step Water (kg) per kg API']]]/SUMIF(Process_Steps['[RV Step Water (kg) per kg API'] of Each Step Sorted by '[RV Step Water (kg) per kg API']],"&lt;&gt;#N/A"),"0%")&amp;")"</f>
        <v>#N/A</v>
      </c>
      <c r="DU20" s="122" t="e">
        <f ca="1">INDEX(Process_Steps[RV Step Water (kg) per kg API (REAGENT)],MATCH(Process_Steps[[#This Row],[Steps Sorted by '[RV Step Water (kg) per kg API']]],Process_Steps[Name],0))</f>
        <v>#N/A</v>
      </c>
      <c r="DV20" s="122" t="e">
        <f ca="1">INDEX(Process_Steps[RV Step Water (kg) per kg API (METAL)],MATCH(Process_Steps[[#This Row],[Steps Sorted by '[RV Step Water (kg) per kg API']]],Process_Steps[Name],0))</f>
        <v>#N/A</v>
      </c>
      <c r="DW20" s="122" t="e">
        <f ca="1">INDEX(Process_Steps[RV Step Water (kg) per kg API (SOLVENT)],MATCH(Process_Steps[[#This Row],[Steps Sorted by '[RV Step Water (kg) per kg API']]],Process_Steps[Name],0))</f>
        <v>#N/A</v>
      </c>
      <c r="DX20" s="122" t="e">
        <f ca="1">INDEX(Process_Steps[RV Step Water (kg) per kg API (WATER)],MATCH(Process_Steps[[#This Row],[Steps Sorted by '[RV Step Water (kg) per kg API']]],Process_Steps[Name],0))</f>
        <v>#N/A</v>
      </c>
      <c r="DY20" s="122" t="e">
        <f ca="1">INDEX(Process_Steps[RV Step Water (kg) per kg API (ENZ&amp;PLNT)],MATCH(Process_Steps[[#This Row],[Steps Sorted by '[RV Step Water (kg) per kg API']]],Process_Steps[Name],0))</f>
        <v>#N/A</v>
      </c>
      <c r="DZ20" s="122" t="e">
        <f ca="1">INDEX(Process_Steps[RV Step Water (kg) per kg API (OTHER)],MATCH(Process_Steps[[#This Row],[Steps Sorted by '[RV Step Water (kg) per kg API']]],Process_Steps[Name],0))</f>
        <v>#N/A</v>
      </c>
    </row>
    <row r="21" spans="1:130" x14ac:dyDescent="0.25">
      <c r="A21" t="s">
        <v>800</v>
      </c>
      <c r="B21" t="s">
        <v>175</v>
      </c>
      <c r="C21" t="s">
        <v>801</v>
      </c>
      <c r="D21" t="s">
        <v>845</v>
      </c>
      <c r="F21" s="25">
        <f>INDEX(Table_Process_Details[Physical Mass (kg)],MATCH(1,INDEX((Process_Steps[[#This Row],[Name]]=Table_Process_Details[Step Name])*(Table_Process_Details[Input or Output]="Output"),0),0))</f>
        <v>92</v>
      </c>
      <c r="G21" s="25" cm="1">
        <f t="array" aca="1" ref="G21"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4.404477885850647</v>
      </c>
      <c r="H21" s="28">
        <f ca="1">Process_Steps[[#This Row],[Total Mass that must be produced]]/Process_Steps[[#This Row],[Unscaled Step Product Mass]]</f>
        <v>4.7874759628811381E-2</v>
      </c>
      <c r="I21" s="23" t="e">
        <f>IF(Process_Steps[[#This Row],[Real or Virtual?]]="Real",Process_Steps[[#This Row],[Name]],NA())</f>
        <v>#N/A</v>
      </c>
      <c r="J21" s="30">
        <f>ROW()-ROW(Process_Steps[[#Headers],[Table Row]])</f>
        <v>15</v>
      </c>
      <c r="K21"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21" s="118" t="e">
        <f>IF(Process_Steps[[#This Row],[Real or Virtual?]]="Real",SUMIFS(Table_Process_Details[RV Physical Mass per kg API],Table_Process_Details[Input or Output],"Input",Table_Process_Details[Step Name],Process_Steps[[#This Row],[Name]]),NA())</f>
        <v>#N/A</v>
      </c>
      <c r="M21" s="20" t="e">
        <f>IF(Process_Steps[[#This Row],[Real or Virtual?]]="Real",SUMIFS(Table_Process_Details[RV Physical Mass per kg API (REAGENT)],Table_Process_Details[Input or Output],"Input",Table_Process_Details[Step Name],Process_Steps[[#This Row],[Name]]),NA())</f>
        <v>#N/A</v>
      </c>
      <c r="N21" s="20" t="e">
        <f>IF(Process_Steps[[#This Row],[Real or Virtual?]]="Real",SUMIFS(Table_Process_Details[RV Physical Mass per kg API (METAL)],Table_Process_Details[Input or Output],"Input",Table_Process_Details[Step Name],Process_Steps[[#This Row],[Name]]),NA())</f>
        <v>#N/A</v>
      </c>
      <c r="O21" s="20" t="e">
        <f>IF(Process_Steps[[#This Row],[Real or Virtual?]]="Real",SUMIFS(Table_Process_Details[RV Physical Mass per kg API (SOLVENT)],Table_Process_Details[Input or Output],"Input",Table_Process_Details[Step Name],Process_Steps[[#This Row],[Name]]),NA())</f>
        <v>#N/A</v>
      </c>
      <c r="P21" s="20" t="e">
        <f>IF(Process_Steps[[#This Row],[Real or Virtual?]]="Real",SUMIFS(Table_Process_Details[RV Physical Mass per kg API (WATER)],Table_Process_Details[Input or Output],"Input",Table_Process_Details[Step Name],Process_Steps[[#This Row],[Name]]),NA())</f>
        <v>#N/A</v>
      </c>
      <c r="Q21" s="20" t="e">
        <f>IF(Process_Steps[[#This Row],[Real or Virtual?]]="Real",SUMIFS(Table_Process_Details[RV Physical Mass per kg API (ENZ&amp;PLNT)],Table_Process_Details[Input or Output],"Input",Table_Process_Details[Step Name],Process_Steps[[#This Row],[Name]]),NA())</f>
        <v>#N/A</v>
      </c>
      <c r="R21" s="20" t="e">
        <f>IF(Process_Steps[[#This Row],[Real or Virtual?]]="Real",SUMIFS(Table_Process_Details[RV Physical Mass per kg API (OTHER)],Table_Process_Details[Input or Output],"Input",Table_Process_Details[Step Name],Process_Steps[[#This Row],[Name]]),NA())</f>
        <v>#N/A</v>
      </c>
      <c r="S21" s="118" t="e">
        <f ca="1">INDEX(Process_Steps[Name if Real],MATCH(Process_Steps[[#This Row],['[RV Step PMI per kg API'] of Each Step Sorted by '[RV Step PMI per kg API']]],Process_Steps[RV Step PMI per kg API],0))</f>
        <v>#N/A</v>
      </c>
      <c r="T21" s="118" t="e" cm="1">
        <f t="array" aca="1" ref="T21" ca="1">IF(LARGE(_xlfn.IFNA(Process_Steps[RV Step PMI per kg API],0),Process_Steps[[#This Row],[Table Row]])=0,NA(),LARGE(_xlfn.IFNA(Process_Steps[RV Step PMI per kg API],0),Process_Steps[[#This Row],[Table Row]]))</f>
        <v>#N/A</v>
      </c>
      <c r="U21" s="118" t="e">
        <f ca="1">SUM(OFFSET(Process_Steps['[RV Step PMI per kg API'] of Each Step Sorted by '[RV Step PMI per kg API']],0,0,Process_Steps[[#This Row],[Table Row]]))</f>
        <v>#N/A</v>
      </c>
      <c r="V21" s="118" t="e">
        <f ca="1">"("&amp;TEXT(Process_Steps[[#This Row],['[RV Step PMI per kg API'] of Each Step Sorted by '[RV Step PMI per kg API']]]/SUMIF(Process_Steps['[RV Step PMI per kg API'] of Each Step Sorted by '[RV Step PMI per kg API']],"&lt;&gt;#N/A"),"0%")&amp;")"</f>
        <v>#N/A</v>
      </c>
      <c r="W21" s="23" t="e">
        <f ca="1">INDEX(Process_Steps[RV Step PMI per kg API (REAGENT)],MATCH(Process_Steps[[#This Row],[Steps Sorted by '[RV Step PMI per kg API']]],Process_Steps[Name],0))</f>
        <v>#N/A</v>
      </c>
      <c r="X21" s="23" t="e">
        <f ca="1">INDEX(Process_Steps[RV Step PMI per kg API (METAL)],MATCH(Process_Steps[[#This Row],[Steps Sorted by '[RV Step PMI per kg API']]],Process_Steps[Name],0))</f>
        <v>#N/A</v>
      </c>
      <c r="Y21" s="23" t="e">
        <f ca="1">INDEX(Process_Steps[RV Step PMI per kg API (SOLVENT)],MATCH(Process_Steps[[#This Row],[Steps Sorted by '[RV Step PMI per kg API']]],Process_Steps[Name],0))</f>
        <v>#N/A</v>
      </c>
      <c r="Z21" s="23" t="e">
        <f ca="1">INDEX(Process_Steps[RV Step PMI per kg API (WATER)],MATCH(Process_Steps[[#This Row],[Steps Sorted by '[RV Step PMI per kg API']]],Process_Steps[Name],0))</f>
        <v>#N/A</v>
      </c>
      <c r="AA21" s="23" t="e">
        <f ca="1">INDEX(Process_Steps[RV Step PMI per kg API (ENZ&amp;PLNT)],MATCH(Process_Steps[[#This Row],[Steps Sorted by '[RV Step PMI per kg API']]],Process_Steps[Name],0))</f>
        <v>#N/A</v>
      </c>
      <c r="AB21" s="23" t="e">
        <f ca="1">INDEX(Process_Steps[RV Step PMI per kg API (OTHER)],MATCH(Process_Steps[[#This Row],[Steps Sorted by '[RV Step PMI per kg API']]],Process_Steps[Name],0))</f>
        <v>#N/A</v>
      </c>
      <c r="AC21" s="118" t="e">
        <f>IF(Process_Steps[[#This Row],[Real or Virtual?]]="Real",SUMIFS(Table_Process_Details[RV Mass Net (kg) per kg API],Table_Process_Details[Step Name],Process_Steps[[#This Row],[Name]]),NA())</f>
        <v>#N/A</v>
      </c>
      <c r="AD21" s="20" t="e">
        <f>IF(Process_Steps[[#This Row],[Real or Virtual?]]="Real",SUMIFS(Table_Process_Details[RV Mass Net (kg) per kg API (REAGENT)],Table_Process_Details[Step Name],Process_Steps[[#This Row],[Name]]),NA())</f>
        <v>#N/A</v>
      </c>
      <c r="AE21" s="20" t="e">
        <f>IF(Process_Steps[[#This Row],[Real or Virtual?]]="Real",SUMIFS(Table_Process_Details[RV Mass Net (kg) per kg API (METAL)],Table_Process_Details[Step Name],Process_Steps[[#This Row],[Name]]),NA())</f>
        <v>#N/A</v>
      </c>
      <c r="AF21" s="20" t="e">
        <f>IF(Process_Steps[[#This Row],[Real or Virtual?]]="Real",SUMIFS(Table_Process_Details[RV Mass Net (kg) per kg API (SOLVENT)],Table_Process_Details[Step Name],Process_Steps[[#This Row],[Name]]),NA())</f>
        <v>#N/A</v>
      </c>
      <c r="AG21" s="20" t="e">
        <f>IF(Process_Steps[[#This Row],[Real or Virtual?]]="Real",SUMIFS(Table_Process_Details[RV Mass Net (kg) per kg API (WATER)],Table_Process_Details[Step Name],Process_Steps[[#This Row],[Name]]),NA())</f>
        <v>#N/A</v>
      </c>
      <c r="AH21" s="20" t="e">
        <f>IF(Process_Steps[[#This Row],[Real or Virtual?]]="Real",SUMIFS(Table_Process_Details[RV Mass Net (kg) per kg API (ENZ&amp;PLNT)],Table_Process_Details[Step Name],Process_Steps[[#This Row],[Name]]),NA())</f>
        <v>#N/A</v>
      </c>
      <c r="AI21" s="20" t="e">
        <f>IF(Process_Steps[[#This Row],[Real or Virtual?]]="Real",SUMIFS(Table_Process_Details[RV Mass Net (kg) per kg API (OTHER)],Table_Process_Details[Step Name],Process_Steps[[#This Row],[Name]]),NA())</f>
        <v>#N/A</v>
      </c>
      <c r="AJ21" s="23" t="e">
        <f ca="1">INDEX(Process_Steps[Name if Real],MATCH(Process_Steps[[#This Row],['[RV Step Mass Net (kg) per kg API'] of Each Step Sorted by '[RV Step Mass Net (kg) per kg API']]],Process_Steps[RV Step Mass Net (kg) per kg API],0))</f>
        <v>#N/A</v>
      </c>
      <c r="AK21" s="23" t="e" cm="1">
        <f t="array" aca="1" ref="AK21" ca="1">IF(LARGE(_xlfn.IFNA(Process_Steps[RV Step Mass Net (kg) per kg API],0),Process_Steps[[#This Row],[Table Row]])=0,NA(),LARGE(_xlfn.IFNA(Process_Steps[RV Step Mass Net (kg) per kg API],0),Process_Steps[[#This Row],[Table Row]]))</f>
        <v>#N/A</v>
      </c>
      <c r="AL21" s="23" t="e">
        <f ca="1">SUM(OFFSET(Process_Steps['[RV Step Mass Net (kg) per kg API'] of Each Step Sorted by '[RV Step Mass Net (kg) per kg API']],0,0,Process_Steps[[#This Row],[Table Row]]))</f>
        <v>#N/A</v>
      </c>
      <c r="AM21" s="23" t="e">
        <f ca="1">"("&amp;TEXT(Process_Steps[[#This Row],['[RV Step Mass Net (kg) per kg API'] of Each Step Sorted by '[RV Step Mass Net (kg) per kg API']]]/SUMIF(Process_Steps['[RV Step Mass Net (kg) per kg API'] of Each Step Sorted by '[RV Step Mass Net (kg) per kg API']],"&lt;&gt;#N/A"),"0%")&amp;")"</f>
        <v>#N/A</v>
      </c>
      <c r="AN21" s="23" t="e">
        <f ca="1">INDEX(Process_Steps[RV Step Mass Net (kg) per kg API (REAGENT)],MATCH(Process_Steps[[#This Row],[Steps Sorted by '[RV Step Mass Net (kg) per kg API']]],Process_Steps[Name],0))</f>
        <v>#N/A</v>
      </c>
      <c r="AO21" s="23" t="e">
        <f ca="1">INDEX(Process_Steps[RV Step Mass Net (kg) per kg API (METAL)],MATCH(Process_Steps[[#This Row],[Steps Sorted by '[RV Step Mass Net (kg) per kg API']]],Process_Steps[Name],0))</f>
        <v>#N/A</v>
      </c>
      <c r="AP21" s="23" t="e">
        <f ca="1">INDEX(Process_Steps[RV Step Mass Net (kg) per kg API (SOLVENT)],MATCH(Process_Steps[[#This Row],[Steps Sorted by '[RV Step Mass Net (kg) per kg API']]],Process_Steps[Name],0))</f>
        <v>#N/A</v>
      </c>
      <c r="AQ21" s="23" t="e">
        <f ca="1">INDEX(Process_Steps[RV Step Mass Net (kg) per kg API (WATER)],MATCH(Process_Steps[[#This Row],[Steps Sorted by '[RV Step Mass Net (kg) per kg API']]],Process_Steps[Name],0))</f>
        <v>#N/A</v>
      </c>
      <c r="AR21" s="23" t="e">
        <f ca="1">INDEX(Process_Steps[RV Step Mass Net (kg) per kg API (ENZ&amp;PLNT)],MATCH(Process_Steps[[#This Row],[Steps Sorted by '[RV Step Mass Net (kg) per kg API']]],Process_Steps[Name],0))</f>
        <v>#N/A</v>
      </c>
      <c r="AS21" s="23" t="e">
        <f ca="1">INDEX(Process_Steps[RV Step Mass Net (kg) per kg API (OTHER)],MATCH(Process_Steps[[#This Row],[Steps Sorted by '[RV Step Mass Net (kg) per kg API']]],Process_Steps[Name],0))</f>
        <v>#N/A</v>
      </c>
      <c r="AT21" s="118" t="e">
        <f>IF(Process_Steps[[#This Row],[Real or Virtual?]]="Real",SUMIFS(Table_Process_Details[RV Energy (MJ) per kg API],Table_Process_Details[Step Name],Process_Steps[[#This Row],[Name]]),NA())</f>
        <v>#N/A</v>
      </c>
      <c r="AU21" s="20" t="e">
        <f>IF(Process_Steps[[#This Row],[Real or Virtual?]]="Real",SUMIFS(Table_Process_Details[RV Energy (MJ) per kg API (REAGENT)],Table_Process_Details[Step Name],Process_Steps[[#This Row],[Name]]),NA())</f>
        <v>#N/A</v>
      </c>
      <c r="AV21" s="20" t="e">
        <f>IF(Process_Steps[[#This Row],[Real or Virtual?]]="Real",SUMIFS(Table_Process_Details[RV Energy (MJ) per kg API (METAL)],Table_Process_Details[Step Name],Process_Steps[[#This Row],[Name]]),NA())</f>
        <v>#N/A</v>
      </c>
      <c r="AW21" s="20" t="e">
        <f>IF(Process_Steps[[#This Row],[Real or Virtual?]]="Real",SUMIFS(Table_Process_Details[RV Energy (MJ) per kg API (SOLVENT)],Table_Process_Details[Step Name],Process_Steps[[#This Row],[Name]]),NA())</f>
        <v>#N/A</v>
      </c>
      <c r="AX21" s="20" t="e">
        <f>IF(Process_Steps[[#This Row],[Real or Virtual?]]="Real",SUMIFS(Table_Process_Details[RV Energy (MJ) per kg API (WATER)],Table_Process_Details[Step Name],Process_Steps[[#This Row],[Name]]),NA())</f>
        <v>#N/A</v>
      </c>
      <c r="AY21" s="20" t="e">
        <f>IF(Process_Steps[[#This Row],[Real or Virtual?]]="Real",SUMIFS(Table_Process_Details[RV Energy (MJ) per kg API (ENZ&amp;PLNT)],Table_Process_Details[Step Name],Process_Steps[[#This Row],[Name]]),NA())</f>
        <v>#N/A</v>
      </c>
      <c r="AZ21" s="20" t="e">
        <f>IF(Process_Steps[[#This Row],[Real or Virtual?]]="Real",SUMIFS(Table_Process_Details[RV Energy (MJ) per kg API (OTHER)],Table_Process_Details[Step Name],Process_Steps[[#This Row],[Name]]),NA())</f>
        <v>#N/A</v>
      </c>
      <c r="BA21" s="23" t="e">
        <f ca="1">INDEX(Process_Steps[Name if Real],MATCH(Process_Steps[[#This Row],['[RV Step Energy (MJ) per kg API'] of Each Step Sorted by '[RV Step Energy (MJ) per kg API']]],Process_Steps[RV Step Energy (MJ) per kg API],0))</f>
        <v>#N/A</v>
      </c>
      <c r="BB21" s="23" t="e" cm="1">
        <f t="array" aca="1" ref="BB21" ca="1">IF(LARGE(_xlfn.IFNA(Process_Steps[RV Step Energy (MJ) per kg API],0),Process_Steps[[#This Row],[Table Row]])=0,NA(),LARGE(_xlfn.IFNA(Process_Steps[RV Step Energy (MJ) per kg API],0),Process_Steps[[#This Row],[Table Row]]))</f>
        <v>#N/A</v>
      </c>
      <c r="BC21" s="23" t="e">
        <f ca="1">SUM(OFFSET(Process_Steps['[RV Step Energy (MJ) per kg API'] of Each Step Sorted by '[RV Step Energy (MJ) per kg API']],0,0,Process_Steps[[#This Row],[Table Row]]))</f>
        <v>#N/A</v>
      </c>
      <c r="BD21" s="23" t="e">
        <f ca="1">"("&amp;TEXT(Process_Steps[[#This Row],['[RV Step Energy (MJ) per kg API'] of Each Step Sorted by '[RV Step Energy (MJ) per kg API']]]/SUMIF(Process_Steps['[RV Step Energy (MJ) per kg API'] of Each Step Sorted by '[RV Step Energy (MJ) per kg API']],"&lt;&gt;#N/A"),"0%")&amp;")"</f>
        <v>#N/A</v>
      </c>
      <c r="BE21" s="23" t="e">
        <f ca="1">INDEX(Process_Steps[RV Step Energy (MJ) per kg API (REAGENT)],MATCH(Process_Steps[[#This Row],[Steps Sorted by '[RV Step Energy (MJ) per kg API']]],Process_Steps[Name],0))</f>
        <v>#N/A</v>
      </c>
      <c r="BF21" s="23" t="e">
        <f ca="1">INDEX(Process_Steps[RV Step Energy (MJ) per kg API (METAL)],MATCH(Process_Steps[[#This Row],[Steps Sorted by '[RV Step Energy (MJ) per kg API']]],Process_Steps[Name],0))</f>
        <v>#N/A</v>
      </c>
      <c r="BG21" s="23" t="e">
        <f ca="1">INDEX(Process_Steps[RV Step Energy (MJ) per kg API (SOLVENT)],MATCH(Process_Steps[[#This Row],[Steps Sorted by '[RV Step Energy (MJ) per kg API']]],Process_Steps[Name],0))</f>
        <v>#N/A</v>
      </c>
      <c r="BH21" s="23" t="e">
        <f ca="1">INDEX(Process_Steps[RV Step Energy (MJ) per kg API (WATER)],MATCH(Process_Steps[[#This Row],[Steps Sorted by '[RV Step Energy (MJ) per kg API']]],Process_Steps[Name],0))</f>
        <v>#N/A</v>
      </c>
      <c r="BI21" s="23" t="e">
        <f ca="1">INDEX(Process_Steps[RV Step Energy (MJ) per kg API (ENZ&amp;PLNT)],MATCH(Process_Steps[[#This Row],[Steps Sorted by '[RV Step Energy (MJ) per kg API']]],Process_Steps[Name],0))</f>
        <v>#N/A</v>
      </c>
      <c r="BJ21" s="23" t="e">
        <f ca="1">INDEX(Process_Steps[RV Step Energy (MJ) per kg API (OTHER)],MATCH(Process_Steps[[#This Row],[Steps Sorted by '[RV Step Energy (MJ) per kg API']]],Process_Steps[Name],0))</f>
        <v>#N/A</v>
      </c>
      <c r="BK21" s="118" t="e">
        <f>IF(Process_Steps[[#This Row],[Real or Virtual?]]="Real",SUMIFS(Table_Process_Details[RV GWP (kg CO2 equiv.) per kg API],Table_Process_Details[Step Name],Process_Steps[[#This Row],[Name]]),NA())</f>
        <v>#N/A</v>
      </c>
      <c r="BL21" s="20" t="e">
        <f>IF(Process_Steps[[#This Row],[Real or Virtual?]]="Real",SUMIFS(Table_Process_Details[RV GWP (kg CO2 equiv.) per kg API (REAGENT)],Table_Process_Details[Step Name],Process_Steps[[#This Row],[Name]]),NA())</f>
        <v>#N/A</v>
      </c>
      <c r="BM21" s="20" t="e">
        <f>IF(Process_Steps[[#This Row],[Real or Virtual?]]="Real",SUMIFS(Table_Process_Details[RV GWP (kg CO2 equiv.) per kg API (METAL)],Table_Process_Details[Step Name],Process_Steps[[#This Row],[Name]]),NA())</f>
        <v>#N/A</v>
      </c>
      <c r="BN21" s="20" t="e">
        <f>IF(Process_Steps[[#This Row],[Real or Virtual?]]="Real",SUMIFS(Table_Process_Details[RV GWP (kg CO2 equiv.) per kg API (SOLVENT)],Table_Process_Details[Step Name],Process_Steps[[#This Row],[Name]]),NA())</f>
        <v>#N/A</v>
      </c>
      <c r="BO21" s="20" t="e">
        <f>IF(Process_Steps[[#This Row],[Real or Virtual?]]="Real",SUMIFS(Table_Process_Details[RV GWP (kg CO2 equiv.) per kg API (WATER)],Table_Process_Details[Step Name],Process_Steps[[#This Row],[Name]]),NA())</f>
        <v>#N/A</v>
      </c>
      <c r="BP21" s="20" t="e">
        <f>IF(Process_Steps[[#This Row],[Real or Virtual?]]="Real",SUMIFS(Table_Process_Details[RV GWP (kg CO2 equiv.) per kg API (ENZ&amp;PLNT)],Table_Process_Details[Step Name],Process_Steps[[#This Row],[Name]]),NA())</f>
        <v>#N/A</v>
      </c>
      <c r="BQ21" s="20" t="e">
        <f>IF(Process_Steps[[#This Row],[Real or Virtual?]]="Real",SUMIFS(Table_Process_Details[RV GWP (kg CO2 equiv.) per kg API (OTHER)],Table_Process_Details[Step Name],Process_Steps[[#This Row],[Name]]),NA())</f>
        <v>#N/A</v>
      </c>
      <c r="BR21" s="23" t="e">
        <f ca="1">INDEX(Process_Steps[Name if Real],MATCH(Process_Steps[[#This Row],['[RV Step GWP (kg CO2 equiv.) per kg API'] of Each Step Sorted by '[RV Step GWP (kg CO2 equiv.) per kg API']]],Process_Steps[RV Step GWP (kg CO2 equiv.) per kg API],0))</f>
        <v>#N/A</v>
      </c>
      <c r="BS21" s="23" t="e" cm="1">
        <f t="array" aca="1" ref="BS21" ca="1">IF(LARGE(_xlfn.IFNA(Process_Steps[RV Step GWP (kg CO2 equiv.) per kg API],0),Process_Steps[[#This Row],[Table Row]])=0,NA(),LARGE(_xlfn.IFNA(Process_Steps[RV Step GWP (kg CO2 equiv.) per kg API],0),Process_Steps[[#This Row],[Table Row]]))</f>
        <v>#N/A</v>
      </c>
      <c r="BT21" s="23" t="e">
        <f ca="1">SUM(OFFSET(Process_Steps['[RV Step GWP (kg CO2 equiv.) per kg API'] of Each Step Sorted by '[RV Step GWP (kg CO2 equiv.) per kg API']],0,0,Process_Steps[[#This Row],[Table Row]]))</f>
        <v>#N/A</v>
      </c>
      <c r="BU21" s="23" t="e">
        <f ca="1">"("&amp;TEXT(Process_Steps[[#This Row],['[RV Step GWP (kg CO2 equiv.) per kg API'] of Each Step Sorted by '[RV Step GWP (kg CO2 equiv.) per kg API']]]/SUMIF(Process_Steps['[RV Step GWP (kg CO2 equiv.) per kg API'] of Each Step Sorted by '[RV Step GWP (kg CO2 equiv.) per kg API']],"&lt;&gt;#N/A"),"0%")&amp;")"</f>
        <v>#N/A</v>
      </c>
      <c r="BV21" s="23" t="e">
        <f ca="1">INDEX(Process_Steps[RV Step GWP (kg CO2 equiv.) per kg API (REAGENT)],MATCH(Process_Steps[[#This Row],[Steps Sorted by '[RV Step GWP (kg CO2 equiv.) per kg API']]],Process_Steps[Name],0))</f>
        <v>#N/A</v>
      </c>
      <c r="BW21" s="23" t="e">
        <f ca="1">INDEX(Process_Steps[RV Step GWP (kg CO2 equiv.) per kg API (METAL)],MATCH(Process_Steps[[#This Row],[Steps Sorted by '[RV Step GWP (kg CO2 equiv.) per kg API']]],Process_Steps[Name],0))</f>
        <v>#N/A</v>
      </c>
      <c r="BX21" s="23" t="e">
        <f ca="1">INDEX(Process_Steps[RV Step GWP (kg CO2 equiv.) per kg API (SOLVENT)],MATCH(Process_Steps[[#This Row],[Steps Sorted by '[RV Step GWP (kg CO2 equiv.) per kg API']]],Process_Steps[Name],0))</f>
        <v>#N/A</v>
      </c>
      <c r="BY21" s="23" t="e">
        <f ca="1">INDEX(Process_Steps[RV Step GWP (kg CO2 equiv.) per kg API (WATER)],MATCH(Process_Steps[[#This Row],[Steps Sorted by '[RV Step GWP (kg CO2 equiv.) per kg API']]],Process_Steps[Name],0))</f>
        <v>#N/A</v>
      </c>
      <c r="BZ21" s="23" t="e">
        <f ca="1">INDEX(Process_Steps[RV Step GWP (kg CO2 equiv.) per kg API (ENZ&amp;PLNT)],MATCH(Process_Steps[[#This Row],[Steps Sorted by '[RV Step GWP (kg CO2 equiv.) per kg API']]],Process_Steps[Name],0))</f>
        <v>#N/A</v>
      </c>
      <c r="CA21" s="23" t="e">
        <f ca="1">INDEX(Process_Steps[RV Step GWP (kg CO2 equiv.) per kg API (OTHER)],MATCH(Process_Steps[[#This Row],[Steps Sorted by '[RV Step GWP (kg CO2 equiv.) per kg API']]],Process_Steps[Name],0))</f>
        <v>#N/A</v>
      </c>
      <c r="CB21" s="118" t="e">
        <f>IF(Process_Steps[[#This Row],[Real or Virtual?]]="Real",SUMIFS(Table_Process_Details[RV Acidification (kg SO2 equiv.) per kg API],Table_Process_Details[Step Name],Process_Steps[[#This Row],[Name]]),NA())</f>
        <v>#N/A</v>
      </c>
      <c r="CC21" s="20" t="e">
        <f>IF(Process_Steps[[#This Row],[Real or Virtual?]]="Real",SUMIFS(Table_Process_Details[RV Acidification (kg SO2 equiv.) per kg API (REAGENT)],Table_Process_Details[Step Name],Process_Steps[[#This Row],[Name]]),NA())</f>
        <v>#N/A</v>
      </c>
      <c r="CD21" s="20" t="e">
        <f>IF(Process_Steps[[#This Row],[Real or Virtual?]]="Real",SUMIFS(Table_Process_Details[RV Acidification (kg SO2 equiv.) per kg API (METAL)],Table_Process_Details[Step Name],Process_Steps[[#This Row],[Name]]),NA())</f>
        <v>#N/A</v>
      </c>
      <c r="CE21" s="20" t="e">
        <f>IF(Process_Steps[[#This Row],[Real or Virtual?]]="Real",SUMIFS(Table_Process_Details[RV Acidification (kg SO2 equiv.) per kg API (SOLVENT)],Table_Process_Details[Step Name],Process_Steps[[#This Row],[Name]]),NA())</f>
        <v>#N/A</v>
      </c>
      <c r="CF21" s="20" t="e">
        <f>IF(Process_Steps[[#This Row],[Real or Virtual?]]="Real",SUMIFS(Table_Process_Details[RV Acidification (kg SO2 equiv.) per kg API (WATER)],Table_Process_Details[Step Name],Process_Steps[[#This Row],[Name]]),NA())</f>
        <v>#N/A</v>
      </c>
      <c r="CG21" s="20" t="e">
        <f>IF(Process_Steps[[#This Row],[Real or Virtual?]]="Real",SUMIFS(Table_Process_Details[RV Acidification (kg SO2 equiv.) per kg API (ENZ&amp;PLNT)],Table_Process_Details[Step Name],Process_Steps[[#This Row],[Name]]),NA())</f>
        <v>#N/A</v>
      </c>
      <c r="CH21" s="20" t="e">
        <f>IF(Process_Steps[[#This Row],[Real or Virtual?]]="Real",SUMIFS(Table_Process_Details[RV Acidification (kg SO2 equiv.) per kg API (OTHER)],Table_Process_Details[Step Name],Process_Steps[[#This Row],[Name]]),NA())</f>
        <v>#N/A</v>
      </c>
      <c r="CI21" s="23" t="e">
        <f ca="1">INDEX(Process_Steps[Name if Real],MATCH(Process_Steps[[#This Row],['[RV Step Acidification (kg SO2 equiv.) per kg API'] of Each Step Sorted by '[RV Step Acidification (kg SO2 equiv.) per kg API']]],Process_Steps[RV Step Acidification (kg SO2 equiv.) per kg API],0))</f>
        <v>#N/A</v>
      </c>
      <c r="CJ21" s="23" t="e" cm="1">
        <f t="array" aca="1" ref="CJ21" ca="1">IF(LARGE(_xlfn.IFNA(Process_Steps[RV Step Acidification (kg SO2 equiv.) per kg API],0),Process_Steps[[#This Row],[Table Row]])=0,NA(),LARGE(_xlfn.IFNA(Process_Steps[RV Step Acidification (kg SO2 equiv.) per kg API],0),Process_Steps[[#This Row],[Table Row]]))</f>
        <v>#N/A</v>
      </c>
      <c r="CK21" s="23" t="e">
        <f ca="1">SUM(OFFSET(Process_Steps['[RV Step Acidification (kg SO2 equiv.) per kg API'] of Each Step Sorted by '[RV Step Acidification (kg SO2 equiv.) per kg API']],0,0,Process_Steps[[#This Row],[Table Row]]))</f>
        <v>#N/A</v>
      </c>
      <c r="CL21"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1" s="23" t="e">
        <f ca="1">INDEX(Process_Steps[RV Step Acidification (kg SO2 equiv.) per kg API (REAGENT)],MATCH(Process_Steps[[#This Row],[Steps Sorted by '[RV Step Acidification (kg SO2 equiv.) per kg API']]],Process_Steps[Name],0))</f>
        <v>#N/A</v>
      </c>
      <c r="CN21" s="23" t="e">
        <f ca="1">INDEX(Process_Steps[RV Step Acidification (kg SO2 equiv.) per kg API (METAL)],MATCH(Process_Steps[[#This Row],[Steps Sorted by '[RV Step Acidification (kg SO2 equiv.) per kg API']]],Process_Steps[Name],0))</f>
        <v>#N/A</v>
      </c>
      <c r="CO21" s="23" t="e">
        <f ca="1">INDEX(Process_Steps[RV Step Acidification (kg SO2 equiv.) per kg API (SOLVENT)],MATCH(Process_Steps[[#This Row],[Steps Sorted by '[RV Step Acidification (kg SO2 equiv.) per kg API']]],Process_Steps[Name],0))</f>
        <v>#N/A</v>
      </c>
      <c r="CP21" s="23" t="e">
        <f ca="1">INDEX(Process_Steps[RV Step Acidification (kg SO2 equiv.) per kg API (WATER)],MATCH(Process_Steps[[#This Row],[Steps Sorted by '[RV Step Acidification (kg SO2 equiv.) per kg API']]],Process_Steps[Name],0))</f>
        <v>#N/A</v>
      </c>
      <c r="CQ21" s="23" t="e">
        <f ca="1">INDEX(Process_Steps[RV Step Acidification (kg SO2 equiv.) per kg API (ENZ&amp;PLNT)],MATCH(Process_Steps[[#This Row],[Steps Sorted by '[RV Step Acidification (kg SO2 equiv.) per kg API']]],Process_Steps[Name],0))</f>
        <v>#N/A</v>
      </c>
      <c r="CR21" s="23" t="e">
        <f ca="1">INDEX(Process_Steps[RV Step Acidification (kg SO2 equiv.) per kg API (OTHER)],MATCH(Process_Steps[[#This Row],[Steps Sorted by '[RV Step Acidification (kg SO2 equiv.) per kg API']]],Process_Steps[Name],0))</f>
        <v>#N/A</v>
      </c>
      <c r="CS21" s="118" t="e">
        <f>IF(Process_Steps[[#This Row],[Real or Virtual?]]="Real",SUMIFS(Table_Process_Details[RV Eutrophication (kg phosphate equiv.) per kg API],Table_Process_Details[Step Name],Process_Steps[[#This Row],[Name]]),NA())</f>
        <v>#N/A</v>
      </c>
      <c r="CT21" s="20" t="e">
        <f>IF(Process_Steps[[#This Row],[Real or Virtual?]]="Real",SUMIFS(Table_Process_Details[RV Eutrophication (kg phosphate equiv.) per kg API (REAGENT)],Table_Process_Details[Step Name],Process_Steps[[#This Row],[Name]]),NA())</f>
        <v>#N/A</v>
      </c>
      <c r="CU21" s="20" t="e">
        <f>IF(Process_Steps[[#This Row],[Real or Virtual?]]="Real",SUMIFS(Table_Process_Details[RV Eutrophication (kg phosphate equiv.) per kg API (METAL)],Table_Process_Details[Step Name],Process_Steps[[#This Row],[Name]]),NA())</f>
        <v>#N/A</v>
      </c>
      <c r="CV21" s="20" t="e">
        <f>IF(Process_Steps[[#This Row],[Real or Virtual?]]="Real",SUMIFS(Table_Process_Details[RV Eutrophication (kg phosphate equiv.) per kg API (SOLVENT)],Table_Process_Details[Step Name],Process_Steps[[#This Row],[Name]]),NA())</f>
        <v>#N/A</v>
      </c>
      <c r="CW21" s="20" t="e">
        <f>IF(Process_Steps[[#This Row],[Real or Virtual?]]="Real",SUMIFS(Table_Process_Details[RV Eutrophication (kg phosphate equiv.) per kg API (WATER)],Table_Process_Details[Step Name],Process_Steps[[#This Row],[Name]]),NA())</f>
        <v>#N/A</v>
      </c>
      <c r="CX21" s="20" t="e">
        <f>IF(Process_Steps[[#This Row],[Real or Virtual?]]="Real",SUMIFS(Table_Process_Details[RV Eutrophication (kg phosphate equiv.) per kg API (ENZ&amp;PLNT)],Table_Process_Details[Step Name],Process_Steps[[#This Row],[Name]]),NA())</f>
        <v>#N/A</v>
      </c>
      <c r="CY21" s="20" t="e">
        <f>IF(Process_Steps[[#This Row],[Real or Virtual?]]="Real",SUMIFS(Table_Process_Details[RV Eutrophication (kg phosphate equiv.) per kg API (OTHER)],Table_Process_Details[Step Name],Process_Steps[[#This Row],[Name]]),NA())</f>
        <v>#N/A</v>
      </c>
      <c r="CZ21" s="23" t="e">
        <f ca="1">INDEX(Process_Steps[Name if Real],MATCH(Process_Steps[[#This Row],['[RV Step Eutrophication (kg phosphate equiv.) per kg API'] of Each Step Sorted by '[RV Step Eutrophication (kg phosphate equiv.) per kg API']]],Process_Steps[RV Step Eutrophication (kg posphate equiv.) per kg API],0))</f>
        <v>#N/A</v>
      </c>
      <c r="DA21" s="23" t="e" cm="1">
        <f t="array" aca="1" ref="DA21" ca="1">IF(LARGE(_xlfn.IFNA(Process_Steps[RV Step Eutrophication (kg posphate equiv.) per kg API],0),Process_Steps[[#This Row],[Table Row]])=0,NA(),LARGE(_xlfn.IFNA(Process_Steps[RV Step Eutrophication (kg posphate equiv.) per kg API],0),Process_Steps[[#This Row],[Table Row]]))</f>
        <v>#N/A</v>
      </c>
      <c r="DB21" s="23" t="e">
        <f ca="1">SUM(OFFSET(Process_Steps['[RV Step Eutrophication (kg phosphate equiv.) per kg API'] of Each Step Sorted by '[RV Step Eutrophication (kg phosphate equiv.) per kg API']],0,0,Process_Steps[[#This Row],[Table Row]]))</f>
        <v>#N/A</v>
      </c>
      <c r="DC21"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1" s="23" t="e">
        <f ca="1">INDEX(Process_Steps[RV Step Eutrophication (kg posphate equiv.) per kg API (REAGENT)],MATCH(Process_Steps[[#This Row],[Steps Sorted by '[RV Step Eutrophication (kg phosphate equiv.) per kg API']]],Process_Steps[Name],0))</f>
        <v>#N/A</v>
      </c>
      <c r="DE21" s="23" t="e">
        <f ca="1">INDEX(Process_Steps[RV Step Eutrophication (kg posphate equiv.) per kg API (METAL)],MATCH(Process_Steps[[#This Row],[Steps Sorted by '[RV Step Eutrophication (kg phosphate equiv.) per kg API']]],Process_Steps[Name],0))</f>
        <v>#N/A</v>
      </c>
      <c r="DF21" s="23" t="e">
        <f ca="1">INDEX(Process_Steps[RV Step Eutrophication (kg posphate equiv.) per kg API (SOLVENT)],MATCH(Process_Steps[[#This Row],[Steps Sorted by '[RV Step Eutrophication (kg phosphate equiv.) per kg API']]],Process_Steps[Name],0))</f>
        <v>#N/A</v>
      </c>
      <c r="DG21" s="23" t="e">
        <f ca="1">INDEX(Process_Steps[RV Step Eutrophication (kg posphate equiv.) per kg API (WATER)],MATCH(Process_Steps[[#This Row],[Steps Sorted by '[RV Step Eutrophication (kg phosphate equiv.) per kg API']]],Process_Steps[Name],0))</f>
        <v>#N/A</v>
      </c>
      <c r="DH21" s="23" t="e">
        <f ca="1">INDEX(Process_Steps[RV Step Eutrophication (kg posphate equiv.) per kg API (ENZ&amp;PLNT)],MATCH(Process_Steps[[#This Row],[Steps Sorted by '[RV Step Eutrophication (kg phosphate equiv.) per kg API']]],Process_Steps[Name],0))</f>
        <v>#N/A</v>
      </c>
      <c r="DI21" s="23" t="e">
        <f ca="1">INDEX(Process_Steps[RV Step Eutrophication (kg posphate equiv.) per kg API (OTHER)],MATCH(Process_Steps[[#This Row],[Steps Sorted by '[RV Step Eutrophication (kg phosphate equiv.) per kg API']]],Process_Steps[Name],0))</f>
        <v>#N/A</v>
      </c>
      <c r="DJ21" s="118" t="e">
        <f>IF(Process_Steps[[#This Row],[Real or Virtual?]]="Real",SUMIFS(Table_Process_Details[RV Water (kg) per kg API],Table_Process_Details[Step Name],Process_Steps[[#This Row],[Name]]),NA())</f>
        <v>#N/A</v>
      </c>
      <c r="DK21" s="20" t="e">
        <f>IF(Process_Steps[[#This Row],[Real or Virtual?]]="Real",SUMIFS(Table_Process_Details[RV Water (kg) per kg API (REAGENT)],Table_Process_Details[Step Name],Process_Steps[[#This Row],[Name]]),NA())</f>
        <v>#N/A</v>
      </c>
      <c r="DL21" s="20" t="e">
        <f>IF(Process_Steps[[#This Row],[Real or Virtual?]]="Real",SUMIFS(Table_Process_Details[RV Water (kg) per kg API (METAL)],Table_Process_Details[Step Name],Process_Steps[[#This Row],[Name]]),NA())</f>
        <v>#N/A</v>
      </c>
      <c r="DM21" s="20" t="e">
        <f>IF(Process_Steps[[#This Row],[Real or Virtual?]]="Real",SUMIFS(Table_Process_Details[RV Water (kg) per kg API (SOLVENT)],Table_Process_Details[Step Name],Process_Steps[[#This Row],[Name]]),NA())</f>
        <v>#N/A</v>
      </c>
      <c r="DN21" s="20" t="e">
        <f>IF(Process_Steps[[#This Row],[Real or Virtual?]]="Real",SUMIFS(Table_Process_Details[RV Water (kg) per kg API (WATER)],Table_Process_Details[Step Name],Process_Steps[[#This Row],[Name]]),NA())</f>
        <v>#N/A</v>
      </c>
      <c r="DO21" s="20" t="e">
        <f>IF(Process_Steps[[#This Row],[Real or Virtual?]]="Real",SUMIFS(Table_Process_Details[RV Water (kg) per kg API (ENZ&amp;PLNT)],Table_Process_Details[Step Name],Process_Steps[[#This Row],[Name]]),NA())</f>
        <v>#N/A</v>
      </c>
      <c r="DP21" s="20" t="e">
        <f>IF(Process_Steps[[#This Row],[Real or Virtual?]]="Real",SUMIFS(Table_Process_Details[RV Water (kg) per kg API (OTHER)],Table_Process_Details[Step Name],Process_Steps[[#This Row],[Name]]),NA())</f>
        <v>#N/A</v>
      </c>
      <c r="DQ21" s="23" t="e">
        <f ca="1">INDEX(Process_Steps[Name if Real],MATCH(Process_Steps[[#This Row],['[RV Step Water (kg) per kg API'] of Each Step Sorted by '[RV Step Water (kg) per kg API']]],Process_Steps[RV Step Water (kg) per kg API],0))</f>
        <v>#N/A</v>
      </c>
      <c r="DR21" s="23" t="e" cm="1">
        <f t="array" aca="1" ref="DR21" ca="1">IF(LARGE(_xlfn.IFNA(Process_Steps[RV Step Water (kg) per kg API],0),Process_Steps[[#This Row],[Table Row]])=0,NA(),LARGE(_xlfn.IFNA(Process_Steps[RV Step Water (kg) per kg API],0),Process_Steps[[#This Row],[Table Row]]))</f>
        <v>#N/A</v>
      </c>
      <c r="DS21" s="23" t="e">
        <f ca="1">SUM(OFFSET(Process_Steps['[RV Step Water (kg) per kg API'] of Each Step Sorted by '[RV Step Water (kg) per kg API']],0,0,Process_Steps[[#This Row],[Table Row]]))</f>
        <v>#N/A</v>
      </c>
      <c r="DT21" s="23" t="e">
        <f ca="1">"("&amp;TEXT(Process_Steps[[#This Row],['[RV Step Water (kg) per kg API'] of Each Step Sorted by '[RV Step Water (kg) per kg API']]]/SUMIF(Process_Steps['[RV Step Water (kg) per kg API'] of Each Step Sorted by '[RV Step Water (kg) per kg API']],"&lt;&gt;#N/A"),"0%")&amp;")"</f>
        <v>#N/A</v>
      </c>
      <c r="DU21" s="23" t="e">
        <f ca="1">INDEX(Process_Steps[RV Step Water (kg) per kg API (REAGENT)],MATCH(Process_Steps[[#This Row],[Steps Sorted by '[RV Step Water (kg) per kg API']]],Process_Steps[Name],0))</f>
        <v>#N/A</v>
      </c>
      <c r="DV21" s="23" t="e">
        <f ca="1">INDEX(Process_Steps[RV Step Water (kg) per kg API (METAL)],MATCH(Process_Steps[[#This Row],[Steps Sorted by '[RV Step Water (kg) per kg API']]],Process_Steps[Name],0))</f>
        <v>#N/A</v>
      </c>
      <c r="DW21" s="23" t="e">
        <f ca="1">INDEX(Process_Steps[RV Step Water (kg) per kg API (SOLVENT)],MATCH(Process_Steps[[#This Row],[Steps Sorted by '[RV Step Water (kg) per kg API']]],Process_Steps[Name],0))</f>
        <v>#N/A</v>
      </c>
      <c r="DX21" s="23" t="e">
        <f ca="1">INDEX(Process_Steps[RV Step Water (kg) per kg API (WATER)],MATCH(Process_Steps[[#This Row],[Steps Sorted by '[RV Step Water (kg) per kg API']]],Process_Steps[Name],0))</f>
        <v>#N/A</v>
      </c>
      <c r="DY21" s="23" t="e">
        <f ca="1">INDEX(Process_Steps[RV Step Water (kg) per kg API (ENZ&amp;PLNT)],MATCH(Process_Steps[[#This Row],[Steps Sorted by '[RV Step Water (kg) per kg API']]],Process_Steps[Name],0))</f>
        <v>#N/A</v>
      </c>
      <c r="DZ21" s="23" t="e">
        <f ca="1">INDEX(Process_Steps[RV Step Water (kg) per kg API (OTHER)],MATCH(Process_Steps[[#This Row],[Steps Sorted by '[RV Step Water (kg) per kg API']]],Process_Steps[Name],0))</f>
        <v>#N/A</v>
      </c>
    </row>
    <row r="22" spans="1:130" x14ac:dyDescent="0.25">
      <c r="A22" t="s">
        <v>802</v>
      </c>
      <c r="B22" t="s">
        <v>175</v>
      </c>
      <c r="C22" t="s">
        <v>803</v>
      </c>
      <c r="D22" t="s">
        <v>845</v>
      </c>
      <c r="F22" s="25">
        <f>INDEX(Table_Process_Details[Physical Mass (kg)],MATCH(1,INDEX((Process_Steps[[#This Row],[Name]]=Table_Process_Details[Step Name])*(Table_Process_Details[Input or Output]="Output"),0),0))</f>
        <v>100</v>
      </c>
      <c r="G22" s="25" cm="1">
        <f t="array" aca="1" ref="G22"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5.5055973573133095</v>
      </c>
      <c r="H22" s="28">
        <f ca="1">Process_Steps[[#This Row],[Total Mass that must be produced]]/Process_Steps[[#This Row],[Unscaled Step Product Mass]]</f>
        <v>5.5055973573133098E-2</v>
      </c>
      <c r="I22" s="23" t="e">
        <f>IF(Process_Steps[[#This Row],[Real or Virtual?]]="Real",Process_Steps[[#This Row],[Name]],NA())</f>
        <v>#N/A</v>
      </c>
      <c r="J22" s="30">
        <f>ROW()-ROW(Process_Steps[[#Headers],[Table Row]])</f>
        <v>16</v>
      </c>
      <c r="K22"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22" s="118" t="e">
        <f>IF(Process_Steps[[#This Row],[Real or Virtual?]]="Real",SUMIFS(Table_Process_Details[RV Physical Mass per kg API],Table_Process_Details[Input or Output],"Input",Table_Process_Details[Step Name],Process_Steps[[#This Row],[Name]]),NA())</f>
        <v>#N/A</v>
      </c>
      <c r="M22" s="20" t="e">
        <f>IF(Process_Steps[[#This Row],[Real or Virtual?]]="Real",SUMIFS(Table_Process_Details[RV Physical Mass per kg API (REAGENT)],Table_Process_Details[Input or Output],"Input",Table_Process_Details[Step Name],Process_Steps[[#This Row],[Name]]),NA())</f>
        <v>#N/A</v>
      </c>
      <c r="N22" s="20" t="e">
        <f>IF(Process_Steps[[#This Row],[Real or Virtual?]]="Real",SUMIFS(Table_Process_Details[RV Physical Mass per kg API (METAL)],Table_Process_Details[Input or Output],"Input",Table_Process_Details[Step Name],Process_Steps[[#This Row],[Name]]),NA())</f>
        <v>#N/A</v>
      </c>
      <c r="O22" s="20" t="e">
        <f>IF(Process_Steps[[#This Row],[Real or Virtual?]]="Real",SUMIFS(Table_Process_Details[RV Physical Mass per kg API (SOLVENT)],Table_Process_Details[Input or Output],"Input",Table_Process_Details[Step Name],Process_Steps[[#This Row],[Name]]),NA())</f>
        <v>#N/A</v>
      </c>
      <c r="P22" s="20" t="e">
        <f>IF(Process_Steps[[#This Row],[Real or Virtual?]]="Real",SUMIFS(Table_Process_Details[RV Physical Mass per kg API (WATER)],Table_Process_Details[Input or Output],"Input",Table_Process_Details[Step Name],Process_Steps[[#This Row],[Name]]),NA())</f>
        <v>#N/A</v>
      </c>
      <c r="Q22" s="20" t="e">
        <f>IF(Process_Steps[[#This Row],[Real or Virtual?]]="Real",SUMIFS(Table_Process_Details[RV Physical Mass per kg API (ENZ&amp;PLNT)],Table_Process_Details[Input or Output],"Input",Table_Process_Details[Step Name],Process_Steps[[#This Row],[Name]]),NA())</f>
        <v>#N/A</v>
      </c>
      <c r="R22" s="20" t="e">
        <f>IF(Process_Steps[[#This Row],[Real or Virtual?]]="Real",SUMIFS(Table_Process_Details[RV Physical Mass per kg API (OTHER)],Table_Process_Details[Input or Output],"Input",Table_Process_Details[Step Name],Process_Steps[[#This Row],[Name]]),NA())</f>
        <v>#N/A</v>
      </c>
      <c r="S22" s="118" t="e">
        <f ca="1">INDEX(Process_Steps[Name if Real],MATCH(Process_Steps[[#This Row],['[RV Step PMI per kg API'] of Each Step Sorted by '[RV Step PMI per kg API']]],Process_Steps[RV Step PMI per kg API],0))</f>
        <v>#N/A</v>
      </c>
      <c r="T22" s="118" t="e" cm="1">
        <f t="array" aca="1" ref="T22" ca="1">IF(LARGE(_xlfn.IFNA(Process_Steps[RV Step PMI per kg API],0),Process_Steps[[#This Row],[Table Row]])=0,NA(),LARGE(_xlfn.IFNA(Process_Steps[RV Step PMI per kg API],0),Process_Steps[[#This Row],[Table Row]]))</f>
        <v>#N/A</v>
      </c>
      <c r="U22" s="118" t="e">
        <f ca="1">SUM(OFFSET(Process_Steps['[RV Step PMI per kg API'] of Each Step Sorted by '[RV Step PMI per kg API']],0,0,Process_Steps[[#This Row],[Table Row]]))</f>
        <v>#N/A</v>
      </c>
      <c r="V22" s="118" t="e">
        <f ca="1">"("&amp;TEXT(Process_Steps[[#This Row],['[RV Step PMI per kg API'] of Each Step Sorted by '[RV Step PMI per kg API']]]/SUMIF(Process_Steps['[RV Step PMI per kg API'] of Each Step Sorted by '[RV Step PMI per kg API']],"&lt;&gt;#N/A"),"0%")&amp;")"</f>
        <v>#N/A</v>
      </c>
      <c r="W22" s="23" t="e">
        <f ca="1">INDEX(Process_Steps[RV Step PMI per kg API (REAGENT)],MATCH(Process_Steps[[#This Row],[Steps Sorted by '[RV Step PMI per kg API']]],Process_Steps[Name],0))</f>
        <v>#N/A</v>
      </c>
      <c r="X22" s="23" t="e">
        <f ca="1">INDEX(Process_Steps[RV Step PMI per kg API (METAL)],MATCH(Process_Steps[[#This Row],[Steps Sorted by '[RV Step PMI per kg API']]],Process_Steps[Name],0))</f>
        <v>#N/A</v>
      </c>
      <c r="Y22" s="23" t="e">
        <f ca="1">INDEX(Process_Steps[RV Step PMI per kg API (SOLVENT)],MATCH(Process_Steps[[#This Row],[Steps Sorted by '[RV Step PMI per kg API']]],Process_Steps[Name],0))</f>
        <v>#N/A</v>
      </c>
      <c r="Z22" s="23" t="e">
        <f ca="1">INDEX(Process_Steps[RV Step PMI per kg API (WATER)],MATCH(Process_Steps[[#This Row],[Steps Sorted by '[RV Step PMI per kg API']]],Process_Steps[Name],0))</f>
        <v>#N/A</v>
      </c>
      <c r="AA22" s="23" t="e">
        <f ca="1">INDEX(Process_Steps[RV Step PMI per kg API (ENZ&amp;PLNT)],MATCH(Process_Steps[[#This Row],[Steps Sorted by '[RV Step PMI per kg API']]],Process_Steps[Name],0))</f>
        <v>#N/A</v>
      </c>
      <c r="AB22" s="23" t="e">
        <f ca="1">INDEX(Process_Steps[RV Step PMI per kg API (OTHER)],MATCH(Process_Steps[[#This Row],[Steps Sorted by '[RV Step PMI per kg API']]],Process_Steps[Name],0))</f>
        <v>#N/A</v>
      </c>
      <c r="AC22" s="118" t="e">
        <f>IF(Process_Steps[[#This Row],[Real or Virtual?]]="Real",SUMIFS(Table_Process_Details[RV Mass Net (kg) per kg API],Table_Process_Details[Step Name],Process_Steps[[#This Row],[Name]]),NA())</f>
        <v>#N/A</v>
      </c>
      <c r="AD22" s="20" t="e">
        <f>IF(Process_Steps[[#This Row],[Real or Virtual?]]="Real",SUMIFS(Table_Process_Details[RV Mass Net (kg) per kg API (REAGENT)],Table_Process_Details[Step Name],Process_Steps[[#This Row],[Name]]),NA())</f>
        <v>#N/A</v>
      </c>
      <c r="AE22" s="20" t="e">
        <f>IF(Process_Steps[[#This Row],[Real or Virtual?]]="Real",SUMIFS(Table_Process_Details[RV Mass Net (kg) per kg API (METAL)],Table_Process_Details[Step Name],Process_Steps[[#This Row],[Name]]),NA())</f>
        <v>#N/A</v>
      </c>
      <c r="AF22" s="20" t="e">
        <f>IF(Process_Steps[[#This Row],[Real or Virtual?]]="Real",SUMIFS(Table_Process_Details[RV Mass Net (kg) per kg API (SOLVENT)],Table_Process_Details[Step Name],Process_Steps[[#This Row],[Name]]),NA())</f>
        <v>#N/A</v>
      </c>
      <c r="AG22" s="20" t="e">
        <f>IF(Process_Steps[[#This Row],[Real or Virtual?]]="Real",SUMIFS(Table_Process_Details[RV Mass Net (kg) per kg API (WATER)],Table_Process_Details[Step Name],Process_Steps[[#This Row],[Name]]),NA())</f>
        <v>#N/A</v>
      </c>
      <c r="AH22" s="20" t="e">
        <f>IF(Process_Steps[[#This Row],[Real or Virtual?]]="Real",SUMIFS(Table_Process_Details[RV Mass Net (kg) per kg API (ENZ&amp;PLNT)],Table_Process_Details[Step Name],Process_Steps[[#This Row],[Name]]),NA())</f>
        <v>#N/A</v>
      </c>
      <c r="AI22" s="20" t="e">
        <f>IF(Process_Steps[[#This Row],[Real or Virtual?]]="Real",SUMIFS(Table_Process_Details[RV Mass Net (kg) per kg API (OTHER)],Table_Process_Details[Step Name],Process_Steps[[#This Row],[Name]]),NA())</f>
        <v>#N/A</v>
      </c>
      <c r="AJ22" s="23" t="e">
        <f ca="1">INDEX(Process_Steps[Name if Real],MATCH(Process_Steps[[#This Row],['[RV Step Mass Net (kg) per kg API'] of Each Step Sorted by '[RV Step Mass Net (kg) per kg API']]],Process_Steps[RV Step Mass Net (kg) per kg API],0))</f>
        <v>#N/A</v>
      </c>
      <c r="AK22" s="23" t="e" cm="1">
        <f t="array" aca="1" ref="AK22" ca="1">IF(LARGE(_xlfn.IFNA(Process_Steps[RV Step Mass Net (kg) per kg API],0),Process_Steps[[#This Row],[Table Row]])=0,NA(),LARGE(_xlfn.IFNA(Process_Steps[RV Step Mass Net (kg) per kg API],0),Process_Steps[[#This Row],[Table Row]]))</f>
        <v>#N/A</v>
      </c>
      <c r="AL22" s="23" t="e">
        <f ca="1">SUM(OFFSET(Process_Steps['[RV Step Mass Net (kg) per kg API'] of Each Step Sorted by '[RV Step Mass Net (kg) per kg API']],0,0,Process_Steps[[#This Row],[Table Row]]))</f>
        <v>#N/A</v>
      </c>
      <c r="AM22" s="23" t="e">
        <f ca="1">"("&amp;TEXT(Process_Steps[[#This Row],['[RV Step Mass Net (kg) per kg API'] of Each Step Sorted by '[RV Step Mass Net (kg) per kg API']]]/SUMIF(Process_Steps['[RV Step Mass Net (kg) per kg API'] of Each Step Sorted by '[RV Step Mass Net (kg) per kg API']],"&lt;&gt;#N/A"),"0%")&amp;")"</f>
        <v>#N/A</v>
      </c>
      <c r="AN22" s="23" t="e">
        <f ca="1">INDEX(Process_Steps[RV Step Mass Net (kg) per kg API (REAGENT)],MATCH(Process_Steps[[#This Row],[Steps Sorted by '[RV Step Mass Net (kg) per kg API']]],Process_Steps[Name],0))</f>
        <v>#N/A</v>
      </c>
      <c r="AO22" s="23" t="e">
        <f ca="1">INDEX(Process_Steps[RV Step Mass Net (kg) per kg API (METAL)],MATCH(Process_Steps[[#This Row],[Steps Sorted by '[RV Step Mass Net (kg) per kg API']]],Process_Steps[Name],0))</f>
        <v>#N/A</v>
      </c>
      <c r="AP22" s="23" t="e">
        <f ca="1">INDEX(Process_Steps[RV Step Mass Net (kg) per kg API (SOLVENT)],MATCH(Process_Steps[[#This Row],[Steps Sorted by '[RV Step Mass Net (kg) per kg API']]],Process_Steps[Name],0))</f>
        <v>#N/A</v>
      </c>
      <c r="AQ22" s="23" t="e">
        <f ca="1">INDEX(Process_Steps[RV Step Mass Net (kg) per kg API (WATER)],MATCH(Process_Steps[[#This Row],[Steps Sorted by '[RV Step Mass Net (kg) per kg API']]],Process_Steps[Name],0))</f>
        <v>#N/A</v>
      </c>
      <c r="AR22" s="23" t="e">
        <f ca="1">INDEX(Process_Steps[RV Step Mass Net (kg) per kg API (ENZ&amp;PLNT)],MATCH(Process_Steps[[#This Row],[Steps Sorted by '[RV Step Mass Net (kg) per kg API']]],Process_Steps[Name],0))</f>
        <v>#N/A</v>
      </c>
      <c r="AS22" s="23" t="e">
        <f ca="1">INDEX(Process_Steps[RV Step Mass Net (kg) per kg API (OTHER)],MATCH(Process_Steps[[#This Row],[Steps Sorted by '[RV Step Mass Net (kg) per kg API']]],Process_Steps[Name],0))</f>
        <v>#N/A</v>
      </c>
      <c r="AT22" s="118" t="e">
        <f>IF(Process_Steps[[#This Row],[Real or Virtual?]]="Real",SUMIFS(Table_Process_Details[RV Energy (MJ) per kg API],Table_Process_Details[Step Name],Process_Steps[[#This Row],[Name]]),NA())</f>
        <v>#N/A</v>
      </c>
      <c r="AU22" s="20" t="e">
        <f>IF(Process_Steps[[#This Row],[Real or Virtual?]]="Real",SUMIFS(Table_Process_Details[RV Energy (MJ) per kg API (REAGENT)],Table_Process_Details[Step Name],Process_Steps[[#This Row],[Name]]),NA())</f>
        <v>#N/A</v>
      </c>
      <c r="AV22" s="20" t="e">
        <f>IF(Process_Steps[[#This Row],[Real or Virtual?]]="Real",SUMIFS(Table_Process_Details[RV Energy (MJ) per kg API (METAL)],Table_Process_Details[Step Name],Process_Steps[[#This Row],[Name]]),NA())</f>
        <v>#N/A</v>
      </c>
      <c r="AW22" s="20" t="e">
        <f>IF(Process_Steps[[#This Row],[Real or Virtual?]]="Real",SUMIFS(Table_Process_Details[RV Energy (MJ) per kg API (SOLVENT)],Table_Process_Details[Step Name],Process_Steps[[#This Row],[Name]]),NA())</f>
        <v>#N/A</v>
      </c>
      <c r="AX22" s="20" t="e">
        <f>IF(Process_Steps[[#This Row],[Real or Virtual?]]="Real",SUMIFS(Table_Process_Details[RV Energy (MJ) per kg API (WATER)],Table_Process_Details[Step Name],Process_Steps[[#This Row],[Name]]),NA())</f>
        <v>#N/A</v>
      </c>
      <c r="AY22" s="20" t="e">
        <f>IF(Process_Steps[[#This Row],[Real or Virtual?]]="Real",SUMIFS(Table_Process_Details[RV Energy (MJ) per kg API (ENZ&amp;PLNT)],Table_Process_Details[Step Name],Process_Steps[[#This Row],[Name]]),NA())</f>
        <v>#N/A</v>
      </c>
      <c r="AZ22" s="20" t="e">
        <f>IF(Process_Steps[[#This Row],[Real or Virtual?]]="Real",SUMIFS(Table_Process_Details[RV Energy (MJ) per kg API (OTHER)],Table_Process_Details[Step Name],Process_Steps[[#This Row],[Name]]),NA())</f>
        <v>#N/A</v>
      </c>
      <c r="BA22" s="23" t="e">
        <f ca="1">INDEX(Process_Steps[Name if Real],MATCH(Process_Steps[[#This Row],['[RV Step Energy (MJ) per kg API'] of Each Step Sorted by '[RV Step Energy (MJ) per kg API']]],Process_Steps[RV Step Energy (MJ) per kg API],0))</f>
        <v>#N/A</v>
      </c>
      <c r="BB22" s="23" t="e" cm="1">
        <f t="array" aca="1" ref="BB22" ca="1">IF(LARGE(_xlfn.IFNA(Process_Steps[RV Step Energy (MJ) per kg API],0),Process_Steps[[#This Row],[Table Row]])=0,NA(),LARGE(_xlfn.IFNA(Process_Steps[RV Step Energy (MJ) per kg API],0),Process_Steps[[#This Row],[Table Row]]))</f>
        <v>#N/A</v>
      </c>
      <c r="BC22" s="23" t="e">
        <f ca="1">SUM(OFFSET(Process_Steps['[RV Step Energy (MJ) per kg API'] of Each Step Sorted by '[RV Step Energy (MJ) per kg API']],0,0,Process_Steps[[#This Row],[Table Row]]))</f>
        <v>#N/A</v>
      </c>
      <c r="BD22" s="23" t="e">
        <f ca="1">"("&amp;TEXT(Process_Steps[[#This Row],['[RV Step Energy (MJ) per kg API'] of Each Step Sorted by '[RV Step Energy (MJ) per kg API']]]/SUMIF(Process_Steps['[RV Step Energy (MJ) per kg API'] of Each Step Sorted by '[RV Step Energy (MJ) per kg API']],"&lt;&gt;#N/A"),"0%")&amp;")"</f>
        <v>#N/A</v>
      </c>
      <c r="BE22" s="23" t="e">
        <f ca="1">INDEX(Process_Steps[RV Step Energy (MJ) per kg API (REAGENT)],MATCH(Process_Steps[[#This Row],[Steps Sorted by '[RV Step Energy (MJ) per kg API']]],Process_Steps[Name],0))</f>
        <v>#N/A</v>
      </c>
      <c r="BF22" s="23" t="e">
        <f ca="1">INDEX(Process_Steps[RV Step Energy (MJ) per kg API (METAL)],MATCH(Process_Steps[[#This Row],[Steps Sorted by '[RV Step Energy (MJ) per kg API']]],Process_Steps[Name],0))</f>
        <v>#N/A</v>
      </c>
      <c r="BG22" s="23" t="e">
        <f ca="1">INDEX(Process_Steps[RV Step Energy (MJ) per kg API (SOLVENT)],MATCH(Process_Steps[[#This Row],[Steps Sorted by '[RV Step Energy (MJ) per kg API']]],Process_Steps[Name],0))</f>
        <v>#N/A</v>
      </c>
      <c r="BH22" s="23" t="e">
        <f ca="1">INDEX(Process_Steps[RV Step Energy (MJ) per kg API (WATER)],MATCH(Process_Steps[[#This Row],[Steps Sorted by '[RV Step Energy (MJ) per kg API']]],Process_Steps[Name],0))</f>
        <v>#N/A</v>
      </c>
      <c r="BI22" s="23" t="e">
        <f ca="1">INDEX(Process_Steps[RV Step Energy (MJ) per kg API (ENZ&amp;PLNT)],MATCH(Process_Steps[[#This Row],[Steps Sorted by '[RV Step Energy (MJ) per kg API']]],Process_Steps[Name],0))</f>
        <v>#N/A</v>
      </c>
      <c r="BJ22" s="23" t="e">
        <f ca="1">INDEX(Process_Steps[RV Step Energy (MJ) per kg API (OTHER)],MATCH(Process_Steps[[#This Row],[Steps Sorted by '[RV Step Energy (MJ) per kg API']]],Process_Steps[Name],0))</f>
        <v>#N/A</v>
      </c>
      <c r="BK22" s="118" t="e">
        <f>IF(Process_Steps[[#This Row],[Real or Virtual?]]="Real",SUMIFS(Table_Process_Details[RV GWP (kg CO2 equiv.) per kg API],Table_Process_Details[Step Name],Process_Steps[[#This Row],[Name]]),NA())</f>
        <v>#N/A</v>
      </c>
      <c r="BL22" s="20" t="e">
        <f>IF(Process_Steps[[#This Row],[Real or Virtual?]]="Real",SUMIFS(Table_Process_Details[RV GWP (kg CO2 equiv.) per kg API (REAGENT)],Table_Process_Details[Step Name],Process_Steps[[#This Row],[Name]]),NA())</f>
        <v>#N/A</v>
      </c>
      <c r="BM22" s="20" t="e">
        <f>IF(Process_Steps[[#This Row],[Real or Virtual?]]="Real",SUMIFS(Table_Process_Details[RV GWP (kg CO2 equiv.) per kg API (METAL)],Table_Process_Details[Step Name],Process_Steps[[#This Row],[Name]]),NA())</f>
        <v>#N/A</v>
      </c>
      <c r="BN22" s="20" t="e">
        <f>IF(Process_Steps[[#This Row],[Real or Virtual?]]="Real",SUMIFS(Table_Process_Details[RV GWP (kg CO2 equiv.) per kg API (SOLVENT)],Table_Process_Details[Step Name],Process_Steps[[#This Row],[Name]]),NA())</f>
        <v>#N/A</v>
      </c>
      <c r="BO22" s="20" t="e">
        <f>IF(Process_Steps[[#This Row],[Real or Virtual?]]="Real",SUMIFS(Table_Process_Details[RV GWP (kg CO2 equiv.) per kg API (WATER)],Table_Process_Details[Step Name],Process_Steps[[#This Row],[Name]]),NA())</f>
        <v>#N/A</v>
      </c>
      <c r="BP22" s="20" t="e">
        <f>IF(Process_Steps[[#This Row],[Real or Virtual?]]="Real",SUMIFS(Table_Process_Details[RV GWP (kg CO2 equiv.) per kg API (ENZ&amp;PLNT)],Table_Process_Details[Step Name],Process_Steps[[#This Row],[Name]]),NA())</f>
        <v>#N/A</v>
      </c>
      <c r="BQ22" s="20" t="e">
        <f>IF(Process_Steps[[#This Row],[Real or Virtual?]]="Real",SUMIFS(Table_Process_Details[RV GWP (kg CO2 equiv.) per kg API (OTHER)],Table_Process_Details[Step Name],Process_Steps[[#This Row],[Name]]),NA())</f>
        <v>#N/A</v>
      </c>
      <c r="BR22" s="23" t="e">
        <f ca="1">INDEX(Process_Steps[Name if Real],MATCH(Process_Steps[[#This Row],['[RV Step GWP (kg CO2 equiv.) per kg API'] of Each Step Sorted by '[RV Step GWP (kg CO2 equiv.) per kg API']]],Process_Steps[RV Step GWP (kg CO2 equiv.) per kg API],0))</f>
        <v>#N/A</v>
      </c>
      <c r="BS22" s="23" t="e" cm="1">
        <f t="array" aca="1" ref="BS22" ca="1">IF(LARGE(_xlfn.IFNA(Process_Steps[RV Step GWP (kg CO2 equiv.) per kg API],0),Process_Steps[[#This Row],[Table Row]])=0,NA(),LARGE(_xlfn.IFNA(Process_Steps[RV Step GWP (kg CO2 equiv.) per kg API],0),Process_Steps[[#This Row],[Table Row]]))</f>
        <v>#N/A</v>
      </c>
      <c r="BT22" s="23" t="e">
        <f ca="1">SUM(OFFSET(Process_Steps['[RV Step GWP (kg CO2 equiv.) per kg API'] of Each Step Sorted by '[RV Step GWP (kg CO2 equiv.) per kg API']],0,0,Process_Steps[[#This Row],[Table Row]]))</f>
        <v>#N/A</v>
      </c>
      <c r="BU22" s="23" t="e">
        <f ca="1">"("&amp;TEXT(Process_Steps[[#This Row],['[RV Step GWP (kg CO2 equiv.) per kg API'] of Each Step Sorted by '[RV Step GWP (kg CO2 equiv.) per kg API']]]/SUMIF(Process_Steps['[RV Step GWP (kg CO2 equiv.) per kg API'] of Each Step Sorted by '[RV Step GWP (kg CO2 equiv.) per kg API']],"&lt;&gt;#N/A"),"0%")&amp;")"</f>
        <v>#N/A</v>
      </c>
      <c r="BV22" s="23" t="e">
        <f ca="1">INDEX(Process_Steps[RV Step GWP (kg CO2 equiv.) per kg API (REAGENT)],MATCH(Process_Steps[[#This Row],[Steps Sorted by '[RV Step GWP (kg CO2 equiv.) per kg API']]],Process_Steps[Name],0))</f>
        <v>#N/A</v>
      </c>
      <c r="BW22" s="23" t="e">
        <f ca="1">INDEX(Process_Steps[RV Step GWP (kg CO2 equiv.) per kg API (METAL)],MATCH(Process_Steps[[#This Row],[Steps Sorted by '[RV Step GWP (kg CO2 equiv.) per kg API']]],Process_Steps[Name],0))</f>
        <v>#N/A</v>
      </c>
      <c r="BX22" s="23" t="e">
        <f ca="1">INDEX(Process_Steps[RV Step GWP (kg CO2 equiv.) per kg API (SOLVENT)],MATCH(Process_Steps[[#This Row],[Steps Sorted by '[RV Step GWP (kg CO2 equiv.) per kg API']]],Process_Steps[Name],0))</f>
        <v>#N/A</v>
      </c>
      <c r="BY22" s="23" t="e">
        <f ca="1">INDEX(Process_Steps[RV Step GWP (kg CO2 equiv.) per kg API (WATER)],MATCH(Process_Steps[[#This Row],[Steps Sorted by '[RV Step GWP (kg CO2 equiv.) per kg API']]],Process_Steps[Name],0))</f>
        <v>#N/A</v>
      </c>
      <c r="BZ22" s="23" t="e">
        <f ca="1">INDEX(Process_Steps[RV Step GWP (kg CO2 equiv.) per kg API (ENZ&amp;PLNT)],MATCH(Process_Steps[[#This Row],[Steps Sorted by '[RV Step GWP (kg CO2 equiv.) per kg API']]],Process_Steps[Name],0))</f>
        <v>#N/A</v>
      </c>
      <c r="CA22" s="23" t="e">
        <f ca="1">INDEX(Process_Steps[RV Step GWP (kg CO2 equiv.) per kg API (OTHER)],MATCH(Process_Steps[[#This Row],[Steps Sorted by '[RV Step GWP (kg CO2 equiv.) per kg API']]],Process_Steps[Name],0))</f>
        <v>#N/A</v>
      </c>
      <c r="CB22" s="118" t="e">
        <f>IF(Process_Steps[[#This Row],[Real or Virtual?]]="Real",SUMIFS(Table_Process_Details[RV Acidification (kg SO2 equiv.) per kg API],Table_Process_Details[Step Name],Process_Steps[[#This Row],[Name]]),NA())</f>
        <v>#N/A</v>
      </c>
      <c r="CC22" s="20" t="e">
        <f>IF(Process_Steps[[#This Row],[Real or Virtual?]]="Real",SUMIFS(Table_Process_Details[RV Acidification (kg SO2 equiv.) per kg API (REAGENT)],Table_Process_Details[Step Name],Process_Steps[[#This Row],[Name]]),NA())</f>
        <v>#N/A</v>
      </c>
      <c r="CD22" s="20" t="e">
        <f>IF(Process_Steps[[#This Row],[Real or Virtual?]]="Real",SUMIFS(Table_Process_Details[RV Acidification (kg SO2 equiv.) per kg API (METAL)],Table_Process_Details[Step Name],Process_Steps[[#This Row],[Name]]),NA())</f>
        <v>#N/A</v>
      </c>
      <c r="CE22" s="20" t="e">
        <f>IF(Process_Steps[[#This Row],[Real or Virtual?]]="Real",SUMIFS(Table_Process_Details[RV Acidification (kg SO2 equiv.) per kg API (SOLVENT)],Table_Process_Details[Step Name],Process_Steps[[#This Row],[Name]]),NA())</f>
        <v>#N/A</v>
      </c>
      <c r="CF22" s="20" t="e">
        <f>IF(Process_Steps[[#This Row],[Real or Virtual?]]="Real",SUMIFS(Table_Process_Details[RV Acidification (kg SO2 equiv.) per kg API (WATER)],Table_Process_Details[Step Name],Process_Steps[[#This Row],[Name]]),NA())</f>
        <v>#N/A</v>
      </c>
      <c r="CG22" s="20" t="e">
        <f>IF(Process_Steps[[#This Row],[Real or Virtual?]]="Real",SUMIFS(Table_Process_Details[RV Acidification (kg SO2 equiv.) per kg API (ENZ&amp;PLNT)],Table_Process_Details[Step Name],Process_Steps[[#This Row],[Name]]),NA())</f>
        <v>#N/A</v>
      </c>
      <c r="CH22" s="20" t="e">
        <f>IF(Process_Steps[[#This Row],[Real or Virtual?]]="Real",SUMIFS(Table_Process_Details[RV Acidification (kg SO2 equiv.) per kg API (OTHER)],Table_Process_Details[Step Name],Process_Steps[[#This Row],[Name]]),NA())</f>
        <v>#N/A</v>
      </c>
      <c r="CI22" s="23" t="e">
        <f ca="1">INDEX(Process_Steps[Name if Real],MATCH(Process_Steps[[#This Row],['[RV Step Acidification (kg SO2 equiv.) per kg API'] of Each Step Sorted by '[RV Step Acidification (kg SO2 equiv.) per kg API']]],Process_Steps[RV Step Acidification (kg SO2 equiv.) per kg API],0))</f>
        <v>#N/A</v>
      </c>
      <c r="CJ22" s="23" t="e" cm="1">
        <f t="array" aca="1" ref="CJ22" ca="1">IF(LARGE(_xlfn.IFNA(Process_Steps[RV Step Acidification (kg SO2 equiv.) per kg API],0),Process_Steps[[#This Row],[Table Row]])=0,NA(),LARGE(_xlfn.IFNA(Process_Steps[RV Step Acidification (kg SO2 equiv.) per kg API],0),Process_Steps[[#This Row],[Table Row]]))</f>
        <v>#N/A</v>
      </c>
      <c r="CK22" s="23" t="e">
        <f ca="1">SUM(OFFSET(Process_Steps['[RV Step Acidification (kg SO2 equiv.) per kg API'] of Each Step Sorted by '[RV Step Acidification (kg SO2 equiv.) per kg API']],0,0,Process_Steps[[#This Row],[Table Row]]))</f>
        <v>#N/A</v>
      </c>
      <c r="CL22"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2" s="23" t="e">
        <f ca="1">INDEX(Process_Steps[RV Step Acidification (kg SO2 equiv.) per kg API (REAGENT)],MATCH(Process_Steps[[#This Row],[Steps Sorted by '[RV Step Acidification (kg SO2 equiv.) per kg API']]],Process_Steps[Name],0))</f>
        <v>#N/A</v>
      </c>
      <c r="CN22" s="23" t="e">
        <f ca="1">INDEX(Process_Steps[RV Step Acidification (kg SO2 equiv.) per kg API (METAL)],MATCH(Process_Steps[[#This Row],[Steps Sorted by '[RV Step Acidification (kg SO2 equiv.) per kg API']]],Process_Steps[Name],0))</f>
        <v>#N/A</v>
      </c>
      <c r="CO22" s="23" t="e">
        <f ca="1">INDEX(Process_Steps[RV Step Acidification (kg SO2 equiv.) per kg API (SOLVENT)],MATCH(Process_Steps[[#This Row],[Steps Sorted by '[RV Step Acidification (kg SO2 equiv.) per kg API']]],Process_Steps[Name],0))</f>
        <v>#N/A</v>
      </c>
      <c r="CP22" s="23" t="e">
        <f ca="1">INDEX(Process_Steps[RV Step Acidification (kg SO2 equiv.) per kg API (WATER)],MATCH(Process_Steps[[#This Row],[Steps Sorted by '[RV Step Acidification (kg SO2 equiv.) per kg API']]],Process_Steps[Name],0))</f>
        <v>#N/A</v>
      </c>
      <c r="CQ22" s="23" t="e">
        <f ca="1">INDEX(Process_Steps[RV Step Acidification (kg SO2 equiv.) per kg API (ENZ&amp;PLNT)],MATCH(Process_Steps[[#This Row],[Steps Sorted by '[RV Step Acidification (kg SO2 equiv.) per kg API']]],Process_Steps[Name],0))</f>
        <v>#N/A</v>
      </c>
      <c r="CR22" s="23" t="e">
        <f ca="1">INDEX(Process_Steps[RV Step Acidification (kg SO2 equiv.) per kg API (OTHER)],MATCH(Process_Steps[[#This Row],[Steps Sorted by '[RV Step Acidification (kg SO2 equiv.) per kg API']]],Process_Steps[Name],0))</f>
        <v>#N/A</v>
      </c>
      <c r="CS22" s="118" t="e">
        <f>IF(Process_Steps[[#This Row],[Real or Virtual?]]="Real",SUMIFS(Table_Process_Details[RV Eutrophication (kg phosphate equiv.) per kg API],Table_Process_Details[Step Name],Process_Steps[[#This Row],[Name]]),NA())</f>
        <v>#N/A</v>
      </c>
      <c r="CT22" s="20" t="e">
        <f>IF(Process_Steps[[#This Row],[Real or Virtual?]]="Real",SUMIFS(Table_Process_Details[RV Eutrophication (kg phosphate equiv.) per kg API (REAGENT)],Table_Process_Details[Step Name],Process_Steps[[#This Row],[Name]]),NA())</f>
        <v>#N/A</v>
      </c>
      <c r="CU22" s="20" t="e">
        <f>IF(Process_Steps[[#This Row],[Real or Virtual?]]="Real",SUMIFS(Table_Process_Details[RV Eutrophication (kg phosphate equiv.) per kg API (METAL)],Table_Process_Details[Step Name],Process_Steps[[#This Row],[Name]]),NA())</f>
        <v>#N/A</v>
      </c>
      <c r="CV22" s="20" t="e">
        <f>IF(Process_Steps[[#This Row],[Real or Virtual?]]="Real",SUMIFS(Table_Process_Details[RV Eutrophication (kg phosphate equiv.) per kg API (SOLVENT)],Table_Process_Details[Step Name],Process_Steps[[#This Row],[Name]]),NA())</f>
        <v>#N/A</v>
      </c>
      <c r="CW22" s="20" t="e">
        <f>IF(Process_Steps[[#This Row],[Real or Virtual?]]="Real",SUMIFS(Table_Process_Details[RV Eutrophication (kg phosphate equiv.) per kg API (WATER)],Table_Process_Details[Step Name],Process_Steps[[#This Row],[Name]]),NA())</f>
        <v>#N/A</v>
      </c>
      <c r="CX22" s="20" t="e">
        <f>IF(Process_Steps[[#This Row],[Real or Virtual?]]="Real",SUMIFS(Table_Process_Details[RV Eutrophication (kg phosphate equiv.) per kg API (ENZ&amp;PLNT)],Table_Process_Details[Step Name],Process_Steps[[#This Row],[Name]]),NA())</f>
        <v>#N/A</v>
      </c>
      <c r="CY22" s="20" t="e">
        <f>IF(Process_Steps[[#This Row],[Real or Virtual?]]="Real",SUMIFS(Table_Process_Details[RV Eutrophication (kg phosphate equiv.) per kg API (OTHER)],Table_Process_Details[Step Name],Process_Steps[[#This Row],[Name]]),NA())</f>
        <v>#N/A</v>
      </c>
      <c r="CZ22" s="23" t="e">
        <f ca="1">INDEX(Process_Steps[Name if Real],MATCH(Process_Steps[[#This Row],['[RV Step Eutrophication (kg phosphate equiv.) per kg API'] of Each Step Sorted by '[RV Step Eutrophication (kg phosphate equiv.) per kg API']]],Process_Steps[RV Step Eutrophication (kg posphate equiv.) per kg API],0))</f>
        <v>#N/A</v>
      </c>
      <c r="DA22" s="23" t="e" cm="1">
        <f t="array" aca="1" ref="DA22" ca="1">IF(LARGE(_xlfn.IFNA(Process_Steps[RV Step Eutrophication (kg posphate equiv.) per kg API],0),Process_Steps[[#This Row],[Table Row]])=0,NA(),LARGE(_xlfn.IFNA(Process_Steps[RV Step Eutrophication (kg posphate equiv.) per kg API],0),Process_Steps[[#This Row],[Table Row]]))</f>
        <v>#N/A</v>
      </c>
      <c r="DB22" s="23" t="e">
        <f ca="1">SUM(OFFSET(Process_Steps['[RV Step Eutrophication (kg phosphate equiv.) per kg API'] of Each Step Sorted by '[RV Step Eutrophication (kg phosphate equiv.) per kg API']],0,0,Process_Steps[[#This Row],[Table Row]]))</f>
        <v>#N/A</v>
      </c>
      <c r="DC22"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2" s="23" t="e">
        <f ca="1">INDEX(Process_Steps[RV Step Eutrophication (kg posphate equiv.) per kg API (REAGENT)],MATCH(Process_Steps[[#This Row],[Steps Sorted by '[RV Step Eutrophication (kg phosphate equiv.) per kg API']]],Process_Steps[Name],0))</f>
        <v>#N/A</v>
      </c>
      <c r="DE22" s="23" t="e">
        <f ca="1">INDEX(Process_Steps[RV Step Eutrophication (kg posphate equiv.) per kg API (METAL)],MATCH(Process_Steps[[#This Row],[Steps Sorted by '[RV Step Eutrophication (kg phosphate equiv.) per kg API']]],Process_Steps[Name],0))</f>
        <v>#N/A</v>
      </c>
      <c r="DF22" s="23" t="e">
        <f ca="1">INDEX(Process_Steps[RV Step Eutrophication (kg posphate equiv.) per kg API (SOLVENT)],MATCH(Process_Steps[[#This Row],[Steps Sorted by '[RV Step Eutrophication (kg phosphate equiv.) per kg API']]],Process_Steps[Name],0))</f>
        <v>#N/A</v>
      </c>
      <c r="DG22" s="23" t="e">
        <f ca="1">INDEX(Process_Steps[RV Step Eutrophication (kg posphate equiv.) per kg API (WATER)],MATCH(Process_Steps[[#This Row],[Steps Sorted by '[RV Step Eutrophication (kg phosphate equiv.) per kg API']]],Process_Steps[Name],0))</f>
        <v>#N/A</v>
      </c>
      <c r="DH22" s="23" t="e">
        <f ca="1">INDEX(Process_Steps[RV Step Eutrophication (kg posphate equiv.) per kg API (ENZ&amp;PLNT)],MATCH(Process_Steps[[#This Row],[Steps Sorted by '[RV Step Eutrophication (kg phosphate equiv.) per kg API']]],Process_Steps[Name],0))</f>
        <v>#N/A</v>
      </c>
      <c r="DI22" s="23" t="e">
        <f ca="1">INDEX(Process_Steps[RV Step Eutrophication (kg posphate equiv.) per kg API (OTHER)],MATCH(Process_Steps[[#This Row],[Steps Sorted by '[RV Step Eutrophication (kg phosphate equiv.) per kg API']]],Process_Steps[Name],0))</f>
        <v>#N/A</v>
      </c>
      <c r="DJ22" s="118" t="e">
        <f>IF(Process_Steps[[#This Row],[Real or Virtual?]]="Real",SUMIFS(Table_Process_Details[RV Water (kg) per kg API],Table_Process_Details[Step Name],Process_Steps[[#This Row],[Name]]),NA())</f>
        <v>#N/A</v>
      </c>
      <c r="DK22" s="20" t="e">
        <f>IF(Process_Steps[[#This Row],[Real or Virtual?]]="Real",SUMIFS(Table_Process_Details[RV Water (kg) per kg API (REAGENT)],Table_Process_Details[Step Name],Process_Steps[[#This Row],[Name]]),NA())</f>
        <v>#N/A</v>
      </c>
      <c r="DL22" s="20" t="e">
        <f>IF(Process_Steps[[#This Row],[Real or Virtual?]]="Real",SUMIFS(Table_Process_Details[RV Water (kg) per kg API (METAL)],Table_Process_Details[Step Name],Process_Steps[[#This Row],[Name]]),NA())</f>
        <v>#N/A</v>
      </c>
      <c r="DM22" s="20" t="e">
        <f>IF(Process_Steps[[#This Row],[Real or Virtual?]]="Real",SUMIFS(Table_Process_Details[RV Water (kg) per kg API (SOLVENT)],Table_Process_Details[Step Name],Process_Steps[[#This Row],[Name]]),NA())</f>
        <v>#N/A</v>
      </c>
      <c r="DN22" s="20" t="e">
        <f>IF(Process_Steps[[#This Row],[Real or Virtual?]]="Real",SUMIFS(Table_Process_Details[RV Water (kg) per kg API (WATER)],Table_Process_Details[Step Name],Process_Steps[[#This Row],[Name]]),NA())</f>
        <v>#N/A</v>
      </c>
      <c r="DO22" s="20" t="e">
        <f>IF(Process_Steps[[#This Row],[Real or Virtual?]]="Real",SUMIFS(Table_Process_Details[RV Water (kg) per kg API (ENZ&amp;PLNT)],Table_Process_Details[Step Name],Process_Steps[[#This Row],[Name]]),NA())</f>
        <v>#N/A</v>
      </c>
      <c r="DP22" s="20" t="e">
        <f>IF(Process_Steps[[#This Row],[Real or Virtual?]]="Real",SUMIFS(Table_Process_Details[RV Water (kg) per kg API (OTHER)],Table_Process_Details[Step Name],Process_Steps[[#This Row],[Name]]),NA())</f>
        <v>#N/A</v>
      </c>
      <c r="DQ22" s="23" t="e">
        <f ca="1">INDEX(Process_Steps[Name if Real],MATCH(Process_Steps[[#This Row],['[RV Step Water (kg) per kg API'] of Each Step Sorted by '[RV Step Water (kg) per kg API']]],Process_Steps[RV Step Water (kg) per kg API],0))</f>
        <v>#N/A</v>
      </c>
      <c r="DR22" s="23" t="e" cm="1">
        <f t="array" aca="1" ref="DR22" ca="1">IF(LARGE(_xlfn.IFNA(Process_Steps[RV Step Water (kg) per kg API],0),Process_Steps[[#This Row],[Table Row]])=0,NA(),LARGE(_xlfn.IFNA(Process_Steps[RV Step Water (kg) per kg API],0),Process_Steps[[#This Row],[Table Row]]))</f>
        <v>#N/A</v>
      </c>
      <c r="DS22" s="23" t="e">
        <f ca="1">SUM(OFFSET(Process_Steps['[RV Step Water (kg) per kg API'] of Each Step Sorted by '[RV Step Water (kg) per kg API']],0,0,Process_Steps[[#This Row],[Table Row]]))</f>
        <v>#N/A</v>
      </c>
      <c r="DT22" s="23" t="e">
        <f ca="1">"("&amp;TEXT(Process_Steps[[#This Row],['[RV Step Water (kg) per kg API'] of Each Step Sorted by '[RV Step Water (kg) per kg API']]]/SUMIF(Process_Steps['[RV Step Water (kg) per kg API'] of Each Step Sorted by '[RV Step Water (kg) per kg API']],"&lt;&gt;#N/A"),"0%")&amp;")"</f>
        <v>#N/A</v>
      </c>
      <c r="DU22" s="23" t="e">
        <f ca="1">INDEX(Process_Steps[RV Step Water (kg) per kg API (REAGENT)],MATCH(Process_Steps[[#This Row],[Steps Sorted by '[RV Step Water (kg) per kg API']]],Process_Steps[Name],0))</f>
        <v>#N/A</v>
      </c>
      <c r="DV22" s="23" t="e">
        <f ca="1">INDEX(Process_Steps[RV Step Water (kg) per kg API (METAL)],MATCH(Process_Steps[[#This Row],[Steps Sorted by '[RV Step Water (kg) per kg API']]],Process_Steps[Name],0))</f>
        <v>#N/A</v>
      </c>
      <c r="DW22" s="23" t="e">
        <f ca="1">INDEX(Process_Steps[RV Step Water (kg) per kg API (SOLVENT)],MATCH(Process_Steps[[#This Row],[Steps Sorted by '[RV Step Water (kg) per kg API']]],Process_Steps[Name],0))</f>
        <v>#N/A</v>
      </c>
      <c r="DX22" s="23" t="e">
        <f ca="1">INDEX(Process_Steps[RV Step Water (kg) per kg API (WATER)],MATCH(Process_Steps[[#This Row],[Steps Sorted by '[RV Step Water (kg) per kg API']]],Process_Steps[Name],0))</f>
        <v>#N/A</v>
      </c>
      <c r="DY22" s="23" t="e">
        <f ca="1">INDEX(Process_Steps[RV Step Water (kg) per kg API (ENZ&amp;PLNT)],MATCH(Process_Steps[[#This Row],[Steps Sorted by '[RV Step Water (kg) per kg API']]],Process_Steps[Name],0))</f>
        <v>#N/A</v>
      </c>
      <c r="DZ22" s="23" t="e">
        <f ca="1">INDEX(Process_Steps[RV Step Water (kg) per kg API (OTHER)],MATCH(Process_Steps[[#This Row],[Steps Sorted by '[RV Step Water (kg) per kg API']]],Process_Steps[Name],0))</f>
        <v>#N/A</v>
      </c>
    </row>
    <row r="23" spans="1:130" x14ac:dyDescent="0.25">
      <c r="A23" t="s">
        <v>804</v>
      </c>
      <c r="B23" t="s">
        <v>175</v>
      </c>
      <c r="C23" t="s">
        <v>805</v>
      </c>
      <c r="D23" t="s">
        <v>845</v>
      </c>
      <c r="F23" s="25">
        <f>INDEX(Table_Process_Details[Physical Mass (kg)],MATCH(1,INDEX((Process_Steps[[#This Row],[Name]]=Table_Process_Details[Step Name])*(Table_Process_Details[Input or Output]="Output"),0),0))</f>
        <v>140</v>
      </c>
      <c r="G23" s="25" cm="1">
        <f t="array" aca="1" ref="G23"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3.8539181501193163</v>
      </c>
      <c r="H23" s="28">
        <f ca="1">Process_Steps[[#This Row],[Total Mass that must be produced]]/Process_Steps[[#This Row],[Unscaled Step Product Mass]]</f>
        <v>2.7527986786566545E-2</v>
      </c>
      <c r="I23" s="23" t="e">
        <f>IF(Process_Steps[[#This Row],[Real or Virtual?]]="Real",Process_Steps[[#This Row],[Name]],NA())</f>
        <v>#N/A</v>
      </c>
      <c r="J23" s="30">
        <f>ROW()-ROW(Process_Steps[[#Headers],[Table Row]])</f>
        <v>17</v>
      </c>
      <c r="K23"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23" s="118" t="e">
        <f>IF(Process_Steps[[#This Row],[Real or Virtual?]]="Real",SUMIFS(Table_Process_Details[RV Physical Mass per kg API],Table_Process_Details[Input or Output],"Input",Table_Process_Details[Step Name],Process_Steps[[#This Row],[Name]]),NA())</f>
        <v>#N/A</v>
      </c>
      <c r="M23" s="20" t="e">
        <f>IF(Process_Steps[[#This Row],[Real or Virtual?]]="Real",SUMIFS(Table_Process_Details[RV Physical Mass per kg API (REAGENT)],Table_Process_Details[Input or Output],"Input",Table_Process_Details[Step Name],Process_Steps[[#This Row],[Name]]),NA())</f>
        <v>#N/A</v>
      </c>
      <c r="N23" s="20" t="e">
        <f>IF(Process_Steps[[#This Row],[Real or Virtual?]]="Real",SUMIFS(Table_Process_Details[RV Physical Mass per kg API (METAL)],Table_Process_Details[Input or Output],"Input",Table_Process_Details[Step Name],Process_Steps[[#This Row],[Name]]),NA())</f>
        <v>#N/A</v>
      </c>
      <c r="O23" s="20" t="e">
        <f>IF(Process_Steps[[#This Row],[Real or Virtual?]]="Real",SUMIFS(Table_Process_Details[RV Physical Mass per kg API (SOLVENT)],Table_Process_Details[Input or Output],"Input",Table_Process_Details[Step Name],Process_Steps[[#This Row],[Name]]),NA())</f>
        <v>#N/A</v>
      </c>
      <c r="P23" s="20" t="e">
        <f>IF(Process_Steps[[#This Row],[Real or Virtual?]]="Real",SUMIFS(Table_Process_Details[RV Physical Mass per kg API (WATER)],Table_Process_Details[Input or Output],"Input",Table_Process_Details[Step Name],Process_Steps[[#This Row],[Name]]),NA())</f>
        <v>#N/A</v>
      </c>
      <c r="Q23" s="20" t="e">
        <f>IF(Process_Steps[[#This Row],[Real or Virtual?]]="Real",SUMIFS(Table_Process_Details[RV Physical Mass per kg API (ENZ&amp;PLNT)],Table_Process_Details[Input or Output],"Input",Table_Process_Details[Step Name],Process_Steps[[#This Row],[Name]]),NA())</f>
        <v>#N/A</v>
      </c>
      <c r="R23" s="20" t="e">
        <f>IF(Process_Steps[[#This Row],[Real or Virtual?]]="Real",SUMIFS(Table_Process_Details[RV Physical Mass per kg API (OTHER)],Table_Process_Details[Input or Output],"Input",Table_Process_Details[Step Name],Process_Steps[[#This Row],[Name]]),NA())</f>
        <v>#N/A</v>
      </c>
      <c r="S23" s="118" t="e">
        <f ca="1">INDEX(Process_Steps[Name if Real],MATCH(Process_Steps[[#This Row],['[RV Step PMI per kg API'] of Each Step Sorted by '[RV Step PMI per kg API']]],Process_Steps[RV Step PMI per kg API],0))</f>
        <v>#N/A</v>
      </c>
      <c r="T23" s="118" t="e" cm="1">
        <f t="array" aca="1" ref="T23" ca="1">IF(LARGE(_xlfn.IFNA(Process_Steps[RV Step PMI per kg API],0),Process_Steps[[#This Row],[Table Row]])=0,NA(),LARGE(_xlfn.IFNA(Process_Steps[RV Step PMI per kg API],0),Process_Steps[[#This Row],[Table Row]]))</f>
        <v>#N/A</v>
      </c>
      <c r="U23" s="118" t="e">
        <f ca="1">SUM(OFFSET(Process_Steps['[RV Step PMI per kg API'] of Each Step Sorted by '[RV Step PMI per kg API']],0,0,Process_Steps[[#This Row],[Table Row]]))</f>
        <v>#N/A</v>
      </c>
      <c r="V23" s="118" t="e">
        <f ca="1">"("&amp;TEXT(Process_Steps[[#This Row],['[RV Step PMI per kg API'] of Each Step Sorted by '[RV Step PMI per kg API']]]/SUMIF(Process_Steps['[RV Step PMI per kg API'] of Each Step Sorted by '[RV Step PMI per kg API']],"&lt;&gt;#N/A"),"0%")&amp;")"</f>
        <v>#N/A</v>
      </c>
      <c r="W23" s="23" t="e">
        <f ca="1">INDEX(Process_Steps[RV Step PMI per kg API (REAGENT)],MATCH(Process_Steps[[#This Row],[Steps Sorted by '[RV Step PMI per kg API']]],Process_Steps[Name],0))</f>
        <v>#N/A</v>
      </c>
      <c r="X23" s="23" t="e">
        <f ca="1">INDEX(Process_Steps[RV Step PMI per kg API (METAL)],MATCH(Process_Steps[[#This Row],[Steps Sorted by '[RV Step PMI per kg API']]],Process_Steps[Name],0))</f>
        <v>#N/A</v>
      </c>
      <c r="Y23" s="23" t="e">
        <f ca="1">INDEX(Process_Steps[RV Step PMI per kg API (SOLVENT)],MATCH(Process_Steps[[#This Row],[Steps Sorted by '[RV Step PMI per kg API']]],Process_Steps[Name],0))</f>
        <v>#N/A</v>
      </c>
      <c r="Z23" s="23" t="e">
        <f ca="1">INDEX(Process_Steps[RV Step PMI per kg API (WATER)],MATCH(Process_Steps[[#This Row],[Steps Sorted by '[RV Step PMI per kg API']]],Process_Steps[Name],0))</f>
        <v>#N/A</v>
      </c>
      <c r="AA23" s="23" t="e">
        <f ca="1">INDEX(Process_Steps[RV Step PMI per kg API (ENZ&amp;PLNT)],MATCH(Process_Steps[[#This Row],[Steps Sorted by '[RV Step PMI per kg API']]],Process_Steps[Name],0))</f>
        <v>#N/A</v>
      </c>
      <c r="AB23" s="23" t="e">
        <f ca="1">INDEX(Process_Steps[RV Step PMI per kg API (OTHER)],MATCH(Process_Steps[[#This Row],[Steps Sorted by '[RV Step PMI per kg API']]],Process_Steps[Name],0))</f>
        <v>#N/A</v>
      </c>
      <c r="AC23" s="118" t="e">
        <f>IF(Process_Steps[[#This Row],[Real or Virtual?]]="Real",SUMIFS(Table_Process_Details[RV Mass Net (kg) per kg API],Table_Process_Details[Step Name],Process_Steps[[#This Row],[Name]]),NA())</f>
        <v>#N/A</v>
      </c>
      <c r="AD23" s="20" t="e">
        <f>IF(Process_Steps[[#This Row],[Real or Virtual?]]="Real",SUMIFS(Table_Process_Details[RV Mass Net (kg) per kg API (REAGENT)],Table_Process_Details[Step Name],Process_Steps[[#This Row],[Name]]),NA())</f>
        <v>#N/A</v>
      </c>
      <c r="AE23" s="20" t="e">
        <f>IF(Process_Steps[[#This Row],[Real or Virtual?]]="Real",SUMIFS(Table_Process_Details[RV Mass Net (kg) per kg API (METAL)],Table_Process_Details[Step Name],Process_Steps[[#This Row],[Name]]),NA())</f>
        <v>#N/A</v>
      </c>
      <c r="AF23" s="20" t="e">
        <f>IF(Process_Steps[[#This Row],[Real or Virtual?]]="Real",SUMIFS(Table_Process_Details[RV Mass Net (kg) per kg API (SOLVENT)],Table_Process_Details[Step Name],Process_Steps[[#This Row],[Name]]),NA())</f>
        <v>#N/A</v>
      </c>
      <c r="AG23" s="20" t="e">
        <f>IF(Process_Steps[[#This Row],[Real or Virtual?]]="Real",SUMIFS(Table_Process_Details[RV Mass Net (kg) per kg API (WATER)],Table_Process_Details[Step Name],Process_Steps[[#This Row],[Name]]),NA())</f>
        <v>#N/A</v>
      </c>
      <c r="AH23" s="20" t="e">
        <f>IF(Process_Steps[[#This Row],[Real or Virtual?]]="Real",SUMIFS(Table_Process_Details[RV Mass Net (kg) per kg API (ENZ&amp;PLNT)],Table_Process_Details[Step Name],Process_Steps[[#This Row],[Name]]),NA())</f>
        <v>#N/A</v>
      </c>
      <c r="AI23" s="20" t="e">
        <f>IF(Process_Steps[[#This Row],[Real or Virtual?]]="Real",SUMIFS(Table_Process_Details[RV Mass Net (kg) per kg API (OTHER)],Table_Process_Details[Step Name],Process_Steps[[#This Row],[Name]]),NA())</f>
        <v>#N/A</v>
      </c>
      <c r="AJ23" s="23" t="e">
        <f ca="1">INDEX(Process_Steps[Name if Real],MATCH(Process_Steps[[#This Row],['[RV Step Mass Net (kg) per kg API'] of Each Step Sorted by '[RV Step Mass Net (kg) per kg API']]],Process_Steps[RV Step Mass Net (kg) per kg API],0))</f>
        <v>#N/A</v>
      </c>
      <c r="AK23" s="23" t="e" cm="1">
        <f t="array" aca="1" ref="AK23" ca="1">IF(LARGE(_xlfn.IFNA(Process_Steps[RV Step Mass Net (kg) per kg API],0),Process_Steps[[#This Row],[Table Row]])=0,NA(),LARGE(_xlfn.IFNA(Process_Steps[RV Step Mass Net (kg) per kg API],0),Process_Steps[[#This Row],[Table Row]]))</f>
        <v>#N/A</v>
      </c>
      <c r="AL23" s="23" t="e">
        <f ca="1">SUM(OFFSET(Process_Steps['[RV Step Mass Net (kg) per kg API'] of Each Step Sorted by '[RV Step Mass Net (kg) per kg API']],0,0,Process_Steps[[#This Row],[Table Row]]))</f>
        <v>#N/A</v>
      </c>
      <c r="AM23" s="23" t="e">
        <f ca="1">"("&amp;TEXT(Process_Steps[[#This Row],['[RV Step Mass Net (kg) per kg API'] of Each Step Sorted by '[RV Step Mass Net (kg) per kg API']]]/SUMIF(Process_Steps['[RV Step Mass Net (kg) per kg API'] of Each Step Sorted by '[RV Step Mass Net (kg) per kg API']],"&lt;&gt;#N/A"),"0%")&amp;")"</f>
        <v>#N/A</v>
      </c>
      <c r="AN23" s="23" t="e">
        <f ca="1">INDEX(Process_Steps[RV Step Mass Net (kg) per kg API (REAGENT)],MATCH(Process_Steps[[#This Row],[Steps Sorted by '[RV Step Mass Net (kg) per kg API']]],Process_Steps[Name],0))</f>
        <v>#N/A</v>
      </c>
      <c r="AO23" s="23" t="e">
        <f ca="1">INDEX(Process_Steps[RV Step Mass Net (kg) per kg API (METAL)],MATCH(Process_Steps[[#This Row],[Steps Sorted by '[RV Step Mass Net (kg) per kg API']]],Process_Steps[Name],0))</f>
        <v>#N/A</v>
      </c>
      <c r="AP23" s="23" t="e">
        <f ca="1">INDEX(Process_Steps[RV Step Mass Net (kg) per kg API (SOLVENT)],MATCH(Process_Steps[[#This Row],[Steps Sorted by '[RV Step Mass Net (kg) per kg API']]],Process_Steps[Name],0))</f>
        <v>#N/A</v>
      </c>
      <c r="AQ23" s="23" t="e">
        <f ca="1">INDEX(Process_Steps[RV Step Mass Net (kg) per kg API (WATER)],MATCH(Process_Steps[[#This Row],[Steps Sorted by '[RV Step Mass Net (kg) per kg API']]],Process_Steps[Name],0))</f>
        <v>#N/A</v>
      </c>
      <c r="AR23" s="23" t="e">
        <f ca="1">INDEX(Process_Steps[RV Step Mass Net (kg) per kg API (ENZ&amp;PLNT)],MATCH(Process_Steps[[#This Row],[Steps Sorted by '[RV Step Mass Net (kg) per kg API']]],Process_Steps[Name],0))</f>
        <v>#N/A</v>
      </c>
      <c r="AS23" s="23" t="e">
        <f ca="1">INDEX(Process_Steps[RV Step Mass Net (kg) per kg API (OTHER)],MATCH(Process_Steps[[#This Row],[Steps Sorted by '[RV Step Mass Net (kg) per kg API']]],Process_Steps[Name],0))</f>
        <v>#N/A</v>
      </c>
      <c r="AT23" s="118" t="e">
        <f>IF(Process_Steps[[#This Row],[Real or Virtual?]]="Real",SUMIFS(Table_Process_Details[RV Energy (MJ) per kg API],Table_Process_Details[Step Name],Process_Steps[[#This Row],[Name]]),NA())</f>
        <v>#N/A</v>
      </c>
      <c r="AU23" s="20" t="e">
        <f>IF(Process_Steps[[#This Row],[Real or Virtual?]]="Real",SUMIFS(Table_Process_Details[RV Energy (MJ) per kg API (REAGENT)],Table_Process_Details[Step Name],Process_Steps[[#This Row],[Name]]),NA())</f>
        <v>#N/A</v>
      </c>
      <c r="AV23" s="20" t="e">
        <f>IF(Process_Steps[[#This Row],[Real or Virtual?]]="Real",SUMIFS(Table_Process_Details[RV Energy (MJ) per kg API (METAL)],Table_Process_Details[Step Name],Process_Steps[[#This Row],[Name]]),NA())</f>
        <v>#N/A</v>
      </c>
      <c r="AW23" s="20" t="e">
        <f>IF(Process_Steps[[#This Row],[Real or Virtual?]]="Real",SUMIFS(Table_Process_Details[RV Energy (MJ) per kg API (SOLVENT)],Table_Process_Details[Step Name],Process_Steps[[#This Row],[Name]]),NA())</f>
        <v>#N/A</v>
      </c>
      <c r="AX23" s="20" t="e">
        <f>IF(Process_Steps[[#This Row],[Real or Virtual?]]="Real",SUMIFS(Table_Process_Details[RV Energy (MJ) per kg API (WATER)],Table_Process_Details[Step Name],Process_Steps[[#This Row],[Name]]),NA())</f>
        <v>#N/A</v>
      </c>
      <c r="AY23" s="20" t="e">
        <f>IF(Process_Steps[[#This Row],[Real or Virtual?]]="Real",SUMIFS(Table_Process_Details[RV Energy (MJ) per kg API (ENZ&amp;PLNT)],Table_Process_Details[Step Name],Process_Steps[[#This Row],[Name]]),NA())</f>
        <v>#N/A</v>
      </c>
      <c r="AZ23" s="20" t="e">
        <f>IF(Process_Steps[[#This Row],[Real or Virtual?]]="Real",SUMIFS(Table_Process_Details[RV Energy (MJ) per kg API (OTHER)],Table_Process_Details[Step Name],Process_Steps[[#This Row],[Name]]),NA())</f>
        <v>#N/A</v>
      </c>
      <c r="BA23" s="23" t="e">
        <f ca="1">INDEX(Process_Steps[Name if Real],MATCH(Process_Steps[[#This Row],['[RV Step Energy (MJ) per kg API'] of Each Step Sorted by '[RV Step Energy (MJ) per kg API']]],Process_Steps[RV Step Energy (MJ) per kg API],0))</f>
        <v>#N/A</v>
      </c>
      <c r="BB23" s="23" t="e" cm="1">
        <f t="array" aca="1" ref="BB23" ca="1">IF(LARGE(_xlfn.IFNA(Process_Steps[RV Step Energy (MJ) per kg API],0),Process_Steps[[#This Row],[Table Row]])=0,NA(),LARGE(_xlfn.IFNA(Process_Steps[RV Step Energy (MJ) per kg API],0),Process_Steps[[#This Row],[Table Row]]))</f>
        <v>#N/A</v>
      </c>
      <c r="BC23" s="23" t="e">
        <f ca="1">SUM(OFFSET(Process_Steps['[RV Step Energy (MJ) per kg API'] of Each Step Sorted by '[RV Step Energy (MJ) per kg API']],0,0,Process_Steps[[#This Row],[Table Row]]))</f>
        <v>#N/A</v>
      </c>
      <c r="BD23" s="23" t="e">
        <f ca="1">"("&amp;TEXT(Process_Steps[[#This Row],['[RV Step Energy (MJ) per kg API'] of Each Step Sorted by '[RV Step Energy (MJ) per kg API']]]/SUMIF(Process_Steps['[RV Step Energy (MJ) per kg API'] of Each Step Sorted by '[RV Step Energy (MJ) per kg API']],"&lt;&gt;#N/A"),"0%")&amp;")"</f>
        <v>#N/A</v>
      </c>
      <c r="BE23" s="23" t="e">
        <f ca="1">INDEX(Process_Steps[RV Step Energy (MJ) per kg API (REAGENT)],MATCH(Process_Steps[[#This Row],[Steps Sorted by '[RV Step Energy (MJ) per kg API']]],Process_Steps[Name],0))</f>
        <v>#N/A</v>
      </c>
      <c r="BF23" s="23" t="e">
        <f ca="1">INDEX(Process_Steps[RV Step Energy (MJ) per kg API (METAL)],MATCH(Process_Steps[[#This Row],[Steps Sorted by '[RV Step Energy (MJ) per kg API']]],Process_Steps[Name],0))</f>
        <v>#N/A</v>
      </c>
      <c r="BG23" s="23" t="e">
        <f ca="1">INDEX(Process_Steps[RV Step Energy (MJ) per kg API (SOLVENT)],MATCH(Process_Steps[[#This Row],[Steps Sorted by '[RV Step Energy (MJ) per kg API']]],Process_Steps[Name],0))</f>
        <v>#N/A</v>
      </c>
      <c r="BH23" s="23" t="e">
        <f ca="1">INDEX(Process_Steps[RV Step Energy (MJ) per kg API (WATER)],MATCH(Process_Steps[[#This Row],[Steps Sorted by '[RV Step Energy (MJ) per kg API']]],Process_Steps[Name],0))</f>
        <v>#N/A</v>
      </c>
      <c r="BI23" s="23" t="e">
        <f ca="1">INDEX(Process_Steps[RV Step Energy (MJ) per kg API (ENZ&amp;PLNT)],MATCH(Process_Steps[[#This Row],[Steps Sorted by '[RV Step Energy (MJ) per kg API']]],Process_Steps[Name],0))</f>
        <v>#N/A</v>
      </c>
      <c r="BJ23" s="23" t="e">
        <f ca="1">INDEX(Process_Steps[RV Step Energy (MJ) per kg API (OTHER)],MATCH(Process_Steps[[#This Row],[Steps Sorted by '[RV Step Energy (MJ) per kg API']]],Process_Steps[Name],0))</f>
        <v>#N/A</v>
      </c>
      <c r="BK23" s="118" t="e">
        <f>IF(Process_Steps[[#This Row],[Real or Virtual?]]="Real",SUMIFS(Table_Process_Details[RV GWP (kg CO2 equiv.) per kg API],Table_Process_Details[Step Name],Process_Steps[[#This Row],[Name]]),NA())</f>
        <v>#N/A</v>
      </c>
      <c r="BL23" s="20" t="e">
        <f>IF(Process_Steps[[#This Row],[Real or Virtual?]]="Real",SUMIFS(Table_Process_Details[RV GWP (kg CO2 equiv.) per kg API (REAGENT)],Table_Process_Details[Step Name],Process_Steps[[#This Row],[Name]]),NA())</f>
        <v>#N/A</v>
      </c>
      <c r="BM23" s="20" t="e">
        <f>IF(Process_Steps[[#This Row],[Real or Virtual?]]="Real",SUMIFS(Table_Process_Details[RV GWP (kg CO2 equiv.) per kg API (METAL)],Table_Process_Details[Step Name],Process_Steps[[#This Row],[Name]]),NA())</f>
        <v>#N/A</v>
      </c>
      <c r="BN23" s="20" t="e">
        <f>IF(Process_Steps[[#This Row],[Real or Virtual?]]="Real",SUMIFS(Table_Process_Details[RV GWP (kg CO2 equiv.) per kg API (SOLVENT)],Table_Process_Details[Step Name],Process_Steps[[#This Row],[Name]]),NA())</f>
        <v>#N/A</v>
      </c>
      <c r="BO23" s="20" t="e">
        <f>IF(Process_Steps[[#This Row],[Real or Virtual?]]="Real",SUMIFS(Table_Process_Details[RV GWP (kg CO2 equiv.) per kg API (WATER)],Table_Process_Details[Step Name],Process_Steps[[#This Row],[Name]]),NA())</f>
        <v>#N/A</v>
      </c>
      <c r="BP23" s="20" t="e">
        <f>IF(Process_Steps[[#This Row],[Real or Virtual?]]="Real",SUMIFS(Table_Process_Details[RV GWP (kg CO2 equiv.) per kg API (ENZ&amp;PLNT)],Table_Process_Details[Step Name],Process_Steps[[#This Row],[Name]]),NA())</f>
        <v>#N/A</v>
      </c>
      <c r="BQ23" s="20" t="e">
        <f>IF(Process_Steps[[#This Row],[Real or Virtual?]]="Real",SUMIFS(Table_Process_Details[RV GWP (kg CO2 equiv.) per kg API (OTHER)],Table_Process_Details[Step Name],Process_Steps[[#This Row],[Name]]),NA())</f>
        <v>#N/A</v>
      </c>
      <c r="BR23" s="23" t="e">
        <f ca="1">INDEX(Process_Steps[Name if Real],MATCH(Process_Steps[[#This Row],['[RV Step GWP (kg CO2 equiv.) per kg API'] of Each Step Sorted by '[RV Step GWP (kg CO2 equiv.) per kg API']]],Process_Steps[RV Step GWP (kg CO2 equiv.) per kg API],0))</f>
        <v>#N/A</v>
      </c>
      <c r="BS23" s="23" t="e" cm="1">
        <f t="array" aca="1" ref="BS23" ca="1">IF(LARGE(_xlfn.IFNA(Process_Steps[RV Step GWP (kg CO2 equiv.) per kg API],0),Process_Steps[[#This Row],[Table Row]])=0,NA(),LARGE(_xlfn.IFNA(Process_Steps[RV Step GWP (kg CO2 equiv.) per kg API],0),Process_Steps[[#This Row],[Table Row]]))</f>
        <v>#N/A</v>
      </c>
      <c r="BT23" s="23" t="e">
        <f ca="1">SUM(OFFSET(Process_Steps['[RV Step GWP (kg CO2 equiv.) per kg API'] of Each Step Sorted by '[RV Step GWP (kg CO2 equiv.) per kg API']],0,0,Process_Steps[[#This Row],[Table Row]]))</f>
        <v>#N/A</v>
      </c>
      <c r="BU23" s="23" t="e">
        <f ca="1">"("&amp;TEXT(Process_Steps[[#This Row],['[RV Step GWP (kg CO2 equiv.) per kg API'] of Each Step Sorted by '[RV Step GWP (kg CO2 equiv.) per kg API']]]/SUMIF(Process_Steps['[RV Step GWP (kg CO2 equiv.) per kg API'] of Each Step Sorted by '[RV Step GWP (kg CO2 equiv.) per kg API']],"&lt;&gt;#N/A"),"0%")&amp;")"</f>
        <v>#N/A</v>
      </c>
      <c r="BV23" s="23" t="e">
        <f ca="1">INDEX(Process_Steps[RV Step GWP (kg CO2 equiv.) per kg API (REAGENT)],MATCH(Process_Steps[[#This Row],[Steps Sorted by '[RV Step GWP (kg CO2 equiv.) per kg API']]],Process_Steps[Name],0))</f>
        <v>#N/A</v>
      </c>
      <c r="BW23" s="23" t="e">
        <f ca="1">INDEX(Process_Steps[RV Step GWP (kg CO2 equiv.) per kg API (METAL)],MATCH(Process_Steps[[#This Row],[Steps Sorted by '[RV Step GWP (kg CO2 equiv.) per kg API']]],Process_Steps[Name],0))</f>
        <v>#N/A</v>
      </c>
      <c r="BX23" s="23" t="e">
        <f ca="1">INDEX(Process_Steps[RV Step GWP (kg CO2 equiv.) per kg API (SOLVENT)],MATCH(Process_Steps[[#This Row],[Steps Sorted by '[RV Step GWP (kg CO2 equiv.) per kg API']]],Process_Steps[Name],0))</f>
        <v>#N/A</v>
      </c>
      <c r="BY23" s="23" t="e">
        <f ca="1">INDEX(Process_Steps[RV Step GWP (kg CO2 equiv.) per kg API (WATER)],MATCH(Process_Steps[[#This Row],[Steps Sorted by '[RV Step GWP (kg CO2 equiv.) per kg API']]],Process_Steps[Name],0))</f>
        <v>#N/A</v>
      </c>
      <c r="BZ23" s="23" t="e">
        <f ca="1">INDEX(Process_Steps[RV Step GWP (kg CO2 equiv.) per kg API (ENZ&amp;PLNT)],MATCH(Process_Steps[[#This Row],[Steps Sorted by '[RV Step GWP (kg CO2 equiv.) per kg API']]],Process_Steps[Name],0))</f>
        <v>#N/A</v>
      </c>
      <c r="CA23" s="23" t="e">
        <f ca="1">INDEX(Process_Steps[RV Step GWP (kg CO2 equiv.) per kg API (OTHER)],MATCH(Process_Steps[[#This Row],[Steps Sorted by '[RV Step GWP (kg CO2 equiv.) per kg API']]],Process_Steps[Name],0))</f>
        <v>#N/A</v>
      </c>
      <c r="CB23" s="118" t="e">
        <f>IF(Process_Steps[[#This Row],[Real or Virtual?]]="Real",SUMIFS(Table_Process_Details[RV Acidification (kg SO2 equiv.) per kg API],Table_Process_Details[Step Name],Process_Steps[[#This Row],[Name]]),NA())</f>
        <v>#N/A</v>
      </c>
      <c r="CC23" s="20" t="e">
        <f>IF(Process_Steps[[#This Row],[Real or Virtual?]]="Real",SUMIFS(Table_Process_Details[RV Acidification (kg SO2 equiv.) per kg API (REAGENT)],Table_Process_Details[Step Name],Process_Steps[[#This Row],[Name]]),NA())</f>
        <v>#N/A</v>
      </c>
      <c r="CD23" s="20" t="e">
        <f>IF(Process_Steps[[#This Row],[Real or Virtual?]]="Real",SUMIFS(Table_Process_Details[RV Acidification (kg SO2 equiv.) per kg API (METAL)],Table_Process_Details[Step Name],Process_Steps[[#This Row],[Name]]),NA())</f>
        <v>#N/A</v>
      </c>
      <c r="CE23" s="20" t="e">
        <f>IF(Process_Steps[[#This Row],[Real or Virtual?]]="Real",SUMIFS(Table_Process_Details[RV Acidification (kg SO2 equiv.) per kg API (SOLVENT)],Table_Process_Details[Step Name],Process_Steps[[#This Row],[Name]]),NA())</f>
        <v>#N/A</v>
      </c>
      <c r="CF23" s="20" t="e">
        <f>IF(Process_Steps[[#This Row],[Real or Virtual?]]="Real",SUMIFS(Table_Process_Details[RV Acidification (kg SO2 equiv.) per kg API (WATER)],Table_Process_Details[Step Name],Process_Steps[[#This Row],[Name]]),NA())</f>
        <v>#N/A</v>
      </c>
      <c r="CG23" s="20" t="e">
        <f>IF(Process_Steps[[#This Row],[Real or Virtual?]]="Real",SUMIFS(Table_Process_Details[RV Acidification (kg SO2 equiv.) per kg API (ENZ&amp;PLNT)],Table_Process_Details[Step Name],Process_Steps[[#This Row],[Name]]),NA())</f>
        <v>#N/A</v>
      </c>
      <c r="CH23" s="20" t="e">
        <f>IF(Process_Steps[[#This Row],[Real or Virtual?]]="Real",SUMIFS(Table_Process_Details[RV Acidification (kg SO2 equiv.) per kg API (OTHER)],Table_Process_Details[Step Name],Process_Steps[[#This Row],[Name]]),NA())</f>
        <v>#N/A</v>
      </c>
      <c r="CI23" s="23" t="e">
        <f ca="1">INDEX(Process_Steps[Name if Real],MATCH(Process_Steps[[#This Row],['[RV Step Acidification (kg SO2 equiv.) per kg API'] of Each Step Sorted by '[RV Step Acidification (kg SO2 equiv.) per kg API']]],Process_Steps[RV Step Acidification (kg SO2 equiv.) per kg API],0))</f>
        <v>#N/A</v>
      </c>
      <c r="CJ23" s="23" t="e" cm="1">
        <f t="array" aca="1" ref="CJ23" ca="1">IF(LARGE(_xlfn.IFNA(Process_Steps[RV Step Acidification (kg SO2 equiv.) per kg API],0),Process_Steps[[#This Row],[Table Row]])=0,NA(),LARGE(_xlfn.IFNA(Process_Steps[RV Step Acidification (kg SO2 equiv.) per kg API],0),Process_Steps[[#This Row],[Table Row]]))</f>
        <v>#N/A</v>
      </c>
      <c r="CK23" s="23" t="e">
        <f ca="1">SUM(OFFSET(Process_Steps['[RV Step Acidification (kg SO2 equiv.) per kg API'] of Each Step Sorted by '[RV Step Acidification (kg SO2 equiv.) per kg API']],0,0,Process_Steps[[#This Row],[Table Row]]))</f>
        <v>#N/A</v>
      </c>
      <c r="CL23"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3" s="23" t="e">
        <f ca="1">INDEX(Process_Steps[RV Step Acidification (kg SO2 equiv.) per kg API (REAGENT)],MATCH(Process_Steps[[#This Row],[Steps Sorted by '[RV Step Acidification (kg SO2 equiv.) per kg API']]],Process_Steps[Name],0))</f>
        <v>#N/A</v>
      </c>
      <c r="CN23" s="23" t="e">
        <f ca="1">INDEX(Process_Steps[RV Step Acidification (kg SO2 equiv.) per kg API (METAL)],MATCH(Process_Steps[[#This Row],[Steps Sorted by '[RV Step Acidification (kg SO2 equiv.) per kg API']]],Process_Steps[Name],0))</f>
        <v>#N/A</v>
      </c>
      <c r="CO23" s="23" t="e">
        <f ca="1">INDEX(Process_Steps[RV Step Acidification (kg SO2 equiv.) per kg API (SOLVENT)],MATCH(Process_Steps[[#This Row],[Steps Sorted by '[RV Step Acidification (kg SO2 equiv.) per kg API']]],Process_Steps[Name],0))</f>
        <v>#N/A</v>
      </c>
      <c r="CP23" s="23" t="e">
        <f ca="1">INDEX(Process_Steps[RV Step Acidification (kg SO2 equiv.) per kg API (WATER)],MATCH(Process_Steps[[#This Row],[Steps Sorted by '[RV Step Acidification (kg SO2 equiv.) per kg API']]],Process_Steps[Name],0))</f>
        <v>#N/A</v>
      </c>
      <c r="CQ23" s="23" t="e">
        <f ca="1">INDEX(Process_Steps[RV Step Acidification (kg SO2 equiv.) per kg API (ENZ&amp;PLNT)],MATCH(Process_Steps[[#This Row],[Steps Sorted by '[RV Step Acidification (kg SO2 equiv.) per kg API']]],Process_Steps[Name],0))</f>
        <v>#N/A</v>
      </c>
      <c r="CR23" s="23" t="e">
        <f ca="1">INDEX(Process_Steps[RV Step Acidification (kg SO2 equiv.) per kg API (OTHER)],MATCH(Process_Steps[[#This Row],[Steps Sorted by '[RV Step Acidification (kg SO2 equiv.) per kg API']]],Process_Steps[Name],0))</f>
        <v>#N/A</v>
      </c>
      <c r="CS23" s="118" t="e">
        <f>IF(Process_Steps[[#This Row],[Real or Virtual?]]="Real",SUMIFS(Table_Process_Details[RV Eutrophication (kg phosphate equiv.) per kg API],Table_Process_Details[Step Name],Process_Steps[[#This Row],[Name]]),NA())</f>
        <v>#N/A</v>
      </c>
      <c r="CT23" s="20" t="e">
        <f>IF(Process_Steps[[#This Row],[Real or Virtual?]]="Real",SUMIFS(Table_Process_Details[RV Eutrophication (kg phosphate equiv.) per kg API (REAGENT)],Table_Process_Details[Step Name],Process_Steps[[#This Row],[Name]]),NA())</f>
        <v>#N/A</v>
      </c>
      <c r="CU23" s="20" t="e">
        <f>IF(Process_Steps[[#This Row],[Real or Virtual?]]="Real",SUMIFS(Table_Process_Details[RV Eutrophication (kg phosphate equiv.) per kg API (METAL)],Table_Process_Details[Step Name],Process_Steps[[#This Row],[Name]]),NA())</f>
        <v>#N/A</v>
      </c>
      <c r="CV23" s="20" t="e">
        <f>IF(Process_Steps[[#This Row],[Real or Virtual?]]="Real",SUMIFS(Table_Process_Details[RV Eutrophication (kg phosphate equiv.) per kg API (SOLVENT)],Table_Process_Details[Step Name],Process_Steps[[#This Row],[Name]]),NA())</f>
        <v>#N/A</v>
      </c>
      <c r="CW23" s="20" t="e">
        <f>IF(Process_Steps[[#This Row],[Real or Virtual?]]="Real",SUMIFS(Table_Process_Details[RV Eutrophication (kg phosphate equiv.) per kg API (WATER)],Table_Process_Details[Step Name],Process_Steps[[#This Row],[Name]]),NA())</f>
        <v>#N/A</v>
      </c>
      <c r="CX23" s="20" t="e">
        <f>IF(Process_Steps[[#This Row],[Real or Virtual?]]="Real",SUMIFS(Table_Process_Details[RV Eutrophication (kg phosphate equiv.) per kg API (ENZ&amp;PLNT)],Table_Process_Details[Step Name],Process_Steps[[#This Row],[Name]]),NA())</f>
        <v>#N/A</v>
      </c>
      <c r="CY23" s="20" t="e">
        <f>IF(Process_Steps[[#This Row],[Real or Virtual?]]="Real",SUMIFS(Table_Process_Details[RV Eutrophication (kg phosphate equiv.) per kg API (OTHER)],Table_Process_Details[Step Name],Process_Steps[[#This Row],[Name]]),NA())</f>
        <v>#N/A</v>
      </c>
      <c r="CZ23" s="23" t="e">
        <f ca="1">INDEX(Process_Steps[Name if Real],MATCH(Process_Steps[[#This Row],['[RV Step Eutrophication (kg phosphate equiv.) per kg API'] of Each Step Sorted by '[RV Step Eutrophication (kg phosphate equiv.) per kg API']]],Process_Steps[RV Step Eutrophication (kg posphate equiv.) per kg API],0))</f>
        <v>#N/A</v>
      </c>
      <c r="DA23" s="23" t="e" cm="1">
        <f t="array" aca="1" ref="DA23" ca="1">IF(LARGE(_xlfn.IFNA(Process_Steps[RV Step Eutrophication (kg posphate equiv.) per kg API],0),Process_Steps[[#This Row],[Table Row]])=0,NA(),LARGE(_xlfn.IFNA(Process_Steps[RV Step Eutrophication (kg posphate equiv.) per kg API],0),Process_Steps[[#This Row],[Table Row]]))</f>
        <v>#N/A</v>
      </c>
      <c r="DB23" s="23" t="e">
        <f ca="1">SUM(OFFSET(Process_Steps['[RV Step Eutrophication (kg phosphate equiv.) per kg API'] of Each Step Sorted by '[RV Step Eutrophication (kg phosphate equiv.) per kg API']],0,0,Process_Steps[[#This Row],[Table Row]]))</f>
        <v>#N/A</v>
      </c>
      <c r="DC23"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3" s="23" t="e">
        <f ca="1">INDEX(Process_Steps[RV Step Eutrophication (kg posphate equiv.) per kg API (REAGENT)],MATCH(Process_Steps[[#This Row],[Steps Sorted by '[RV Step Eutrophication (kg phosphate equiv.) per kg API']]],Process_Steps[Name],0))</f>
        <v>#N/A</v>
      </c>
      <c r="DE23" s="23" t="e">
        <f ca="1">INDEX(Process_Steps[RV Step Eutrophication (kg posphate equiv.) per kg API (METAL)],MATCH(Process_Steps[[#This Row],[Steps Sorted by '[RV Step Eutrophication (kg phosphate equiv.) per kg API']]],Process_Steps[Name],0))</f>
        <v>#N/A</v>
      </c>
      <c r="DF23" s="23" t="e">
        <f ca="1">INDEX(Process_Steps[RV Step Eutrophication (kg posphate equiv.) per kg API (SOLVENT)],MATCH(Process_Steps[[#This Row],[Steps Sorted by '[RV Step Eutrophication (kg phosphate equiv.) per kg API']]],Process_Steps[Name],0))</f>
        <v>#N/A</v>
      </c>
      <c r="DG23" s="23" t="e">
        <f ca="1">INDEX(Process_Steps[RV Step Eutrophication (kg posphate equiv.) per kg API (WATER)],MATCH(Process_Steps[[#This Row],[Steps Sorted by '[RV Step Eutrophication (kg phosphate equiv.) per kg API']]],Process_Steps[Name],0))</f>
        <v>#N/A</v>
      </c>
      <c r="DH23" s="23" t="e">
        <f ca="1">INDEX(Process_Steps[RV Step Eutrophication (kg posphate equiv.) per kg API (ENZ&amp;PLNT)],MATCH(Process_Steps[[#This Row],[Steps Sorted by '[RV Step Eutrophication (kg phosphate equiv.) per kg API']]],Process_Steps[Name],0))</f>
        <v>#N/A</v>
      </c>
      <c r="DI23" s="23" t="e">
        <f ca="1">INDEX(Process_Steps[RV Step Eutrophication (kg posphate equiv.) per kg API (OTHER)],MATCH(Process_Steps[[#This Row],[Steps Sorted by '[RV Step Eutrophication (kg phosphate equiv.) per kg API']]],Process_Steps[Name],0))</f>
        <v>#N/A</v>
      </c>
      <c r="DJ23" s="118" t="e">
        <f>IF(Process_Steps[[#This Row],[Real or Virtual?]]="Real",SUMIFS(Table_Process_Details[RV Water (kg) per kg API],Table_Process_Details[Step Name],Process_Steps[[#This Row],[Name]]),NA())</f>
        <v>#N/A</v>
      </c>
      <c r="DK23" s="20" t="e">
        <f>IF(Process_Steps[[#This Row],[Real or Virtual?]]="Real",SUMIFS(Table_Process_Details[RV Water (kg) per kg API (REAGENT)],Table_Process_Details[Step Name],Process_Steps[[#This Row],[Name]]),NA())</f>
        <v>#N/A</v>
      </c>
      <c r="DL23" s="20" t="e">
        <f>IF(Process_Steps[[#This Row],[Real or Virtual?]]="Real",SUMIFS(Table_Process_Details[RV Water (kg) per kg API (METAL)],Table_Process_Details[Step Name],Process_Steps[[#This Row],[Name]]),NA())</f>
        <v>#N/A</v>
      </c>
      <c r="DM23" s="20" t="e">
        <f>IF(Process_Steps[[#This Row],[Real or Virtual?]]="Real",SUMIFS(Table_Process_Details[RV Water (kg) per kg API (SOLVENT)],Table_Process_Details[Step Name],Process_Steps[[#This Row],[Name]]),NA())</f>
        <v>#N/A</v>
      </c>
      <c r="DN23" s="20" t="e">
        <f>IF(Process_Steps[[#This Row],[Real or Virtual?]]="Real",SUMIFS(Table_Process_Details[RV Water (kg) per kg API (WATER)],Table_Process_Details[Step Name],Process_Steps[[#This Row],[Name]]),NA())</f>
        <v>#N/A</v>
      </c>
      <c r="DO23" s="20" t="e">
        <f>IF(Process_Steps[[#This Row],[Real or Virtual?]]="Real",SUMIFS(Table_Process_Details[RV Water (kg) per kg API (ENZ&amp;PLNT)],Table_Process_Details[Step Name],Process_Steps[[#This Row],[Name]]),NA())</f>
        <v>#N/A</v>
      </c>
      <c r="DP23" s="20" t="e">
        <f>IF(Process_Steps[[#This Row],[Real or Virtual?]]="Real",SUMIFS(Table_Process_Details[RV Water (kg) per kg API (OTHER)],Table_Process_Details[Step Name],Process_Steps[[#This Row],[Name]]),NA())</f>
        <v>#N/A</v>
      </c>
      <c r="DQ23" s="23" t="e">
        <f ca="1">INDEX(Process_Steps[Name if Real],MATCH(Process_Steps[[#This Row],['[RV Step Water (kg) per kg API'] of Each Step Sorted by '[RV Step Water (kg) per kg API']]],Process_Steps[RV Step Water (kg) per kg API],0))</f>
        <v>#N/A</v>
      </c>
      <c r="DR23" s="23" t="e" cm="1">
        <f t="array" aca="1" ref="DR23" ca="1">IF(LARGE(_xlfn.IFNA(Process_Steps[RV Step Water (kg) per kg API],0),Process_Steps[[#This Row],[Table Row]])=0,NA(),LARGE(_xlfn.IFNA(Process_Steps[RV Step Water (kg) per kg API],0),Process_Steps[[#This Row],[Table Row]]))</f>
        <v>#N/A</v>
      </c>
      <c r="DS23" s="23" t="e">
        <f ca="1">SUM(OFFSET(Process_Steps['[RV Step Water (kg) per kg API'] of Each Step Sorted by '[RV Step Water (kg) per kg API']],0,0,Process_Steps[[#This Row],[Table Row]]))</f>
        <v>#N/A</v>
      </c>
      <c r="DT23" s="23" t="e">
        <f ca="1">"("&amp;TEXT(Process_Steps[[#This Row],['[RV Step Water (kg) per kg API'] of Each Step Sorted by '[RV Step Water (kg) per kg API']]]/SUMIF(Process_Steps['[RV Step Water (kg) per kg API'] of Each Step Sorted by '[RV Step Water (kg) per kg API']],"&lt;&gt;#N/A"),"0%")&amp;")"</f>
        <v>#N/A</v>
      </c>
      <c r="DU23" s="23" t="e">
        <f ca="1">INDEX(Process_Steps[RV Step Water (kg) per kg API (REAGENT)],MATCH(Process_Steps[[#This Row],[Steps Sorted by '[RV Step Water (kg) per kg API']]],Process_Steps[Name],0))</f>
        <v>#N/A</v>
      </c>
      <c r="DV23" s="23" t="e">
        <f ca="1">INDEX(Process_Steps[RV Step Water (kg) per kg API (METAL)],MATCH(Process_Steps[[#This Row],[Steps Sorted by '[RV Step Water (kg) per kg API']]],Process_Steps[Name],0))</f>
        <v>#N/A</v>
      </c>
      <c r="DW23" s="23" t="e">
        <f ca="1">INDEX(Process_Steps[RV Step Water (kg) per kg API (SOLVENT)],MATCH(Process_Steps[[#This Row],[Steps Sorted by '[RV Step Water (kg) per kg API']]],Process_Steps[Name],0))</f>
        <v>#N/A</v>
      </c>
      <c r="DX23" s="23" t="e">
        <f ca="1">INDEX(Process_Steps[RV Step Water (kg) per kg API (WATER)],MATCH(Process_Steps[[#This Row],[Steps Sorted by '[RV Step Water (kg) per kg API']]],Process_Steps[Name],0))</f>
        <v>#N/A</v>
      </c>
      <c r="DY23" s="23" t="e">
        <f ca="1">INDEX(Process_Steps[RV Step Water (kg) per kg API (ENZ&amp;PLNT)],MATCH(Process_Steps[[#This Row],[Steps Sorted by '[RV Step Water (kg) per kg API']]],Process_Steps[Name],0))</f>
        <v>#N/A</v>
      </c>
      <c r="DZ23" s="23" t="e">
        <f ca="1">INDEX(Process_Steps[RV Step Water (kg) per kg API (OTHER)],MATCH(Process_Steps[[#This Row],[Steps Sorted by '[RV Step Water (kg) per kg API']]],Process_Steps[Name],0))</f>
        <v>#N/A</v>
      </c>
    </row>
    <row r="24" spans="1:130" x14ac:dyDescent="0.25">
      <c r="A24" t="s">
        <v>806</v>
      </c>
      <c r="B24" t="s">
        <v>175</v>
      </c>
      <c r="C24" t="s">
        <v>807</v>
      </c>
      <c r="D24" t="s">
        <v>845</v>
      </c>
      <c r="F24" s="25">
        <f>INDEX(Table_Process_Details[Physical Mass (kg)],MATCH(1,INDEX((Process_Steps[[#This Row],[Name]]=Table_Process_Details[Step Name])*(Table_Process_Details[Input or Output]="Output"),0),0))</f>
        <v>100</v>
      </c>
      <c r="G24" s="25" cm="1">
        <f t="array" aca="1" ref="G24"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2.2022389429253235</v>
      </c>
      <c r="H24" s="28">
        <f ca="1">Process_Steps[[#This Row],[Total Mass that must be produced]]/Process_Steps[[#This Row],[Unscaled Step Product Mass]]</f>
        <v>2.2022389429253234E-2</v>
      </c>
      <c r="I24" s="23" t="e">
        <f>IF(Process_Steps[[#This Row],[Real or Virtual?]]="Real",Process_Steps[[#This Row],[Name]],NA())</f>
        <v>#N/A</v>
      </c>
      <c r="J24" s="30">
        <f>ROW()-ROW(Process_Steps[[#Headers],[Table Row]])</f>
        <v>18</v>
      </c>
      <c r="K24" s="118" t="e">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#N/A</v>
      </c>
      <c r="L24" s="118" t="e">
        <f>IF(Process_Steps[[#This Row],[Real or Virtual?]]="Real",SUMIFS(Table_Process_Details[RV Physical Mass per kg API],Table_Process_Details[Input or Output],"Input",Table_Process_Details[Step Name],Process_Steps[[#This Row],[Name]]),NA())</f>
        <v>#N/A</v>
      </c>
      <c r="M24" s="20" t="e">
        <f>IF(Process_Steps[[#This Row],[Real or Virtual?]]="Real",SUMIFS(Table_Process_Details[RV Physical Mass per kg API (REAGENT)],Table_Process_Details[Input or Output],"Input",Table_Process_Details[Step Name],Process_Steps[[#This Row],[Name]]),NA())</f>
        <v>#N/A</v>
      </c>
      <c r="N24" s="20" t="e">
        <f>IF(Process_Steps[[#This Row],[Real or Virtual?]]="Real",SUMIFS(Table_Process_Details[RV Physical Mass per kg API (METAL)],Table_Process_Details[Input or Output],"Input",Table_Process_Details[Step Name],Process_Steps[[#This Row],[Name]]),NA())</f>
        <v>#N/A</v>
      </c>
      <c r="O24" s="20" t="e">
        <f>IF(Process_Steps[[#This Row],[Real or Virtual?]]="Real",SUMIFS(Table_Process_Details[RV Physical Mass per kg API (SOLVENT)],Table_Process_Details[Input or Output],"Input",Table_Process_Details[Step Name],Process_Steps[[#This Row],[Name]]),NA())</f>
        <v>#N/A</v>
      </c>
      <c r="P24" s="20" t="e">
        <f>IF(Process_Steps[[#This Row],[Real or Virtual?]]="Real",SUMIFS(Table_Process_Details[RV Physical Mass per kg API (WATER)],Table_Process_Details[Input or Output],"Input",Table_Process_Details[Step Name],Process_Steps[[#This Row],[Name]]),NA())</f>
        <v>#N/A</v>
      </c>
      <c r="Q24" s="20" t="e">
        <f>IF(Process_Steps[[#This Row],[Real or Virtual?]]="Real",SUMIFS(Table_Process_Details[RV Physical Mass per kg API (ENZ&amp;PLNT)],Table_Process_Details[Input or Output],"Input",Table_Process_Details[Step Name],Process_Steps[[#This Row],[Name]]),NA())</f>
        <v>#N/A</v>
      </c>
      <c r="R24" s="20" t="e">
        <f>IF(Process_Steps[[#This Row],[Real or Virtual?]]="Real",SUMIFS(Table_Process_Details[RV Physical Mass per kg API (OTHER)],Table_Process_Details[Input or Output],"Input",Table_Process_Details[Step Name],Process_Steps[[#This Row],[Name]]),NA())</f>
        <v>#N/A</v>
      </c>
      <c r="S24" s="118" t="e">
        <f ca="1">INDEX(Process_Steps[Name if Real],MATCH(Process_Steps[[#This Row],['[RV Step PMI per kg API'] of Each Step Sorted by '[RV Step PMI per kg API']]],Process_Steps[RV Step PMI per kg API],0))</f>
        <v>#N/A</v>
      </c>
      <c r="T24" s="118" t="e" cm="1">
        <f t="array" aca="1" ref="T24" ca="1">IF(LARGE(_xlfn.IFNA(Process_Steps[RV Step PMI per kg API],0),Process_Steps[[#This Row],[Table Row]])=0,NA(),LARGE(_xlfn.IFNA(Process_Steps[RV Step PMI per kg API],0),Process_Steps[[#This Row],[Table Row]]))</f>
        <v>#N/A</v>
      </c>
      <c r="U24" s="118" t="e">
        <f ca="1">SUM(OFFSET(Process_Steps['[RV Step PMI per kg API'] of Each Step Sorted by '[RV Step PMI per kg API']],0,0,Process_Steps[[#This Row],[Table Row]]))</f>
        <v>#N/A</v>
      </c>
      <c r="V24" s="118" t="e">
        <f ca="1">"("&amp;TEXT(Process_Steps[[#This Row],['[RV Step PMI per kg API'] of Each Step Sorted by '[RV Step PMI per kg API']]]/SUMIF(Process_Steps['[RV Step PMI per kg API'] of Each Step Sorted by '[RV Step PMI per kg API']],"&lt;&gt;#N/A"),"0%")&amp;")"</f>
        <v>#N/A</v>
      </c>
      <c r="W24" s="23" t="e">
        <f ca="1">INDEX(Process_Steps[RV Step PMI per kg API (REAGENT)],MATCH(Process_Steps[[#This Row],[Steps Sorted by '[RV Step PMI per kg API']]],Process_Steps[Name],0))</f>
        <v>#N/A</v>
      </c>
      <c r="X24" s="23" t="e">
        <f ca="1">INDEX(Process_Steps[RV Step PMI per kg API (METAL)],MATCH(Process_Steps[[#This Row],[Steps Sorted by '[RV Step PMI per kg API']]],Process_Steps[Name],0))</f>
        <v>#N/A</v>
      </c>
      <c r="Y24" s="23" t="e">
        <f ca="1">INDEX(Process_Steps[RV Step PMI per kg API (SOLVENT)],MATCH(Process_Steps[[#This Row],[Steps Sorted by '[RV Step PMI per kg API']]],Process_Steps[Name],0))</f>
        <v>#N/A</v>
      </c>
      <c r="Z24" s="23" t="e">
        <f ca="1">INDEX(Process_Steps[RV Step PMI per kg API (WATER)],MATCH(Process_Steps[[#This Row],[Steps Sorted by '[RV Step PMI per kg API']]],Process_Steps[Name],0))</f>
        <v>#N/A</v>
      </c>
      <c r="AA24" s="23" t="e">
        <f ca="1">INDEX(Process_Steps[RV Step PMI per kg API (ENZ&amp;PLNT)],MATCH(Process_Steps[[#This Row],[Steps Sorted by '[RV Step PMI per kg API']]],Process_Steps[Name],0))</f>
        <v>#N/A</v>
      </c>
      <c r="AB24" s="23" t="e">
        <f ca="1">INDEX(Process_Steps[RV Step PMI per kg API (OTHER)],MATCH(Process_Steps[[#This Row],[Steps Sorted by '[RV Step PMI per kg API']]],Process_Steps[Name],0))</f>
        <v>#N/A</v>
      </c>
      <c r="AC24" s="118" t="e">
        <f>IF(Process_Steps[[#This Row],[Real or Virtual?]]="Real",SUMIFS(Table_Process_Details[RV Mass Net (kg) per kg API],Table_Process_Details[Step Name],Process_Steps[[#This Row],[Name]]),NA())</f>
        <v>#N/A</v>
      </c>
      <c r="AD24" s="20" t="e">
        <f>IF(Process_Steps[[#This Row],[Real or Virtual?]]="Real",SUMIFS(Table_Process_Details[RV Mass Net (kg) per kg API (REAGENT)],Table_Process_Details[Step Name],Process_Steps[[#This Row],[Name]]),NA())</f>
        <v>#N/A</v>
      </c>
      <c r="AE24" s="20" t="e">
        <f>IF(Process_Steps[[#This Row],[Real or Virtual?]]="Real",SUMIFS(Table_Process_Details[RV Mass Net (kg) per kg API (METAL)],Table_Process_Details[Step Name],Process_Steps[[#This Row],[Name]]),NA())</f>
        <v>#N/A</v>
      </c>
      <c r="AF24" s="20" t="e">
        <f>IF(Process_Steps[[#This Row],[Real or Virtual?]]="Real",SUMIFS(Table_Process_Details[RV Mass Net (kg) per kg API (SOLVENT)],Table_Process_Details[Step Name],Process_Steps[[#This Row],[Name]]),NA())</f>
        <v>#N/A</v>
      </c>
      <c r="AG24" s="20" t="e">
        <f>IF(Process_Steps[[#This Row],[Real or Virtual?]]="Real",SUMIFS(Table_Process_Details[RV Mass Net (kg) per kg API (WATER)],Table_Process_Details[Step Name],Process_Steps[[#This Row],[Name]]),NA())</f>
        <v>#N/A</v>
      </c>
      <c r="AH24" s="20" t="e">
        <f>IF(Process_Steps[[#This Row],[Real or Virtual?]]="Real",SUMIFS(Table_Process_Details[RV Mass Net (kg) per kg API (ENZ&amp;PLNT)],Table_Process_Details[Step Name],Process_Steps[[#This Row],[Name]]),NA())</f>
        <v>#N/A</v>
      </c>
      <c r="AI24" s="20" t="e">
        <f>IF(Process_Steps[[#This Row],[Real or Virtual?]]="Real",SUMIFS(Table_Process_Details[RV Mass Net (kg) per kg API (OTHER)],Table_Process_Details[Step Name],Process_Steps[[#This Row],[Name]]),NA())</f>
        <v>#N/A</v>
      </c>
      <c r="AJ24" s="23" t="e">
        <f ca="1">INDEX(Process_Steps[Name if Real],MATCH(Process_Steps[[#This Row],['[RV Step Mass Net (kg) per kg API'] of Each Step Sorted by '[RV Step Mass Net (kg) per kg API']]],Process_Steps[RV Step Mass Net (kg) per kg API],0))</f>
        <v>#N/A</v>
      </c>
      <c r="AK24" s="23" t="e" cm="1">
        <f t="array" aca="1" ref="AK24" ca="1">IF(LARGE(_xlfn.IFNA(Process_Steps[RV Step Mass Net (kg) per kg API],0),Process_Steps[[#This Row],[Table Row]])=0,NA(),LARGE(_xlfn.IFNA(Process_Steps[RV Step Mass Net (kg) per kg API],0),Process_Steps[[#This Row],[Table Row]]))</f>
        <v>#N/A</v>
      </c>
      <c r="AL24" s="23" t="e">
        <f ca="1">SUM(OFFSET(Process_Steps['[RV Step Mass Net (kg) per kg API'] of Each Step Sorted by '[RV Step Mass Net (kg) per kg API']],0,0,Process_Steps[[#This Row],[Table Row]]))</f>
        <v>#N/A</v>
      </c>
      <c r="AM24" s="23" t="e">
        <f ca="1">"("&amp;TEXT(Process_Steps[[#This Row],['[RV Step Mass Net (kg) per kg API'] of Each Step Sorted by '[RV Step Mass Net (kg) per kg API']]]/SUMIF(Process_Steps['[RV Step Mass Net (kg) per kg API'] of Each Step Sorted by '[RV Step Mass Net (kg) per kg API']],"&lt;&gt;#N/A"),"0%")&amp;")"</f>
        <v>#N/A</v>
      </c>
      <c r="AN24" s="23" t="e">
        <f ca="1">INDEX(Process_Steps[RV Step Mass Net (kg) per kg API (REAGENT)],MATCH(Process_Steps[[#This Row],[Steps Sorted by '[RV Step Mass Net (kg) per kg API']]],Process_Steps[Name],0))</f>
        <v>#N/A</v>
      </c>
      <c r="AO24" s="23" t="e">
        <f ca="1">INDEX(Process_Steps[RV Step Mass Net (kg) per kg API (METAL)],MATCH(Process_Steps[[#This Row],[Steps Sorted by '[RV Step Mass Net (kg) per kg API']]],Process_Steps[Name],0))</f>
        <v>#N/A</v>
      </c>
      <c r="AP24" s="23" t="e">
        <f ca="1">INDEX(Process_Steps[RV Step Mass Net (kg) per kg API (SOLVENT)],MATCH(Process_Steps[[#This Row],[Steps Sorted by '[RV Step Mass Net (kg) per kg API']]],Process_Steps[Name],0))</f>
        <v>#N/A</v>
      </c>
      <c r="AQ24" s="23" t="e">
        <f ca="1">INDEX(Process_Steps[RV Step Mass Net (kg) per kg API (WATER)],MATCH(Process_Steps[[#This Row],[Steps Sorted by '[RV Step Mass Net (kg) per kg API']]],Process_Steps[Name],0))</f>
        <v>#N/A</v>
      </c>
      <c r="AR24" s="23" t="e">
        <f ca="1">INDEX(Process_Steps[RV Step Mass Net (kg) per kg API (ENZ&amp;PLNT)],MATCH(Process_Steps[[#This Row],[Steps Sorted by '[RV Step Mass Net (kg) per kg API']]],Process_Steps[Name],0))</f>
        <v>#N/A</v>
      </c>
      <c r="AS24" s="23" t="e">
        <f ca="1">INDEX(Process_Steps[RV Step Mass Net (kg) per kg API (OTHER)],MATCH(Process_Steps[[#This Row],[Steps Sorted by '[RV Step Mass Net (kg) per kg API']]],Process_Steps[Name],0))</f>
        <v>#N/A</v>
      </c>
      <c r="AT24" s="118" t="e">
        <f>IF(Process_Steps[[#This Row],[Real or Virtual?]]="Real",SUMIFS(Table_Process_Details[RV Energy (MJ) per kg API],Table_Process_Details[Step Name],Process_Steps[[#This Row],[Name]]),NA())</f>
        <v>#N/A</v>
      </c>
      <c r="AU24" s="20" t="e">
        <f>IF(Process_Steps[[#This Row],[Real or Virtual?]]="Real",SUMIFS(Table_Process_Details[RV Energy (MJ) per kg API (REAGENT)],Table_Process_Details[Step Name],Process_Steps[[#This Row],[Name]]),NA())</f>
        <v>#N/A</v>
      </c>
      <c r="AV24" s="20" t="e">
        <f>IF(Process_Steps[[#This Row],[Real or Virtual?]]="Real",SUMIFS(Table_Process_Details[RV Energy (MJ) per kg API (METAL)],Table_Process_Details[Step Name],Process_Steps[[#This Row],[Name]]),NA())</f>
        <v>#N/A</v>
      </c>
      <c r="AW24" s="20" t="e">
        <f>IF(Process_Steps[[#This Row],[Real or Virtual?]]="Real",SUMIFS(Table_Process_Details[RV Energy (MJ) per kg API (SOLVENT)],Table_Process_Details[Step Name],Process_Steps[[#This Row],[Name]]),NA())</f>
        <v>#N/A</v>
      </c>
      <c r="AX24" s="20" t="e">
        <f>IF(Process_Steps[[#This Row],[Real or Virtual?]]="Real",SUMIFS(Table_Process_Details[RV Energy (MJ) per kg API (WATER)],Table_Process_Details[Step Name],Process_Steps[[#This Row],[Name]]),NA())</f>
        <v>#N/A</v>
      </c>
      <c r="AY24" s="20" t="e">
        <f>IF(Process_Steps[[#This Row],[Real or Virtual?]]="Real",SUMIFS(Table_Process_Details[RV Energy (MJ) per kg API (ENZ&amp;PLNT)],Table_Process_Details[Step Name],Process_Steps[[#This Row],[Name]]),NA())</f>
        <v>#N/A</v>
      </c>
      <c r="AZ24" s="20" t="e">
        <f>IF(Process_Steps[[#This Row],[Real or Virtual?]]="Real",SUMIFS(Table_Process_Details[RV Energy (MJ) per kg API (OTHER)],Table_Process_Details[Step Name],Process_Steps[[#This Row],[Name]]),NA())</f>
        <v>#N/A</v>
      </c>
      <c r="BA24" s="23" t="e">
        <f ca="1">INDEX(Process_Steps[Name if Real],MATCH(Process_Steps[[#This Row],['[RV Step Energy (MJ) per kg API'] of Each Step Sorted by '[RV Step Energy (MJ) per kg API']]],Process_Steps[RV Step Energy (MJ) per kg API],0))</f>
        <v>#N/A</v>
      </c>
      <c r="BB24" s="23" t="e" cm="1">
        <f t="array" aca="1" ref="BB24" ca="1">IF(LARGE(_xlfn.IFNA(Process_Steps[RV Step Energy (MJ) per kg API],0),Process_Steps[[#This Row],[Table Row]])=0,NA(),LARGE(_xlfn.IFNA(Process_Steps[RV Step Energy (MJ) per kg API],0),Process_Steps[[#This Row],[Table Row]]))</f>
        <v>#N/A</v>
      </c>
      <c r="BC24" s="23" t="e">
        <f ca="1">SUM(OFFSET(Process_Steps['[RV Step Energy (MJ) per kg API'] of Each Step Sorted by '[RV Step Energy (MJ) per kg API']],0,0,Process_Steps[[#This Row],[Table Row]]))</f>
        <v>#N/A</v>
      </c>
      <c r="BD24" s="23" t="e">
        <f ca="1">"("&amp;TEXT(Process_Steps[[#This Row],['[RV Step Energy (MJ) per kg API'] of Each Step Sorted by '[RV Step Energy (MJ) per kg API']]]/SUMIF(Process_Steps['[RV Step Energy (MJ) per kg API'] of Each Step Sorted by '[RV Step Energy (MJ) per kg API']],"&lt;&gt;#N/A"),"0%")&amp;")"</f>
        <v>#N/A</v>
      </c>
      <c r="BE24" s="23" t="e">
        <f ca="1">INDEX(Process_Steps[RV Step Energy (MJ) per kg API (REAGENT)],MATCH(Process_Steps[[#This Row],[Steps Sorted by '[RV Step Energy (MJ) per kg API']]],Process_Steps[Name],0))</f>
        <v>#N/A</v>
      </c>
      <c r="BF24" s="23" t="e">
        <f ca="1">INDEX(Process_Steps[RV Step Energy (MJ) per kg API (METAL)],MATCH(Process_Steps[[#This Row],[Steps Sorted by '[RV Step Energy (MJ) per kg API']]],Process_Steps[Name],0))</f>
        <v>#N/A</v>
      </c>
      <c r="BG24" s="23" t="e">
        <f ca="1">INDEX(Process_Steps[RV Step Energy (MJ) per kg API (SOLVENT)],MATCH(Process_Steps[[#This Row],[Steps Sorted by '[RV Step Energy (MJ) per kg API']]],Process_Steps[Name],0))</f>
        <v>#N/A</v>
      </c>
      <c r="BH24" s="23" t="e">
        <f ca="1">INDEX(Process_Steps[RV Step Energy (MJ) per kg API (WATER)],MATCH(Process_Steps[[#This Row],[Steps Sorted by '[RV Step Energy (MJ) per kg API']]],Process_Steps[Name],0))</f>
        <v>#N/A</v>
      </c>
      <c r="BI24" s="23" t="e">
        <f ca="1">INDEX(Process_Steps[RV Step Energy (MJ) per kg API (ENZ&amp;PLNT)],MATCH(Process_Steps[[#This Row],[Steps Sorted by '[RV Step Energy (MJ) per kg API']]],Process_Steps[Name],0))</f>
        <v>#N/A</v>
      </c>
      <c r="BJ24" s="23" t="e">
        <f ca="1">INDEX(Process_Steps[RV Step Energy (MJ) per kg API (OTHER)],MATCH(Process_Steps[[#This Row],[Steps Sorted by '[RV Step Energy (MJ) per kg API']]],Process_Steps[Name],0))</f>
        <v>#N/A</v>
      </c>
      <c r="BK24" s="118" t="e">
        <f>IF(Process_Steps[[#This Row],[Real or Virtual?]]="Real",SUMIFS(Table_Process_Details[RV GWP (kg CO2 equiv.) per kg API],Table_Process_Details[Step Name],Process_Steps[[#This Row],[Name]]),NA())</f>
        <v>#N/A</v>
      </c>
      <c r="BL24" s="20" t="e">
        <f>IF(Process_Steps[[#This Row],[Real or Virtual?]]="Real",SUMIFS(Table_Process_Details[RV GWP (kg CO2 equiv.) per kg API (REAGENT)],Table_Process_Details[Step Name],Process_Steps[[#This Row],[Name]]),NA())</f>
        <v>#N/A</v>
      </c>
      <c r="BM24" s="20" t="e">
        <f>IF(Process_Steps[[#This Row],[Real or Virtual?]]="Real",SUMIFS(Table_Process_Details[RV GWP (kg CO2 equiv.) per kg API (METAL)],Table_Process_Details[Step Name],Process_Steps[[#This Row],[Name]]),NA())</f>
        <v>#N/A</v>
      </c>
      <c r="BN24" s="20" t="e">
        <f>IF(Process_Steps[[#This Row],[Real or Virtual?]]="Real",SUMIFS(Table_Process_Details[RV GWP (kg CO2 equiv.) per kg API (SOLVENT)],Table_Process_Details[Step Name],Process_Steps[[#This Row],[Name]]),NA())</f>
        <v>#N/A</v>
      </c>
      <c r="BO24" s="20" t="e">
        <f>IF(Process_Steps[[#This Row],[Real or Virtual?]]="Real",SUMIFS(Table_Process_Details[RV GWP (kg CO2 equiv.) per kg API (WATER)],Table_Process_Details[Step Name],Process_Steps[[#This Row],[Name]]),NA())</f>
        <v>#N/A</v>
      </c>
      <c r="BP24" s="20" t="e">
        <f>IF(Process_Steps[[#This Row],[Real or Virtual?]]="Real",SUMIFS(Table_Process_Details[RV GWP (kg CO2 equiv.) per kg API (ENZ&amp;PLNT)],Table_Process_Details[Step Name],Process_Steps[[#This Row],[Name]]),NA())</f>
        <v>#N/A</v>
      </c>
      <c r="BQ24" s="20" t="e">
        <f>IF(Process_Steps[[#This Row],[Real or Virtual?]]="Real",SUMIFS(Table_Process_Details[RV GWP (kg CO2 equiv.) per kg API (OTHER)],Table_Process_Details[Step Name],Process_Steps[[#This Row],[Name]]),NA())</f>
        <v>#N/A</v>
      </c>
      <c r="BR24" s="23" t="e">
        <f ca="1">INDEX(Process_Steps[Name if Real],MATCH(Process_Steps[[#This Row],['[RV Step GWP (kg CO2 equiv.) per kg API'] of Each Step Sorted by '[RV Step GWP (kg CO2 equiv.) per kg API']]],Process_Steps[RV Step GWP (kg CO2 equiv.) per kg API],0))</f>
        <v>#N/A</v>
      </c>
      <c r="BS24" s="23" t="e" cm="1">
        <f t="array" aca="1" ref="BS24" ca="1">IF(LARGE(_xlfn.IFNA(Process_Steps[RV Step GWP (kg CO2 equiv.) per kg API],0),Process_Steps[[#This Row],[Table Row]])=0,NA(),LARGE(_xlfn.IFNA(Process_Steps[RV Step GWP (kg CO2 equiv.) per kg API],0),Process_Steps[[#This Row],[Table Row]]))</f>
        <v>#N/A</v>
      </c>
      <c r="BT24" s="23" t="e">
        <f ca="1">SUM(OFFSET(Process_Steps['[RV Step GWP (kg CO2 equiv.) per kg API'] of Each Step Sorted by '[RV Step GWP (kg CO2 equiv.) per kg API']],0,0,Process_Steps[[#This Row],[Table Row]]))</f>
        <v>#N/A</v>
      </c>
      <c r="BU24" s="23" t="e">
        <f ca="1">"("&amp;TEXT(Process_Steps[[#This Row],['[RV Step GWP (kg CO2 equiv.) per kg API'] of Each Step Sorted by '[RV Step GWP (kg CO2 equiv.) per kg API']]]/SUMIF(Process_Steps['[RV Step GWP (kg CO2 equiv.) per kg API'] of Each Step Sorted by '[RV Step GWP (kg CO2 equiv.) per kg API']],"&lt;&gt;#N/A"),"0%")&amp;")"</f>
        <v>#N/A</v>
      </c>
      <c r="BV24" s="23" t="e">
        <f ca="1">INDEX(Process_Steps[RV Step GWP (kg CO2 equiv.) per kg API (REAGENT)],MATCH(Process_Steps[[#This Row],[Steps Sorted by '[RV Step GWP (kg CO2 equiv.) per kg API']]],Process_Steps[Name],0))</f>
        <v>#N/A</v>
      </c>
      <c r="BW24" s="23" t="e">
        <f ca="1">INDEX(Process_Steps[RV Step GWP (kg CO2 equiv.) per kg API (METAL)],MATCH(Process_Steps[[#This Row],[Steps Sorted by '[RV Step GWP (kg CO2 equiv.) per kg API']]],Process_Steps[Name],0))</f>
        <v>#N/A</v>
      </c>
      <c r="BX24" s="23" t="e">
        <f ca="1">INDEX(Process_Steps[RV Step GWP (kg CO2 equiv.) per kg API (SOLVENT)],MATCH(Process_Steps[[#This Row],[Steps Sorted by '[RV Step GWP (kg CO2 equiv.) per kg API']]],Process_Steps[Name],0))</f>
        <v>#N/A</v>
      </c>
      <c r="BY24" s="23" t="e">
        <f ca="1">INDEX(Process_Steps[RV Step GWP (kg CO2 equiv.) per kg API (WATER)],MATCH(Process_Steps[[#This Row],[Steps Sorted by '[RV Step GWP (kg CO2 equiv.) per kg API']]],Process_Steps[Name],0))</f>
        <v>#N/A</v>
      </c>
      <c r="BZ24" s="23" t="e">
        <f ca="1">INDEX(Process_Steps[RV Step GWP (kg CO2 equiv.) per kg API (ENZ&amp;PLNT)],MATCH(Process_Steps[[#This Row],[Steps Sorted by '[RV Step GWP (kg CO2 equiv.) per kg API']]],Process_Steps[Name],0))</f>
        <v>#N/A</v>
      </c>
      <c r="CA24" s="23" t="e">
        <f ca="1">INDEX(Process_Steps[RV Step GWP (kg CO2 equiv.) per kg API (OTHER)],MATCH(Process_Steps[[#This Row],[Steps Sorted by '[RV Step GWP (kg CO2 equiv.) per kg API']]],Process_Steps[Name],0))</f>
        <v>#N/A</v>
      </c>
      <c r="CB24" s="118" t="e">
        <f>IF(Process_Steps[[#This Row],[Real or Virtual?]]="Real",SUMIFS(Table_Process_Details[RV Acidification (kg SO2 equiv.) per kg API],Table_Process_Details[Step Name],Process_Steps[[#This Row],[Name]]),NA())</f>
        <v>#N/A</v>
      </c>
      <c r="CC24" s="20" t="e">
        <f>IF(Process_Steps[[#This Row],[Real or Virtual?]]="Real",SUMIFS(Table_Process_Details[RV Acidification (kg SO2 equiv.) per kg API (REAGENT)],Table_Process_Details[Step Name],Process_Steps[[#This Row],[Name]]),NA())</f>
        <v>#N/A</v>
      </c>
      <c r="CD24" s="20" t="e">
        <f>IF(Process_Steps[[#This Row],[Real or Virtual?]]="Real",SUMIFS(Table_Process_Details[RV Acidification (kg SO2 equiv.) per kg API (METAL)],Table_Process_Details[Step Name],Process_Steps[[#This Row],[Name]]),NA())</f>
        <v>#N/A</v>
      </c>
      <c r="CE24" s="20" t="e">
        <f>IF(Process_Steps[[#This Row],[Real or Virtual?]]="Real",SUMIFS(Table_Process_Details[RV Acidification (kg SO2 equiv.) per kg API (SOLVENT)],Table_Process_Details[Step Name],Process_Steps[[#This Row],[Name]]),NA())</f>
        <v>#N/A</v>
      </c>
      <c r="CF24" s="20" t="e">
        <f>IF(Process_Steps[[#This Row],[Real or Virtual?]]="Real",SUMIFS(Table_Process_Details[RV Acidification (kg SO2 equiv.) per kg API (WATER)],Table_Process_Details[Step Name],Process_Steps[[#This Row],[Name]]),NA())</f>
        <v>#N/A</v>
      </c>
      <c r="CG24" s="20" t="e">
        <f>IF(Process_Steps[[#This Row],[Real or Virtual?]]="Real",SUMIFS(Table_Process_Details[RV Acidification (kg SO2 equiv.) per kg API (ENZ&amp;PLNT)],Table_Process_Details[Step Name],Process_Steps[[#This Row],[Name]]),NA())</f>
        <v>#N/A</v>
      </c>
      <c r="CH24" s="20" t="e">
        <f>IF(Process_Steps[[#This Row],[Real or Virtual?]]="Real",SUMIFS(Table_Process_Details[RV Acidification (kg SO2 equiv.) per kg API (OTHER)],Table_Process_Details[Step Name],Process_Steps[[#This Row],[Name]]),NA())</f>
        <v>#N/A</v>
      </c>
      <c r="CI24" s="23" t="e">
        <f ca="1">INDEX(Process_Steps[Name if Real],MATCH(Process_Steps[[#This Row],['[RV Step Acidification (kg SO2 equiv.) per kg API'] of Each Step Sorted by '[RV Step Acidification (kg SO2 equiv.) per kg API']]],Process_Steps[RV Step Acidification (kg SO2 equiv.) per kg API],0))</f>
        <v>#N/A</v>
      </c>
      <c r="CJ24" s="23" t="e" cm="1">
        <f t="array" aca="1" ref="CJ24" ca="1">IF(LARGE(_xlfn.IFNA(Process_Steps[RV Step Acidification (kg SO2 equiv.) per kg API],0),Process_Steps[[#This Row],[Table Row]])=0,NA(),LARGE(_xlfn.IFNA(Process_Steps[RV Step Acidification (kg SO2 equiv.) per kg API],0),Process_Steps[[#This Row],[Table Row]]))</f>
        <v>#N/A</v>
      </c>
      <c r="CK24" s="23" t="e">
        <f ca="1">SUM(OFFSET(Process_Steps['[RV Step Acidification (kg SO2 equiv.) per kg API'] of Each Step Sorted by '[RV Step Acidification (kg SO2 equiv.) per kg API']],0,0,Process_Steps[[#This Row],[Table Row]]))</f>
        <v>#N/A</v>
      </c>
      <c r="CL24"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4" s="23" t="e">
        <f ca="1">INDEX(Process_Steps[RV Step Acidification (kg SO2 equiv.) per kg API (REAGENT)],MATCH(Process_Steps[[#This Row],[Steps Sorted by '[RV Step Acidification (kg SO2 equiv.) per kg API']]],Process_Steps[Name],0))</f>
        <v>#N/A</v>
      </c>
      <c r="CN24" s="23" t="e">
        <f ca="1">INDEX(Process_Steps[RV Step Acidification (kg SO2 equiv.) per kg API (METAL)],MATCH(Process_Steps[[#This Row],[Steps Sorted by '[RV Step Acidification (kg SO2 equiv.) per kg API']]],Process_Steps[Name],0))</f>
        <v>#N/A</v>
      </c>
      <c r="CO24" s="23" t="e">
        <f ca="1">INDEX(Process_Steps[RV Step Acidification (kg SO2 equiv.) per kg API (SOLVENT)],MATCH(Process_Steps[[#This Row],[Steps Sorted by '[RV Step Acidification (kg SO2 equiv.) per kg API']]],Process_Steps[Name],0))</f>
        <v>#N/A</v>
      </c>
      <c r="CP24" s="23" t="e">
        <f ca="1">INDEX(Process_Steps[RV Step Acidification (kg SO2 equiv.) per kg API (WATER)],MATCH(Process_Steps[[#This Row],[Steps Sorted by '[RV Step Acidification (kg SO2 equiv.) per kg API']]],Process_Steps[Name],0))</f>
        <v>#N/A</v>
      </c>
      <c r="CQ24" s="23" t="e">
        <f ca="1">INDEX(Process_Steps[RV Step Acidification (kg SO2 equiv.) per kg API (ENZ&amp;PLNT)],MATCH(Process_Steps[[#This Row],[Steps Sorted by '[RV Step Acidification (kg SO2 equiv.) per kg API']]],Process_Steps[Name],0))</f>
        <v>#N/A</v>
      </c>
      <c r="CR24" s="23" t="e">
        <f ca="1">INDEX(Process_Steps[RV Step Acidification (kg SO2 equiv.) per kg API (OTHER)],MATCH(Process_Steps[[#This Row],[Steps Sorted by '[RV Step Acidification (kg SO2 equiv.) per kg API']]],Process_Steps[Name],0))</f>
        <v>#N/A</v>
      </c>
      <c r="CS24" s="118" t="e">
        <f>IF(Process_Steps[[#This Row],[Real or Virtual?]]="Real",SUMIFS(Table_Process_Details[RV Eutrophication (kg phosphate equiv.) per kg API],Table_Process_Details[Step Name],Process_Steps[[#This Row],[Name]]),NA())</f>
        <v>#N/A</v>
      </c>
      <c r="CT24" s="20" t="e">
        <f>IF(Process_Steps[[#This Row],[Real or Virtual?]]="Real",SUMIFS(Table_Process_Details[RV Eutrophication (kg phosphate equiv.) per kg API (REAGENT)],Table_Process_Details[Step Name],Process_Steps[[#This Row],[Name]]),NA())</f>
        <v>#N/A</v>
      </c>
      <c r="CU24" s="20" t="e">
        <f>IF(Process_Steps[[#This Row],[Real or Virtual?]]="Real",SUMIFS(Table_Process_Details[RV Eutrophication (kg phosphate equiv.) per kg API (METAL)],Table_Process_Details[Step Name],Process_Steps[[#This Row],[Name]]),NA())</f>
        <v>#N/A</v>
      </c>
      <c r="CV24" s="20" t="e">
        <f>IF(Process_Steps[[#This Row],[Real or Virtual?]]="Real",SUMIFS(Table_Process_Details[RV Eutrophication (kg phosphate equiv.) per kg API (SOLVENT)],Table_Process_Details[Step Name],Process_Steps[[#This Row],[Name]]),NA())</f>
        <v>#N/A</v>
      </c>
      <c r="CW24" s="20" t="e">
        <f>IF(Process_Steps[[#This Row],[Real or Virtual?]]="Real",SUMIFS(Table_Process_Details[RV Eutrophication (kg phosphate equiv.) per kg API (WATER)],Table_Process_Details[Step Name],Process_Steps[[#This Row],[Name]]),NA())</f>
        <v>#N/A</v>
      </c>
      <c r="CX24" s="20" t="e">
        <f>IF(Process_Steps[[#This Row],[Real or Virtual?]]="Real",SUMIFS(Table_Process_Details[RV Eutrophication (kg phosphate equiv.) per kg API (ENZ&amp;PLNT)],Table_Process_Details[Step Name],Process_Steps[[#This Row],[Name]]),NA())</f>
        <v>#N/A</v>
      </c>
      <c r="CY24" s="20" t="e">
        <f>IF(Process_Steps[[#This Row],[Real or Virtual?]]="Real",SUMIFS(Table_Process_Details[RV Eutrophication (kg phosphate equiv.) per kg API (OTHER)],Table_Process_Details[Step Name],Process_Steps[[#This Row],[Name]]),NA())</f>
        <v>#N/A</v>
      </c>
      <c r="CZ24" s="23" t="e">
        <f ca="1">INDEX(Process_Steps[Name if Real],MATCH(Process_Steps[[#This Row],['[RV Step Eutrophication (kg phosphate equiv.) per kg API'] of Each Step Sorted by '[RV Step Eutrophication (kg phosphate equiv.) per kg API']]],Process_Steps[RV Step Eutrophication (kg posphate equiv.) per kg API],0))</f>
        <v>#N/A</v>
      </c>
      <c r="DA24" s="23" t="e" cm="1">
        <f t="array" aca="1" ref="DA24" ca="1">IF(LARGE(_xlfn.IFNA(Process_Steps[RV Step Eutrophication (kg posphate equiv.) per kg API],0),Process_Steps[[#This Row],[Table Row]])=0,NA(),LARGE(_xlfn.IFNA(Process_Steps[RV Step Eutrophication (kg posphate equiv.) per kg API],0),Process_Steps[[#This Row],[Table Row]]))</f>
        <v>#N/A</v>
      </c>
      <c r="DB24" s="23" t="e">
        <f ca="1">SUM(OFFSET(Process_Steps['[RV Step Eutrophication (kg phosphate equiv.) per kg API'] of Each Step Sorted by '[RV Step Eutrophication (kg phosphate equiv.) per kg API']],0,0,Process_Steps[[#This Row],[Table Row]]))</f>
        <v>#N/A</v>
      </c>
      <c r="DC24"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4" s="23" t="e">
        <f ca="1">INDEX(Process_Steps[RV Step Eutrophication (kg posphate equiv.) per kg API (REAGENT)],MATCH(Process_Steps[[#This Row],[Steps Sorted by '[RV Step Eutrophication (kg phosphate equiv.) per kg API']]],Process_Steps[Name],0))</f>
        <v>#N/A</v>
      </c>
      <c r="DE24" s="23" t="e">
        <f ca="1">INDEX(Process_Steps[RV Step Eutrophication (kg posphate equiv.) per kg API (METAL)],MATCH(Process_Steps[[#This Row],[Steps Sorted by '[RV Step Eutrophication (kg phosphate equiv.) per kg API']]],Process_Steps[Name],0))</f>
        <v>#N/A</v>
      </c>
      <c r="DF24" s="23" t="e">
        <f ca="1">INDEX(Process_Steps[RV Step Eutrophication (kg posphate equiv.) per kg API (SOLVENT)],MATCH(Process_Steps[[#This Row],[Steps Sorted by '[RV Step Eutrophication (kg phosphate equiv.) per kg API']]],Process_Steps[Name],0))</f>
        <v>#N/A</v>
      </c>
      <c r="DG24" s="23" t="e">
        <f ca="1">INDEX(Process_Steps[RV Step Eutrophication (kg posphate equiv.) per kg API (WATER)],MATCH(Process_Steps[[#This Row],[Steps Sorted by '[RV Step Eutrophication (kg phosphate equiv.) per kg API']]],Process_Steps[Name],0))</f>
        <v>#N/A</v>
      </c>
      <c r="DH24" s="23" t="e">
        <f ca="1">INDEX(Process_Steps[RV Step Eutrophication (kg posphate equiv.) per kg API (ENZ&amp;PLNT)],MATCH(Process_Steps[[#This Row],[Steps Sorted by '[RV Step Eutrophication (kg phosphate equiv.) per kg API']]],Process_Steps[Name],0))</f>
        <v>#N/A</v>
      </c>
      <c r="DI24" s="23" t="e">
        <f ca="1">INDEX(Process_Steps[RV Step Eutrophication (kg posphate equiv.) per kg API (OTHER)],MATCH(Process_Steps[[#This Row],[Steps Sorted by '[RV Step Eutrophication (kg phosphate equiv.) per kg API']]],Process_Steps[Name],0))</f>
        <v>#N/A</v>
      </c>
      <c r="DJ24" s="118" t="e">
        <f>IF(Process_Steps[[#This Row],[Real or Virtual?]]="Real",SUMIFS(Table_Process_Details[RV Water (kg) per kg API],Table_Process_Details[Step Name],Process_Steps[[#This Row],[Name]]),NA())</f>
        <v>#N/A</v>
      </c>
      <c r="DK24" s="20" t="e">
        <f>IF(Process_Steps[[#This Row],[Real or Virtual?]]="Real",SUMIFS(Table_Process_Details[RV Water (kg) per kg API (REAGENT)],Table_Process_Details[Step Name],Process_Steps[[#This Row],[Name]]),NA())</f>
        <v>#N/A</v>
      </c>
      <c r="DL24" s="20" t="e">
        <f>IF(Process_Steps[[#This Row],[Real or Virtual?]]="Real",SUMIFS(Table_Process_Details[RV Water (kg) per kg API (METAL)],Table_Process_Details[Step Name],Process_Steps[[#This Row],[Name]]),NA())</f>
        <v>#N/A</v>
      </c>
      <c r="DM24" s="20" t="e">
        <f>IF(Process_Steps[[#This Row],[Real or Virtual?]]="Real",SUMIFS(Table_Process_Details[RV Water (kg) per kg API (SOLVENT)],Table_Process_Details[Step Name],Process_Steps[[#This Row],[Name]]),NA())</f>
        <v>#N/A</v>
      </c>
      <c r="DN24" s="20" t="e">
        <f>IF(Process_Steps[[#This Row],[Real or Virtual?]]="Real",SUMIFS(Table_Process_Details[RV Water (kg) per kg API (WATER)],Table_Process_Details[Step Name],Process_Steps[[#This Row],[Name]]),NA())</f>
        <v>#N/A</v>
      </c>
      <c r="DO24" s="20" t="e">
        <f>IF(Process_Steps[[#This Row],[Real or Virtual?]]="Real",SUMIFS(Table_Process_Details[RV Water (kg) per kg API (ENZ&amp;PLNT)],Table_Process_Details[Step Name],Process_Steps[[#This Row],[Name]]),NA())</f>
        <v>#N/A</v>
      </c>
      <c r="DP24" s="20" t="e">
        <f>IF(Process_Steps[[#This Row],[Real or Virtual?]]="Real",SUMIFS(Table_Process_Details[RV Water (kg) per kg API (OTHER)],Table_Process_Details[Step Name],Process_Steps[[#This Row],[Name]]),NA())</f>
        <v>#N/A</v>
      </c>
      <c r="DQ24" s="23" t="e">
        <f ca="1">INDEX(Process_Steps[Name if Real],MATCH(Process_Steps[[#This Row],['[RV Step Water (kg) per kg API'] of Each Step Sorted by '[RV Step Water (kg) per kg API']]],Process_Steps[RV Step Water (kg) per kg API],0))</f>
        <v>#N/A</v>
      </c>
      <c r="DR24" s="23" t="e" cm="1">
        <f t="array" aca="1" ref="DR24" ca="1">IF(LARGE(_xlfn.IFNA(Process_Steps[RV Step Water (kg) per kg API],0),Process_Steps[[#This Row],[Table Row]])=0,NA(),LARGE(_xlfn.IFNA(Process_Steps[RV Step Water (kg) per kg API],0),Process_Steps[[#This Row],[Table Row]]))</f>
        <v>#N/A</v>
      </c>
      <c r="DS24" s="23" t="e">
        <f ca="1">SUM(OFFSET(Process_Steps['[RV Step Water (kg) per kg API'] of Each Step Sorted by '[RV Step Water (kg) per kg API']],0,0,Process_Steps[[#This Row],[Table Row]]))</f>
        <v>#N/A</v>
      </c>
      <c r="DT24" s="23" t="e">
        <f ca="1">"("&amp;TEXT(Process_Steps[[#This Row],['[RV Step Water (kg) per kg API'] of Each Step Sorted by '[RV Step Water (kg) per kg API']]]/SUMIF(Process_Steps['[RV Step Water (kg) per kg API'] of Each Step Sorted by '[RV Step Water (kg) per kg API']],"&lt;&gt;#N/A"),"0%")&amp;")"</f>
        <v>#N/A</v>
      </c>
      <c r="DU24" s="23" t="e">
        <f ca="1">INDEX(Process_Steps[RV Step Water (kg) per kg API (REAGENT)],MATCH(Process_Steps[[#This Row],[Steps Sorted by '[RV Step Water (kg) per kg API']]],Process_Steps[Name],0))</f>
        <v>#N/A</v>
      </c>
      <c r="DV24" s="23" t="e">
        <f ca="1">INDEX(Process_Steps[RV Step Water (kg) per kg API (METAL)],MATCH(Process_Steps[[#This Row],[Steps Sorted by '[RV Step Water (kg) per kg API']]],Process_Steps[Name],0))</f>
        <v>#N/A</v>
      </c>
      <c r="DW24" s="23" t="e">
        <f ca="1">INDEX(Process_Steps[RV Step Water (kg) per kg API (SOLVENT)],MATCH(Process_Steps[[#This Row],[Steps Sorted by '[RV Step Water (kg) per kg API']]],Process_Steps[Name],0))</f>
        <v>#N/A</v>
      </c>
      <c r="DX24" s="23" t="e">
        <f ca="1">INDEX(Process_Steps[RV Step Water (kg) per kg API (WATER)],MATCH(Process_Steps[[#This Row],[Steps Sorted by '[RV Step Water (kg) per kg API']]],Process_Steps[Name],0))</f>
        <v>#N/A</v>
      </c>
      <c r="DY24" s="23" t="e">
        <f ca="1">INDEX(Process_Steps[RV Step Water (kg) per kg API (ENZ&amp;PLNT)],MATCH(Process_Steps[[#This Row],[Steps Sorted by '[RV Step Water (kg) per kg API']]],Process_Steps[Name],0))</f>
        <v>#N/A</v>
      </c>
      <c r="DZ24" s="23" t="e">
        <f ca="1">INDEX(Process_Steps[RV Step Water (kg) per kg API (OTHER)],MATCH(Process_Steps[[#This Row],[Steps Sorted by '[RV Step Water (kg) per kg API']]],Process_Steps[Name],0))</f>
        <v>#N/A</v>
      </c>
    </row>
    <row r="25" spans="1:130" s="119" customFormat="1" x14ac:dyDescent="0.25">
      <c r="A25" s="119" t="s">
        <v>808</v>
      </c>
      <c r="B25" s="119" t="s">
        <v>174</v>
      </c>
      <c r="C25" s="119" t="s">
        <v>809</v>
      </c>
      <c r="D25" s="119" t="s">
        <v>845</v>
      </c>
      <c r="F25" s="120">
        <f>INDEX(Table_Process_Details[Physical Mass (kg)],MATCH(1,INDEX((Process_Steps[[#This Row],[Name]]=Table_Process_Details[Step Name])*(Table_Process_Details[Input or Output]="Output"),0),0))</f>
        <v>54.49</v>
      </c>
      <c r="G25" s="120" cm="1">
        <f t="array" aca="1" ref="G25"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1.2000000000000011</v>
      </c>
      <c r="H25" s="121">
        <f ca="1">Process_Steps[[#This Row],[Total Mass that must be produced]]/Process_Steps[[#This Row],[Unscaled Step Product Mass]]</f>
        <v>2.2022389429253091E-2</v>
      </c>
      <c r="I25" s="122" t="str">
        <f>IF(Process_Steps[[#This Row],[Real or Virtual?]]="Real",Process_Steps[[#This Row],[Name]],NA())</f>
        <v>4) Synthesis of Intermediate (4)</v>
      </c>
      <c r="J25" s="123">
        <f>ROW()-ROW(Process_Steps[[#Headers],[Table Row]])</f>
        <v>19</v>
      </c>
      <c r="K25" s="124">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35.676270875389982</v>
      </c>
      <c r="L25" s="124">
        <f ca="1">IF(Process_Steps[[#This Row],[Real or Virtual?]]="Real",SUMIFS(Table_Process_Details[RV Physical Mass per kg API],Table_Process_Details[Input or Output],"Input",Table_Process_Details[Step Name],Process_Steps[[#This Row],[Name]]),NA())</f>
        <v>41.820517526151619</v>
      </c>
      <c r="M25" s="125">
        <f ca="1">IF(Process_Steps[[#This Row],[Real or Virtual?]]="Real",SUMIFS(Table_Process_Details[RV Physical Mass per kg API (REAGENT)],Table_Process_Details[Input or Output],"Input",Table_Process_Details[Step Name],Process_Steps[[#This Row],[Name]]),NA())</f>
        <v>4.9765812634149107</v>
      </c>
      <c r="N25" s="125">
        <f ca="1">IF(Process_Steps[[#This Row],[Real or Virtual?]]="Real",SUMIFS(Table_Process_Details[RV Physical Mass per kg API (METAL)],Table_Process_Details[Input or Output],"Input",Table_Process_Details[Step Name],Process_Steps[[#This Row],[Name]]),NA())</f>
        <v>0</v>
      </c>
      <c r="O25" s="125">
        <f ca="1">IF(Process_Steps[[#This Row],[Real or Virtual?]]="Real",SUMIFS(Table_Process_Details[RV Physical Mass per kg API (SOLVENT)],Table_Process_Details[Input or Output],"Input",Table_Process_Details[Step Name],Process_Steps[[#This Row],[Name]]),NA())</f>
        <v>5.7258212516058036</v>
      </c>
      <c r="P25" s="125">
        <f ca="1">IF(Process_Steps[[#This Row],[Real or Virtual?]]="Real",SUMIFS(Table_Process_Details[RV Physical Mass per kg API (WATER)],Table_Process_Details[Input or Output],"Input",Table_Process_Details[Step Name],Process_Steps[[#This Row],[Name]]),NA())</f>
        <v>31.118115011130907</v>
      </c>
      <c r="Q25" s="125">
        <f ca="1">IF(Process_Steps[[#This Row],[Real or Virtual?]]="Real",SUMIFS(Table_Process_Details[RV Physical Mass per kg API (ENZ&amp;PLNT)],Table_Process_Details[Input or Output],"Input",Table_Process_Details[Step Name],Process_Steps[[#This Row],[Name]]),NA())</f>
        <v>0</v>
      </c>
      <c r="R25" s="125">
        <f ca="1">IF(Process_Steps[[#This Row],[Real or Virtual?]]="Real",SUMIFS(Table_Process_Details[RV Physical Mass per kg API (OTHER)],Table_Process_Details[Input or Output],"Input",Table_Process_Details[Step Name],Process_Steps[[#This Row],[Name]]),NA())</f>
        <v>0</v>
      </c>
      <c r="S25" s="124" t="e">
        <f ca="1">INDEX(Process_Steps[Name if Real],MATCH(Process_Steps[[#This Row],['[RV Step PMI per kg API'] of Each Step Sorted by '[RV Step PMI per kg API']]],Process_Steps[RV Step PMI per kg API],0))</f>
        <v>#N/A</v>
      </c>
      <c r="T25" s="124" t="e" cm="1">
        <f t="array" aca="1" ref="T25" ca="1">IF(LARGE(_xlfn.IFNA(Process_Steps[RV Step PMI per kg API],0),Process_Steps[[#This Row],[Table Row]])=0,NA(),LARGE(_xlfn.IFNA(Process_Steps[RV Step PMI per kg API],0),Process_Steps[[#This Row],[Table Row]]))</f>
        <v>#N/A</v>
      </c>
      <c r="U25" s="124" t="e">
        <f ca="1">SUM(OFFSET(Process_Steps['[RV Step PMI per kg API'] of Each Step Sorted by '[RV Step PMI per kg API']],0,0,Process_Steps[[#This Row],[Table Row]]))</f>
        <v>#N/A</v>
      </c>
      <c r="V25" s="124" t="e">
        <f ca="1">"("&amp;TEXT(Process_Steps[[#This Row],['[RV Step PMI per kg API'] of Each Step Sorted by '[RV Step PMI per kg API']]]/SUMIF(Process_Steps['[RV Step PMI per kg API'] of Each Step Sorted by '[RV Step PMI per kg API']],"&lt;&gt;#N/A"),"0%")&amp;")"</f>
        <v>#N/A</v>
      </c>
      <c r="W25" s="122" t="e">
        <f ca="1">INDEX(Process_Steps[RV Step PMI per kg API (REAGENT)],MATCH(Process_Steps[[#This Row],[Steps Sorted by '[RV Step PMI per kg API']]],Process_Steps[Name],0))</f>
        <v>#N/A</v>
      </c>
      <c r="X25" s="122" t="e">
        <f ca="1">INDEX(Process_Steps[RV Step PMI per kg API (METAL)],MATCH(Process_Steps[[#This Row],[Steps Sorted by '[RV Step PMI per kg API']]],Process_Steps[Name],0))</f>
        <v>#N/A</v>
      </c>
      <c r="Y25" s="122" t="e">
        <f ca="1">INDEX(Process_Steps[RV Step PMI per kg API (SOLVENT)],MATCH(Process_Steps[[#This Row],[Steps Sorted by '[RV Step PMI per kg API']]],Process_Steps[Name],0))</f>
        <v>#N/A</v>
      </c>
      <c r="Z25" s="122" t="e">
        <f ca="1">INDEX(Process_Steps[RV Step PMI per kg API (WATER)],MATCH(Process_Steps[[#This Row],[Steps Sorted by '[RV Step PMI per kg API']]],Process_Steps[Name],0))</f>
        <v>#N/A</v>
      </c>
      <c r="AA25" s="122" t="e">
        <f ca="1">INDEX(Process_Steps[RV Step PMI per kg API (ENZ&amp;PLNT)],MATCH(Process_Steps[[#This Row],[Steps Sorted by '[RV Step PMI per kg API']]],Process_Steps[Name],0))</f>
        <v>#N/A</v>
      </c>
      <c r="AB25" s="122" t="e">
        <f ca="1">INDEX(Process_Steps[RV Step PMI per kg API (OTHER)],MATCH(Process_Steps[[#This Row],[Steps Sorted by '[RV Step PMI per kg API']]],Process_Steps[Name],0))</f>
        <v>#N/A</v>
      </c>
      <c r="AC25" s="124">
        <f ca="1">IF(Process_Steps[[#This Row],[Real or Virtual?]]="Real",SUMIFS(Table_Process_Details[RV Mass Net (kg) per kg API],Table_Process_Details[Step Name],Process_Steps[[#This Row],[Name]]),NA())</f>
        <v>19.189369584989308</v>
      </c>
      <c r="AD25" s="125">
        <f ca="1">IF(Process_Steps[[#This Row],[Real or Virtual?]]="Real",SUMIFS(Table_Process_Details[RV Mass Net (kg) per kg API (REAGENT)],Table_Process_Details[Step Name],Process_Steps[[#This Row],[Name]]),NA())</f>
        <v>7.4901870531000636</v>
      </c>
      <c r="AE25" s="125">
        <f ca="1">IF(Process_Steps[[#This Row],[Real or Virtual?]]="Real",SUMIFS(Table_Process_Details[RV Mass Net (kg) per kg API (METAL)],Table_Process_Details[Step Name],Process_Steps[[#This Row],[Name]]),NA())</f>
        <v>0</v>
      </c>
      <c r="AF25" s="125">
        <f ca="1">IF(Process_Steps[[#This Row],[Real or Virtual?]]="Real",SUMIFS(Table_Process_Details[RV Mass Net (kg) per kg API (SOLVENT)],Table_Process_Details[Step Name],Process_Steps[[#This Row],[Name]]),NA())</f>
        <v>11.6515635602863</v>
      </c>
      <c r="AG25" s="125">
        <f ca="1">IF(Process_Steps[[#This Row],[Real or Virtual?]]="Real",SUMIFS(Table_Process_Details[RV Mass Net (kg) per kg API (WATER)],Table_Process_Details[Step Name],Process_Steps[[#This Row],[Name]]),NA())</f>
        <v>4.761897160294274E-2</v>
      </c>
      <c r="AH25" s="125">
        <f ca="1">IF(Process_Steps[[#This Row],[Real or Virtual?]]="Real",SUMIFS(Table_Process_Details[RV Mass Net (kg) per kg API (ENZ&amp;PLNT)],Table_Process_Details[Step Name],Process_Steps[[#This Row],[Name]]),NA())</f>
        <v>0</v>
      </c>
      <c r="AI25" s="125">
        <f ca="1">IF(Process_Steps[[#This Row],[Real or Virtual?]]="Real",SUMIFS(Table_Process_Details[RV Mass Net (kg) per kg API (OTHER)],Table_Process_Details[Step Name],Process_Steps[[#This Row],[Name]]),NA())</f>
        <v>0</v>
      </c>
      <c r="AJ25" s="122" t="e">
        <f ca="1">INDEX(Process_Steps[Name if Real],MATCH(Process_Steps[[#This Row],['[RV Step Mass Net (kg) per kg API'] of Each Step Sorted by '[RV Step Mass Net (kg) per kg API']]],Process_Steps[RV Step Mass Net (kg) per kg API],0))</f>
        <v>#N/A</v>
      </c>
      <c r="AK25" s="122" t="e" cm="1">
        <f t="array" aca="1" ref="AK25" ca="1">IF(LARGE(_xlfn.IFNA(Process_Steps[RV Step Mass Net (kg) per kg API],0),Process_Steps[[#This Row],[Table Row]])=0,NA(),LARGE(_xlfn.IFNA(Process_Steps[RV Step Mass Net (kg) per kg API],0),Process_Steps[[#This Row],[Table Row]]))</f>
        <v>#N/A</v>
      </c>
      <c r="AL25" s="122" t="e">
        <f ca="1">SUM(OFFSET(Process_Steps['[RV Step Mass Net (kg) per kg API'] of Each Step Sorted by '[RV Step Mass Net (kg) per kg API']],0,0,Process_Steps[[#This Row],[Table Row]]))</f>
        <v>#N/A</v>
      </c>
      <c r="AM25" s="122" t="e">
        <f ca="1">"("&amp;TEXT(Process_Steps[[#This Row],['[RV Step Mass Net (kg) per kg API'] of Each Step Sorted by '[RV Step Mass Net (kg) per kg API']]]/SUMIF(Process_Steps['[RV Step Mass Net (kg) per kg API'] of Each Step Sorted by '[RV Step Mass Net (kg) per kg API']],"&lt;&gt;#N/A"),"0%")&amp;")"</f>
        <v>#N/A</v>
      </c>
      <c r="AN25" s="122" t="e">
        <f ca="1">INDEX(Process_Steps[RV Step Mass Net (kg) per kg API (REAGENT)],MATCH(Process_Steps[[#This Row],[Steps Sorted by '[RV Step Mass Net (kg) per kg API']]],Process_Steps[Name],0))</f>
        <v>#N/A</v>
      </c>
      <c r="AO25" s="122" t="e">
        <f ca="1">INDEX(Process_Steps[RV Step Mass Net (kg) per kg API (METAL)],MATCH(Process_Steps[[#This Row],[Steps Sorted by '[RV Step Mass Net (kg) per kg API']]],Process_Steps[Name],0))</f>
        <v>#N/A</v>
      </c>
      <c r="AP25" s="122" t="e">
        <f ca="1">INDEX(Process_Steps[RV Step Mass Net (kg) per kg API (SOLVENT)],MATCH(Process_Steps[[#This Row],[Steps Sorted by '[RV Step Mass Net (kg) per kg API']]],Process_Steps[Name],0))</f>
        <v>#N/A</v>
      </c>
      <c r="AQ25" s="122" t="e">
        <f ca="1">INDEX(Process_Steps[RV Step Mass Net (kg) per kg API (WATER)],MATCH(Process_Steps[[#This Row],[Steps Sorted by '[RV Step Mass Net (kg) per kg API']]],Process_Steps[Name],0))</f>
        <v>#N/A</v>
      </c>
      <c r="AR25" s="122" t="e">
        <f ca="1">INDEX(Process_Steps[RV Step Mass Net (kg) per kg API (ENZ&amp;PLNT)],MATCH(Process_Steps[[#This Row],[Steps Sorted by '[RV Step Mass Net (kg) per kg API']]],Process_Steps[Name],0))</f>
        <v>#N/A</v>
      </c>
      <c r="AS25" s="122" t="e">
        <f ca="1">INDEX(Process_Steps[RV Step Mass Net (kg) per kg API (OTHER)],MATCH(Process_Steps[[#This Row],[Steps Sorted by '[RV Step Mass Net (kg) per kg API']]],Process_Steps[Name],0))</f>
        <v>#N/A</v>
      </c>
      <c r="AT25" s="124">
        <f ca="1">IF(Process_Steps[[#This Row],[Real or Virtual?]]="Real",SUMIFS(Table_Process_Details[RV Energy (MJ) per kg API],Table_Process_Details[Step Name],Process_Steps[[#This Row],[Name]]),NA())</f>
        <v>620.49080190772293</v>
      </c>
      <c r="AU25" s="125">
        <f ca="1">IF(Process_Steps[[#This Row],[Real or Virtual?]]="Real",SUMIFS(Table_Process_Details[RV Energy (MJ) per kg API (REAGENT)],Table_Process_Details[Step Name],Process_Steps[[#This Row],[Name]]),NA())</f>
        <v>123.63398811573452</v>
      </c>
      <c r="AV25" s="125">
        <f ca="1">IF(Process_Steps[[#This Row],[Real or Virtual?]]="Real",SUMIFS(Table_Process_Details[RV Energy (MJ) per kg API (METAL)],Table_Process_Details[Step Name],Process_Steps[[#This Row],[Name]]),NA())</f>
        <v>0</v>
      </c>
      <c r="AW25" s="125">
        <f ca="1">IF(Process_Steps[[#This Row],[Real or Virtual?]]="Real",SUMIFS(Table_Process_Details[RV Energy (MJ) per kg API (SOLVENT)],Table_Process_Details[Step Name],Process_Steps[[#This Row],[Name]]),NA())</f>
        <v>496.26375878142818</v>
      </c>
      <c r="AX25" s="125">
        <f ca="1">IF(Process_Steps[[#This Row],[Real or Virtual?]]="Real",SUMIFS(Table_Process_Details[RV Energy (MJ) per kg API (WATER)],Table_Process_Details[Step Name],Process_Steps[[#This Row],[Name]]),NA())</f>
        <v>0.59305501056021503</v>
      </c>
      <c r="AY25" s="125">
        <f ca="1">IF(Process_Steps[[#This Row],[Real or Virtual?]]="Real",SUMIFS(Table_Process_Details[RV Energy (MJ) per kg API (ENZ&amp;PLNT)],Table_Process_Details[Step Name],Process_Steps[[#This Row],[Name]]),NA())</f>
        <v>0</v>
      </c>
      <c r="AZ25" s="125">
        <f ca="1">IF(Process_Steps[[#This Row],[Real or Virtual?]]="Real",SUMIFS(Table_Process_Details[RV Energy (MJ) per kg API (OTHER)],Table_Process_Details[Step Name],Process_Steps[[#This Row],[Name]]),NA())</f>
        <v>0</v>
      </c>
      <c r="BA25" s="122" t="e">
        <f ca="1">INDEX(Process_Steps[Name if Real],MATCH(Process_Steps[[#This Row],['[RV Step Energy (MJ) per kg API'] of Each Step Sorted by '[RV Step Energy (MJ) per kg API']]],Process_Steps[RV Step Energy (MJ) per kg API],0))</f>
        <v>#N/A</v>
      </c>
      <c r="BB25" s="122" t="e" cm="1">
        <f t="array" aca="1" ref="BB25" ca="1">IF(LARGE(_xlfn.IFNA(Process_Steps[RV Step Energy (MJ) per kg API],0),Process_Steps[[#This Row],[Table Row]])=0,NA(),LARGE(_xlfn.IFNA(Process_Steps[RV Step Energy (MJ) per kg API],0),Process_Steps[[#This Row],[Table Row]]))</f>
        <v>#N/A</v>
      </c>
      <c r="BC25" s="122" t="e">
        <f ca="1">SUM(OFFSET(Process_Steps['[RV Step Energy (MJ) per kg API'] of Each Step Sorted by '[RV Step Energy (MJ) per kg API']],0,0,Process_Steps[[#This Row],[Table Row]]))</f>
        <v>#N/A</v>
      </c>
      <c r="BD25" s="122" t="e">
        <f ca="1">"("&amp;TEXT(Process_Steps[[#This Row],['[RV Step Energy (MJ) per kg API'] of Each Step Sorted by '[RV Step Energy (MJ) per kg API']]]/SUMIF(Process_Steps['[RV Step Energy (MJ) per kg API'] of Each Step Sorted by '[RV Step Energy (MJ) per kg API']],"&lt;&gt;#N/A"),"0%")&amp;")"</f>
        <v>#N/A</v>
      </c>
      <c r="BE25" s="122" t="e">
        <f ca="1">INDEX(Process_Steps[RV Step Energy (MJ) per kg API (REAGENT)],MATCH(Process_Steps[[#This Row],[Steps Sorted by '[RV Step Energy (MJ) per kg API']]],Process_Steps[Name],0))</f>
        <v>#N/A</v>
      </c>
      <c r="BF25" s="122" t="e">
        <f ca="1">INDEX(Process_Steps[RV Step Energy (MJ) per kg API (METAL)],MATCH(Process_Steps[[#This Row],[Steps Sorted by '[RV Step Energy (MJ) per kg API']]],Process_Steps[Name],0))</f>
        <v>#N/A</v>
      </c>
      <c r="BG25" s="122" t="e">
        <f ca="1">INDEX(Process_Steps[RV Step Energy (MJ) per kg API (SOLVENT)],MATCH(Process_Steps[[#This Row],[Steps Sorted by '[RV Step Energy (MJ) per kg API']]],Process_Steps[Name],0))</f>
        <v>#N/A</v>
      </c>
      <c r="BH25" s="122" t="e">
        <f ca="1">INDEX(Process_Steps[RV Step Energy (MJ) per kg API (WATER)],MATCH(Process_Steps[[#This Row],[Steps Sorted by '[RV Step Energy (MJ) per kg API']]],Process_Steps[Name],0))</f>
        <v>#N/A</v>
      </c>
      <c r="BI25" s="122" t="e">
        <f ca="1">INDEX(Process_Steps[RV Step Energy (MJ) per kg API (ENZ&amp;PLNT)],MATCH(Process_Steps[[#This Row],[Steps Sorted by '[RV Step Energy (MJ) per kg API']]],Process_Steps[Name],0))</f>
        <v>#N/A</v>
      </c>
      <c r="BJ25" s="122" t="e">
        <f ca="1">INDEX(Process_Steps[RV Step Energy (MJ) per kg API (OTHER)],MATCH(Process_Steps[[#This Row],[Steps Sorted by '[RV Step Energy (MJ) per kg API']]],Process_Steps[Name],0))</f>
        <v>#N/A</v>
      </c>
      <c r="BK25" s="124">
        <f ca="1">IF(Process_Steps[[#This Row],[Real or Virtual?]]="Real",SUMIFS(Table_Process_Details[RV GWP (kg CO2 equiv.) per kg API],Table_Process_Details[Step Name],Process_Steps[[#This Row],[Name]]),NA())</f>
        <v>25.739380684742894</v>
      </c>
      <c r="BL25" s="125">
        <f ca="1">IF(Process_Steps[[#This Row],[Real or Virtual?]]="Real",SUMIFS(Table_Process_Details[RV GWP (kg CO2 equiv.) per kg API (REAGENT)],Table_Process_Details[Step Name],Process_Steps[[#This Row],[Name]]),NA())</f>
        <v>8.2588466228449668</v>
      </c>
      <c r="BM25" s="125">
        <f ca="1">IF(Process_Steps[[#This Row],[Real or Virtual?]]="Real",SUMIFS(Table_Process_Details[RV GWP (kg CO2 equiv.) per kg API (METAL)],Table_Process_Details[Step Name],Process_Steps[[#This Row],[Name]]),NA())</f>
        <v>0</v>
      </c>
      <c r="BN25" s="125">
        <f ca="1">IF(Process_Steps[[#This Row],[Real or Virtual?]]="Real",SUMIFS(Table_Process_Details[RV GWP (kg CO2 equiv.) per kg API (SOLVENT)],Table_Process_Details[Step Name],Process_Steps[[#This Row],[Name]]),NA())</f>
        <v>17.448926085520291</v>
      </c>
      <c r="BO25" s="125">
        <f ca="1">IF(Process_Steps[[#This Row],[Real or Virtual?]]="Real",SUMIFS(Table_Process_Details[RV GWP (kg CO2 equiv.) per kg API (WATER)],Table_Process_Details[Step Name],Process_Steps[[#This Row],[Name]]),NA())</f>
        <v>3.1607976377636127E-2</v>
      </c>
      <c r="BP25" s="125">
        <f ca="1">IF(Process_Steps[[#This Row],[Real or Virtual?]]="Real",SUMIFS(Table_Process_Details[RV GWP (kg CO2 equiv.) per kg API (ENZ&amp;PLNT)],Table_Process_Details[Step Name],Process_Steps[[#This Row],[Name]]),NA())</f>
        <v>0</v>
      </c>
      <c r="BQ25" s="125">
        <f ca="1">IF(Process_Steps[[#This Row],[Real or Virtual?]]="Real",SUMIFS(Table_Process_Details[RV GWP (kg CO2 equiv.) per kg API (OTHER)],Table_Process_Details[Step Name],Process_Steps[[#This Row],[Name]]),NA())</f>
        <v>0</v>
      </c>
      <c r="BR25" s="122" t="e">
        <f ca="1">INDEX(Process_Steps[Name if Real],MATCH(Process_Steps[[#This Row],['[RV Step GWP (kg CO2 equiv.) per kg API'] of Each Step Sorted by '[RV Step GWP (kg CO2 equiv.) per kg API']]],Process_Steps[RV Step GWP (kg CO2 equiv.) per kg API],0))</f>
        <v>#N/A</v>
      </c>
      <c r="BS25" s="122" t="e" cm="1">
        <f t="array" aca="1" ref="BS25" ca="1">IF(LARGE(_xlfn.IFNA(Process_Steps[RV Step GWP (kg CO2 equiv.) per kg API],0),Process_Steps[[#This Row],[Table Row]])=0,NA(),LARGE(_xlfn.IFNA(Process_Steps[RV Step GWP (kg CO2 equiv.) per kg API],0),Process_Steps[[#This Row],[Table Row]]))</f>
        <v>#N/A</v>
      </c>
      <c r="BT25" s="122" t="e">
        <f ca="1">SUM(OFFSET(Process_Steps['[RV Step GWP (kg CO2 equiv.) per kg API'] of Each Step Sorted by '[RV Step GWP (kg CO2 equiv.) per kg API']],0,0,Process_Steps[[#This Row],[Table Row]]))</f>
        <v>#N/A</v>
      </c>
      <c r="BU25" s="122" t="e">
        <f ca="1">"("&amp;TEXT(Process_Steps[[#This Row],['[RV Step GWP (kg CO2 equiv.) per kg API'] of Each Step Sorted by '[RV Step GWP (kg CO2 equiv.) per kg API']]]/SUMIF(Process_Steps['[RV Step GWP (kg CO2 equiv.) per kg API'] of Each Step Sorted by '[RV Step GWP (kg CO2 equiv.) per kg API']],"&lt;&gt;#N/A"),"0%")&amp;")"</f>
        <v>#N/A</v>
      </c>
      <c r="BV25" s="122" t="e">
        <f ca="1">INDEX(Process_Steps[RV Step GWP (kg CO2 equiv.) per kg API (REAGENT)],MATCH(Process_Steps[[#This Row],[Steps Sorted by '[RV Step GWP (kg CO2 equiv.) per kg API']]],Process_Steps[Name],0))</f>
        <v>#N/A</v>
      </c>
      <c r="BW25" s="122" t="e">
        <f ca="1">INDEX(Process_Steps[RV Step GWP (kg CO2 equiv.) per kg API (METAL)],MATCH(Process_Steps[[#This Row],[Steps Sorted by '[RV Step GWP (kg CO2 equiv.) per kg API']]],Process_Steps[Name],0))</f>
        <v>#N/A</v>
      </c>
      <c r="BX25" s="122" t="e">
        <f ca="1">INDEX(Process_Steps[RV Step GWP (kg CO2 equiv.) per kg API (SOLVENT)],MATCH(Process_Steps[[#This Row],[Steps Sorted by '[RV Step GWP (kg CO2 equiv.) per kg API']]],Process_Steps[Name],0))</f>
        <v>#N/A</v>
      </c>
      <c r="BY25" s="122" t="e">
        <f ca="1">INDEX(Process_Steps[RV Step GWP (kg CO2 equiv.) per kg API (WATER)],MATCH(Process_Steps[[#This Row],[Steps Sorted by '[RV Step GWP (kg CO2 equiv.) per kg API']]],Process_Steps[Name],0))</f>
        <v>#N/A</v>
      </c>
      <c r="BZ25" s="122" t="e">
        <f ca="1">INDEX(Process_Steps[RV Step GWP (kg CO2 equiv.) per kg API (ENZ&amp;PLNT)],MATCH(Process_Steps[[#This Row],[Steps Sorted by '[RV Step GWP (kg CO2 equiv.) per kg API']]],Process_Steps[Name],0))</f>
        <v>#N/A</v>
      </c>
      <c r="CA25" s="122" t="e">
        <f ca="1">INDEX(Process_Steps[RV Step GWP (kg CO2 equiv.) per kg API (OTHER)],MATCH(Process_Steps[[#This Row],[Steps Sorted by '[RV Step GWP (kg CO2 equiv.) per kg API']]],Process_Steps[Name],0))</f>
        <v>#N/A</v>
      </c>
      <c r="CB25" s="124">
        <f ca="1">IF(Process_Steps[[#This Row],[Real or Virtual?]]="Real",SUMIFS(Table_Process_Details[RV Acidification (kg SO2 equiv.) per kg API],Table_Process_Details[Step Name],Process_Steps[[#This Row],[Name]]),NA())</f>
        <v>0.14705386490399988</v>
      </c>
      <c r="CC25" s="125">
        <f ca="1">IF(Process_Steps[[#This Row],[Real or Virtual?]]="Real",SUMIFS(Table_Process_Details[RV Acidification (kg SO2 equiv.) per kg API (REAGENT)],Table_Process_Details[Step Name],Process_Steps[[#This Row],[Name]]),NA())</f>
        <v>6.622690798159761E-2</v>
      </c>
      <c r="CD25" s="125">
        <f ca="1">IF(Process_Steps[[#This Row],[Real or Virtual?]]="Real",SUMIFS(Table_Process_Details[RV Acidification (kg SO2 equiv.) per kg API (METAL)],Table_Process_Details[Step Name],Process_Steps[[#This Row],[Name]]),NA())</f>
        <v>0</v>
      </c>
      <c r="CE25" s="125">
        <f ca="1">IF(Process_Steps[[#This Row],[Real or Virtual?]]="Real",SUMIFS(Table_Process_Details[RV Acidification (kg SO2 equiv.) per kg API (SOLVENT)],Table_Process_Details[Step Name],Process_Steps[[#This Row],[Name]]),NA())</f>
        <v>8.0705862800513922E-2</v>
      </c>
      <c r="CF25" s="125">
        <f ca="1">IF(Process_Steps[[#This Row],[Real or Virtual?]]="Real",SUMIFS(Table_Process_Details[RV Acidification (kg SO2 equiv.) per kg API (WATER)],Table_Process_Details[Step Name],Process_Steps[[#This Row],[Name]]),NA())</f>
        <v>1.2109412188834019E-4</v>
      </c>
      <c r="CG25" s="125">
        <f ca="1">IF(Process_Steps[[#This Row],[Real or Virtual?]]="Real",SUMIFS(Table_Process_Details[RV Acidification (kg SO2 equiv.) per kg API (ENZ&amp;PLNT)],Table_Process_Details[Step Name],Process_Steps[[#This Row],[Name]]),NA())</f>
        <v>0</v>
      </c>
      <c r="CH25" s="125">
        <f ca="1">IF(Process_Steps[[#This Row],[Real or Virtual?]]="Real",SUMIFS(Table_Process_Details[RV Acidification (kg SO2 equiv.) per kg API (OTHER)],Table_Process_Details[Step Name],Process_Steps[[#This Row],[Name]]),NA())</f>
        <v>0</v>
      </c>
      <c r="CI25" s="122" t="e">
        <f ca="1">INDEX(Process_Steps[Name if Real],MATCH(Process_Steps[[#This Row],['[RV Step Acidification (kg SO2 equiv.) per kg API'] of Each Step Sorted by '[RV Step Acidification (kg SO2 equiv.) per kg API']]],Process_Steps[RV Step Acidification (kg SO2 equiv.) per kg API],0))</f>
        <v>#N/A</v>
      </c>
      <c r="CJ25" s="122" t="e" cm="1">
        <f t="array" aca="1" ref="CJ25" ca="1">IF(LARGE(_xlfn.IFNA(Process_Steps[RV Step Acidification (kg SO2 equiv.) per kg API],0),Process_Steps[[#This Row],[Table Row]])=0,NA(),LARGE(_xlfn.IFNA(Process_Steps[RV Step Acidification (kg SO2 equiv.) per kg API],0),Process_Steps[[#This Row],[Table Row]]))</f>
        <v>#N/A</v>
      </c>
      <c r="CK25" s="122" t="e">
        <f ca="1">SUM(OFFSET(Process_Steps['[RV Step Acidification (kg SO2 equiv.) per kg API'] of Each Step Sorted by '[RV Step Acidification (kg SO2 equiv.) per kg API']],0,0,Process_Steps[[#This Row],[Table Row]]))</f>
        <v>#N/A</v>
      </c>
      <c r="CL25" s="122"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5" s="122" t="e">
        <f ca="1">INDEX(Process_Steps[RV Step Acidification (kg SO2 equiv.) per kg API (REAGENT)],MATCH(Process_Steps[[#This Row],[Steps Sorted by '[RV Step Acidification (kg SO2 equiv.) per kg API']]],Process_Steps[Name],0))</f>
        <v>#N/A</v>
      </c>
      <c r="CN25" s="122" t="e">
        <f ca="1">INDEX(Process_Steps[RV Step Acidification (kg SO2 equiv.) per kg API (METAL)],MATCH(Process_Steps[[#This Row],[Steps Sorted by '[RV Step Acidification (kg SO2 equiv.) per kg API']]],Process_Steps[Name],0))</f>
        <v>#N/A</v>
      </c>
      <c r="CO25" s="122" t="e">
        <f ca="1">INDEX(Process_Steps[RV Step Acidification (kg SO2 equiv.) per kg API (SOLVENT)],MATCH(Process_Steps[[#This Row],[Steps Sorted by '[RV Step Acidification (kg SO2 equiv.) per kg API']]],Process_Steps[Name],0))</f>
        <v>#N/A</v>
      </c>
      <c r="CP25" s="122" t="e">
        <f ca="1">INDEX(Process_Steps[RV Step Acidification (kg SO2 equiv.) per kg API (WATER)],MATCH(Process_Steps[[#This Row],[Steps Sorted by '[RV Step Acidification (kg SO2 equiv.) per kg API']]],Process_Steps[Name],0))</f>
        <v>#N/A</v>
      </c>
      <c r="CQ25" s="122" t="e">
        <f ca="1">INDEX(Process_Steps[RV Step Acidification (kg SO2 equiv.) per kg API (ENZ&amp;PLNT)],MATCH(Process_Steps[[#This Row],[Steps Sorted by '[RV Step Acidification (kg SO2 equiv.) per kg API']]],Process_Steps[Name],0))</f>
        <v>#N/A</v>
      </c>
      <c r="CR25" s="122" t="e">
        <f ca="1">INDEX(Process_Steps[RV Step Acidification (kg SO2 equiv.) per kg API (OTHER)],MATCH(Process_Steps[[#This Row],[Steps Sorted by '[RV Step Acidification (kg SO2 equiv.) per kg API']]],Process_Steps[Name],0))</f>
        <v>#N/A</v>
      </c>
      <c r="CS25" s="124">
        <f ca="1">IF(Process_Steps[[#This Row],[Real or Virtual?]]="Real",SUMIFS(Table_Process_Details[RV Eutrophication (kg phosphate equiv.) per kg API],Table_Process_Details[Step Name],Process_Steps[[#This Row],[Name]]),NA())</f>
        <v>6.0235386122112322E-2</v>
      </c>
      <c r="CT25" s="125">
        <f ca="1">IF(Process_Steps[[#This Row],[Real or Virtual?]]="Real",SUMIFS(Table_Process_Details[RV Eutrophication (kg phosphate equiv.) per kg API (REAGENT)],Table_Process_Details[Step Name],Process_Steps[[#This Row],[Name]]),NA())</f>
        <v>1.2607982317586237E-2</v>
      </c>
      <c r="CU25" s="125">
        <f ca="1">IF(Process_Steps[[#This Row],[Real or Virtual?]]="Real",SUMIFS(Table_Process_Details[RV Eutrophication (kg phosphate equiv.) per kg API (METAL)],Table_Process_Details[Step Name],Process_Steps[[#This Row],[Name]]),NA())</f>
        <v>0</v>
      </c>
      <c r="CV25" s="125">
        <f ca="1">IF(Process_Steps[[#This Row],[Real or Virtual?]]="Real",SUMIFS(Table_Process_Details[RV Eutrophication (kg phosphate equiv.) per kg API (SOLVENT)],Table_Process_Details[Step Name],Process_Steps[[#This Row],[Name]]),NA())</f>
        <v>4.7555266742521599E-2</v>
      </c>
      <c r="CW25" s="125">
        <f ca="1">IF(Process_Steps[[#This Row],[Real or Virtual?]]="Real",SUMIFS(Table_Process_Details[RV Eutrophication (kg phosphate equiv.) per kg API (WATER)],Table_Process_Details[Step Name],Process_Steps[[#This Row],[Name]]),NA())</f>
        <v>7.2137062004484328E-5</v>
      </c>
      <c r="CX25" s="125">
        <f ca="1">IF(Process_Steps[[#This Row],[Real or Virtual?]]="Real",SUMIFS(Table_Process_Details[RV Eutrophication (kg phosphate equiv.) per kg API (ENZ&amp;PLNT)],Table_Process_Details[Step Name],Process_Steps[[#This Row],[Name]]),NA())</f>
        <v>0</v>
      </c>
      <c r="CY25" s="125">
        <f ca="1">IF(Process_Steps[[#This Row],[Real or Virtual?]]="Real",SUMIFS(Table_Process_Details[RV Eutrophication (kg phosphate equiv.) per kg API (OTHER)],Table_Process_Details[Step Name],Process_Steps[[#This Row],[Name]]),NA())</f>
        <v>0</v>
      </c>
      <c r="CZ25" s="122" t="e">
        <f ca="1">INDEX(Process_Steps[Name if Real],MATCH(Process_Steps[[#This Row],['[RV Step Eutrophication (kg phosphate equiv.) per kg API'] of Each Step Sorted by '[RV Step Eutrophication (kg phosphate equiv.) per kg API']]],Process_Steps[RV Step Eutrophication (kg posphate equiv.) per kg API],0))</f>
        <v>#N/A</v>
      </c>
      <c r="DA25" s="122" t="e" cm="1">
        <f t="array" aca="1" ref="DA25" ca="1">IF(LARGE(_xlfn.IFNA(Process_Steps[RV Step Eutrophication (kg posphate equiv.) per kg API],0),Process_Steps[[#This Row],[Table Row]])=0,NA(),LARGE(_xlfn.IFNA(Process_Steps[RV Step Eutrophication (kg posphate equiv.) per kg API],0),Process_Steps[[#This Row],[Table Row]]))</f>
        <v>#N/A</v>
      </c>
      <c r="DB25" s="122" t="e">
        <f ca="1">SUM(OFFSET(Process_Steps['[RV Step Eutrophication (kg phosphate equiv.) per kg API'] of Each Step Sorted by '[RV Step Eutrophication (kg phosphate equiv.) per kg API']],0,0,Process_Steps[[#This Row],[Table Row]]))</f>
        <v>#N/A</v>
      </c>
      <c r="DC25" s="122"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5" s="122" t="e">
        <f ca="1">INDEX(Process_Steps[RV Step Eutrophication (kg posphate equiv.) per kg API (REAGENT)],MATCH(Process_Steps[[#This Row],[Steps Sorted by '[RV Step Eutrophication (kg phosphate equiv.) per kg API']]],Process_Steps[Name],0))</f>
        <v>#N/A</v>
      </c>
      <c r="DE25" s="122" t="e">
        <f ca="1">INDEX(Process_Steps[RV Step Eutrophication (kg posphate equiv.) per kg API (METAL)],MATCH(Process_Steps[[#This Row],[Steps Sorted by '[RV Step Eutrophication (kg phosphate equiv.) per kg API']]],Process_Steps[Name],0))</f>
        <v>#N/A</v>
      </c>
      <c r="DF25" s="122" t="e">
        <f ca="1">INDEX(Process_Steps[RV Step Eutrophication (kg posphate equiv.) per kg API (SOLVENT)],MATCH(Process_Steps[[#This Row],[Steps Sorted by '[RV Step Eutrophication (kg phosphate equiv.) per kg API']]],Process_Steps[Name],0))</f>
        <v>#N/A</v>
      </c>
      <c r="DG25" s="122" t="e">
        <f ca="1">INDEX(Process_Steps[RV Step Eutrophication (kg posphate equiv.) per kg API (WATER)],MATCH(Process_Steps[[#This Row],[Steps Sorted by '[RV Step Eutrophication (kg phosphate equiv.) per kg API']]],Process_Steps[Name],0))</f>
        <v>#N/A</v>
      </c>
      <c r="DH25" s="122" t="e">
        <f ca="1">INDEX(Process_Steps[RV Step Eutrophication (kg posphate equiv.) per kg API (ENZ&amp;PLNT)],MATCH(Process_Steps[[#This Row],[Steps Sorted by '[RV Step Eutrophication (kg phosphate equiv.) per kg API']]],Process_Steps[Name],0))</f>
        <v>#N/A</v>
      </c>
      <c r="DI25" s="122" t="e">
        <f ca="1">INDEX(Process_Steps[RV Step Eutrophication (kg posphate equiv.) per kg API (OTHER)],MATCH(Process_Steps[[#This Row],[Steps Sorted by '[RV Step Eutrophication (kg phosphate equiv.) per kg API']]],Process_Steps[Name],0))</f>
        <v>#N/A</v>
      </c>
      <c r="DJ25" s="124">
        <f ca="1">IF(Process_Steps[[#This Row],[Real or Virtual?]]="Real",SUMIFS(Table_Process_Details[RV Water (kg) per kg API],Table_Process_Details[Step Name],Process_Steps[[#This Row],[Name]]),NA())</f>
        <v>126.55179641584952</v>
      </c>
      <c r="DK25" s="125">
        <f ca="1">IF(Process_Steps[[#This Row],[Real or Virtual?]]="Real",SUMIFS(Table_Process_Details[RV Water (kg) per kg API (REAGENT)],Table_Process_Details[Step Name],Process_Steps[[#This Row],[Name]]),NA())</f>
        <v>18.860137562976561</v>
      </c>
      <c r="DL25" s="125">
        <f ca="1">IF(Process_Steps[[#This Row],[Real or Virtual?]]="Real",SUMIFS(Table_Process_Details[RV Water (kg) per kg API (METAL)],Table_Process_Details[Step Name],Process_Steps[[#This Row],[Name]]),NA())</f>
        <v>0</v>
      </c>
      <c r="DM25" s="125">
        <f ca="1">IF(Process_Steps[[#This Row],[Real or Virtual?]]="Real",SUMIFS(Table_Process_Details[RV Water (kg) per kg API (SOLVENT)],Table_Process_Details[Step Name],Process_Steps[[#This Row],[Name]]),NA())</f>
        <v>68.378616259864245</v>
      </c>
      <c r="DN25" s="125">
        <f ca="1">IF(Process_Steps[[#This Row],[Real or Virtual?]]="Real",SUMIFS(Table_Process_Details[RV Water (kg) per kg API (WATER)],Table_Process_Details[Step Name],Process_Steps[[#This Row],[Name]]),NA())</f>
        <v>39.313042593008717</v>
      </c>
      <c r="DO25" s="125">
        <f ca="1">IF(Process_Steps[[#This Row],[Real or Virtual?]]="Real",SUMIFS(Table_Process_Details[RV Water (kg) per kg API (ENZ&amp;PLNT)],Table_Process_Details[Step Name],Process_Steps[[#This Row],[Name]]),NA())</f>
        <v>0</v>
      </c>
      <c r="DP25" s="125">
        <f ca="1">IF(Process_Steps[[#This Row],[Real or Virtual?]]="Real",SUMIFS(Table_Process_Details[RV Water (kg) per kg API (OTHER)],Table_Process_Details[Step Name],Process_Steps[[#This Row],[Name]]),NA())</f>
        <v>0</v>
      </c>
      <c r="DQ25" s="122" t="e">
        <f ca="1">INDEX(Process_Steps[Name if Real],MATCH(Process_Steps[[#This Row],['[RV Step Water (kg) per kg API'] of Each Step Sorted by '[RV Step Water (kg) per kg API']]],Process_Steps[RV Step Water (kg) per kg API],0))</f>
        <v>#N/A</v>
      </c>
      <c r="DR25" s="122" t="e" cm="1">
        <f t="array" aca="1" ref="DR25" ca="1">IF(LARGE(_xlfn.IFNA(Process_Steps[RV Step Water (kg) per kg API],0),Process_Steps[[#This Row],[Table Row]])=0,NA(),LARGE(_xlfn.IFNA(Process_Steps[RV Step Water (kg) per kg API],0),Process_Steps[[#This Row],[Table Row]]))</f>
        <v>#N/A</v>
      </c>
      <c r="DS25" s="122" t="e">
        <f ca="1">SUM(OFFSET(Process_Steps['[RV Step Water (kg) per kg API'] of Each Step Sorted by '[RV Step Water (kg) per kg API']],0,0,Process_Steps[[#This Row],[Table Row]]))</f>
        <v>#N/A</v>
      </c>
      <c r="DT25" s="122" t="e">
        <f ca="1">"("&amp;TEXT(Process_Steps[[#This Row],['[RV Step Water (kg) per kg API'] of Each Step Sorted by '[RV Step Water (kg) per kg API']]]/SUMIF(Process_Steps['[RV Step Water (kg) per kg API'] of Each Step Sorted by '[RV Step Water (kg) per kg API']],"&lt;&gt;#N/A"),"0%")&amp;")"</f>
        <v>#N/A</v>
      </c>
      <c r="DU25" s="122" t="e">
        <f ca="1">INDEX(Process_Steps[RV Step Water (kg) per kg API (REAGENT)],MATCH(Process_Steps[[#This Row],[Steps Sorted by '[RV Step Water (kg) per kg API']]],Process_Steps[Name],0))</f>
        <v>#N/A</v>
      </c>
      <c r="DV25" s="122" t="e">
        <f ca="1">INDEX(Process_Steps[RV Step Water (kg) per kg API (METAL)],MATCH(Process_Steps[[#This Row],[Steps Sorted by '[RV Step Water (kg) per kg API']]],Process_Steps[Name],0))</f>
        <v>#N/A</v>
      </c>
      <c r="DW25" s="122" t="e">
        <f ca="1">INDEX(Process_Steps[RV Step Water (kg) per kg API (SOLVENT)],MATCH(Process_Steps[[#This Row],[Steps Sorted by '[RV Step Water (kg) per kg API']]],Process_Steps[Name],0))</f>
        <v>#N/A</v>
      </c>
      <c r="DX25" s="122" t="e">
        <f ca="1">INDEX(Process_Steps[RV Step Water (kg) per kg API (WATER)],MATCH(Process_Steps[[#This Row],[Steps Sorted by '[RV Step Water (kg) per kg API']]],Process_Steps[Name],0))</f>
        <v>#N/A</v>
      </c>
      <c r="DY25" s="122" t="e">
        <f ca="1">INDEX(Process_Steps[RV Step Water (kg) per kg API (ENZ&amp;PLNT)],MATCH(Process_Steps[[#This Row],[Steps Sorted by '[RV Step Water (kg) per kg API']]],Process_Steps[Name],0))</f>
        <v>#N/A</v>
      </c>
      <c r="DZ25" s="122" t="e">
        <f ca="1">INDEX(Process_Steps[RV Step Water (kg) per kg API (OTHER)],MATCH(Process_Steps[[#This Row],[Steps Sorted by '[RV Step Water (kg) per kg API']]],Process_Steps[Name],0))</f>
        <v>#N/A</v>
      </c>
    </row>
    <row r="26" spans="1:130" x14ac:dyDescent="0.25">
      <c r="A26" t="s">
        <v>810</v>
      </c>
      <c r="B26" t="s">
        <v>174</v>
      </c>
      <c r="C26" t="s">
        <v>864</v>
      </c>
      <c r="D26" t="s">
        <v>846</v>
      </c>
      <c r="F26" s="25">
        <f>INDEX(Table_Process_Details[Physical Mass (kg)],MATCH(1,INDEX((Process_Steps[[#This Row],[Name]]=Table_Process_Details[Step Name])*(Table_Process_Details[Input or Output]="Output"),0),0))</f>
        <v>28</v>
      </c>
      <c r="G26" s="25" cm="1">
        <f t="array" aca="1" ref="G26"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1.1200000000000001</v>
      </c>
      <c r="H26" s="28">
        <f ca="1">Process_Steps[[#This Row],[Total Mass that must be produced]]/Process_Steps[[#This Row],[Unscaled Step Product Mass]]</f>
        <v>0.04</v>
      </c>
      <c r="I26" s="23" t="str">
        <f>IF(Process_Steps[[#This Row],[Real or Virtual?]]="Real",Process_Steps[[#This Row],[Name]],NA())</f>
        <v>5) Pure Step</v>
      </c>
      <c r="J26" s="30">
        <f>ROW()-ROW(Process_Steps[[#Headers],[Table Row]])</f>
        <v>20</v>
      </c>
      <c r="K26" s="118">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35.035714285714285</v>
      </c>
      <c r="L26" s="118">
        <f ca="1">IF(Process_Steps[[#This Row],[Real or Virtual?]]="Real",SUMIFS(Table_Process_Details[RV Physical Mass per kg API],Table_Process_Details[Input or Output],"Input",Table_Process_Details[Step Name],Process_Steps[[#This Row],[Name]]),NA())</f>
        <v>37.92</v>
      </c>
      <c r="M26" s="20">
        <f ca="1">IF(Process_Steps[[#This Row],[Real or Virtual?]]="Real",SUMIFS(Table_Process_Details[RV Physical Mass per kg API (REAGENT)],Table_Process_Details[Input or Output],"Input",Table_Process_Details[Step Name],Process_Steps[[#This Row],[Name]]),NA())</f>
        <v>1.9200000000000002</v>
      </c>
      <c r="N26" s="20">
        <f ca="1">IF(Process_Steps[[#This Row],[Real or Virtual?]]="Real",SUMIFS(Table_Process_Details[RV Physical Mass per kg API (METAL)],Table_Process_Details[Input or Output],"Input",Table_Process_Details[Step Name],Process_Steps[[#This Row],[Name]]),NA())</f>
        <v>0</v>
      </c>
      <c r="O26" s="20">
        <f ca="1">IF(Process_Steps[[#This Row],[Real or Virtual?]]="Real",SUMIFS(Table_Process_Details[RV Physical Mass per kg API (SOLVENT)],Table_Process_Details[Input or Output],"Input",Table_Process_Details[Step Name],Process_Steps[[#This Row],[Name]]),NA())</f>
        <v>36</v>
      </c>
      <c r="P26" s="20">
        <f ca="1">IF(Process_Steps[[#This Row],[Real or Virtual?]]="Real",SUMIFS(Table_Process_Details[RV Physical Mass per kg API (WATER)],Table_Process_Details[Input or Output],"Input",Table_Process_Details[Step Name],Process_Steps[[#This Row],[Name]]),NA())</f>
        <v>0</v>
      </c>
      <c r="Q26" s="20">
        <f ca="1">IF(Process_Steps[[#This Row],[Real or Virtual?]]="Real",SUMIFS(Table_Process_Details[RV Physical Mass per kg API (ENZ&amp;PLNT)],Table_Process_Details[Input or Output],"Input",Table_Process_Details[Step Name],Process_Steps[[#This Row],[Name]]),NA())</f>
        <v>0</v>
      </c>
      <c r="R26" s="20">
        <f ca="1">IF(Process_Steps[[#This Row],[Real or Virtual?]]="Real",SUMIFS(Table_Process_Details[RV Physical Mass per kg API (OTHER)],Table_Process_Details[Input or Output],"Input",Table_Process_Details[Step Name],Process_Steps[[#This Row],[Name]]),NA())</f>
        <v>0</v>
      </c>
      <c r="S26" s="118" t="e">
        <f ca="1">INDEX(Process_Steps[Name if Real],MATCH(Process_Steps[[#This Row],['[RV Step PMI per kg API'] of Each Step Sorted by '[RV Step PMI per kg API']]],Process_Steps[RV Step PMI per kg API],0))</f>
        <v>#N/A</v>
      </c>
      <c r="T26" s="118" t="e" cm="1">
        <f t="array" aca="1" ref="T26" ca="1">IF(LARGE(_xlfn.IFNA(Process_Steps[RV Step PMI per kg API],0),Process_Steps[[#This Row],[Table Row]])=0,NA(),LARGE(_xlfn.IFNA(Process_Steps[RV Step PMI per kg API],0),Process_Steps[[#This Row],[Table Row]]))</f>
        <v>#N/A</v>
      </c>
      <c r="U26" s="118" t="e">
        <f ca="1">SUM(OFFSET(Process_Steps['[RV Step PMI per kg API'] of Each Step Sorted by '[RV Step PMI per kg API']],0,0,Process_Steps[[#This Row],[Table Row]]))</f>
        <v>#N/A</v>
      </c>
      <c r="V26" s="118" t="e">
        <f ca="1">"("&amp;TEXT(Process_Steps[[#This Row],['[RV Step PMI per kg API'] of Each Step Sorted by '[RV Step PMI per kg API']]]/SUMIF(Process_Steps['[RV Step PMI per kg API'] of Each Step Sorted by '[RV Step PMI per kg API']],"&lt;&gt;#N/A"),"0%")&amp;")"</f>
        <v>#N/A</v>
      </c>
      <c r="W26" s="23" t="e">
        <f ca="1">INDEX(Process_Steps[RV Step PMI per kg API (REAGENT)],MATCH(Process_Steps[[#This Row],[Steps Sorted by '[RV Step PMI per kg API']]],Process_Steps[Name],0))</f>
        <v>#N/A</v>
      </c>
      <c r="X26" s="23" t="e">
        <f ca="1">INDEX(Process_Steps[RV Step PMI per kg API (METAL)],MATCH(Process_Steps[[#This Row],[Steps Sorted by '[RV Step PMI per kg API']]],Process_Steps[Name],0))</f>
        <v>#N/A</v>
      </c>
      <c r="Y26" s="23" t="e">
        <f ca="1">INDEX(Process_Steps[RV Step PMI per kg API (SOLVENT)],MATCH(Process_Steps[[#This Row],[Steps Sorted by '[RV Step PMI per kg API']]],Process_Steps[Name],0))</f>
        <v>#N/A</v>
      </c>
      <c r="Z26" s="23" t="e">
        <f ca="1">INDEX(Process_Steps[RV Step PMI per kg API (WATER)],MATCH(Process_Steps[[#This Row],[Steps Sorted by '[RV Step PMI per kg API']]],Process_Steps[Name],0))</f>
        <v>#N/A</v>
      </c>
      <c r="AA26" s="23" t="e">
        <f ca="1">INDEX(Process_Steps[RV Step PMI per kg API (ENZ&amp;PLNT)],MATCH(Process_Steps[[#This Row],[Steps Sorted by '[RV Step PMI per kg API']]],Process_Steps[Name],0))</f>
        <v>#N/A</v>
      </c>
      <c r="AB26" s="23" t="e">
        <f ca="1">INDEX(Process_Steps[RV Step PMI per kg API (OTHER)],MATCH(Process_Steps[[#This Row],[Steps Sorted by '[RV Step PMI per kg API']]],Process_Steps[Name],0))</f>
        <v>#N/A</v>
      </c>
      <c r="AC26" s="118">
        <f ca="1">IF(Process_Steps[[#This Row],[Real or Virtual?]]="Real",SUMIFS(Table_Process_Details[RV Mass Net (kg) per kg API],Table_Process_Details[Step Name],Process_Steps[[#This Row],[Name]]),NA())</f>
        <v>44.068430609445159</v>
      </c>
      <c r="AD26" s="20">
        <f ca="1">IF(Process_Steps[[#This Row],[Real or Virtual?]]="Real",SUMIFS(Table_Process_Details[RV Mass Net (kg) per kg API (REAGENT)],Table_Process_Details[Step Name],Process_Steps[[#This Row],[Name]]),NA())</f>
        <v>4.0053519694451616</v>
      </c>
      <c r="AE26" s="20">
        <f ca="1">IF(Process_Steps[[#This Row],[Real or Virtual?]]="Real",SUMIFS(Table_Process_Details[RV Mass Net (kg) per kg API (METAL)],Table_Process_Details[Step Name],Process_Steps[[#This Row],[Name]]),NA())</f>
        <v>0</v>
      </c>
      <c r="AF26" s="20">
        <f ca="1">IF(Process_Steps[[#This Row],[Real or Virtual?]]="Real",SUMIFS(Table_Process_Details[RV Mass Net (kg) per kg API (SOLVENT)],Table_Process_Details[Step Name],Process_Steps[[#This Row],[Name]]),NA())</f>
        <v>40.063078640000001</v>
      </c>
      <c r="AG26" s="20">
        <f ca="1">IF(Process_Steps[[#This Row],[Real or Virtual?]]="Real",SUMIFS(Table_Process_Details[RV Mass Net (kg) per kg API (WATER)],Table_Process_Details[Step Name],Process_Steps[[#This Row],[Name]]),NA())</f>
        <v>0</v>
      </c>
      <c r="AH26" s="20">
        <f ca="1">IF(Process_Steps[[#This Row],[Real or Virtual?]]="Real",SUMIFS(Table_Process_Details[RV Mass Net (kg) per kg API (ENZ&amp;PLNT)],Table_Process_Details[Step Name],Process_Steps[[#This Row],[Name]]),NA())</f>
        <v>0</v>
      </c>
      <c r="AI26" s="20">
        <f ca="1">IF(Process_Steps[[#This Row],[Real or Virtual?]]="Real",SUMIFS(Table_Process_Details[RV Mass Net (kg) per kg API (OTHER)],Table_Process_Details[Step Name],Process_Steps[[#This Row],[Name]]),NA())</f>
        <v>0</v>
      </c>
      <c r="AJ26" s="23" t="e">
        <f ca="1">INDEX(Process_Steps[Name if Real],MATCH(Process_Steps[[#This Row],['[RV Step Mass Net (kg) per kg API'] of Each Step Sorted by '[RV Step Mass Net (kg) per kg API']]],Process_Steps[RV Step Mass Net (kg) per kg API],0))</f>
        <v>#N/A</v>
      </c>
      <c r="AK26" s="23" t="e" cm="1">
        <f t="array" aca="1" ref="AK26" ca="1">IF(LARGE(_xlfn.IFNA(Process_Steps[RV Step Mass Net (kg) per kg API],0),Process_Steps[[#This Row],[Table Row]])=0,NA(),LARGE(_xlfn.IFNA(Process_Steps[RV Step Mass Net (kg) per kg API],0),Process_Steps[[#This Row],[Table Row]]))</f>
        <v>#N/A</v>
      </c>
      <c r="AL26" s="23" t="e">
        <f ca="1">SUM(OFFSET(Process_Steps['[RV Step Mass Net (kg) per kg API'] of Each Step Sorted by '[RV Step Mass Net (kg) per kg API']],0,0,Process_Steps[[#This Row],[Table Row]]))</f>
        <v>#N/A</v>
      </c>
      <c r="AM26" s="23" t="e">
        <f ca="1">"("&amp;TEXT(Process_Steps[[#This Row],['[RV Step Mass Net (kg) per kg API'] of Each Step Sorted by '[RV Step Mass Net (kg) per kg API']]]/SUMIF(Process_Steps['[RV Step Mass Net (kg) per kg API'] of Each Step Sorted by '[RV Step Mass Net (kg) per kg API']],"&lt;&gt;#N/A"),"0%")&amp;")"</f>
        <v>#N/A</v>
      </c>
      <c r="AN26" s="23" t="e">
        <f ca="1">INDEX(Process_Steps[RV Step Mass Net (kg) per kg API (REAGENT)],MATCH(Process_Steps[[#This Row],[Steps Sorted by '[RV Step Mass Net (kg) per kg API']]],Process_Steps[Name],0))</f>
        <v>#N/A</v>
      </c>
      <c r="AO26" s="23" t="e">
        <f ca="1">INDEX(Process_Steps[RV Step Mass Net (kg) per kg API (METAL)],MATCH(Process_Steps[[#This Row],[Steps Sorted by '[RV Step Mass Net (kg) per kg API']]],Process_Steps[Name],0))</f>
        <v>#N/A</v>
      </c>
      <c r="AP26" s="23" t="e">
        <f ca="1">INDEX(Process_Steps[RV Step Mass Net (kg) per kg API (SOLVENT)],MATCH(Process_Steps[[#This Row],[Steps Sorted by '[RV Step Mass Net (kg) per kg API']]],Process_Steps[Name],0))</f>
        <v>#N/A</v>
      </c>
      <c r="AQ26" s="23" t="e">
        <f ca="1">INDEX(Process_Steps[RV Step Mass Net (kg) per kg API (WATER)],MATCH(Process_Steps[[#This Row],[Steps Sorted by '[RV Step Mass Net (kg) per kg API']]],Process_Steps[Name],0))</f>
        <v>#N/A</v>
      </c>
      <c r="AR26" s="23" t="e">
        <f ca="1">INDEX(Process_Steps[RV Step Mass Net (kg) per kg API (ENZ&amp;PLNT)],MATCH(Process_Steps[[#This Row],[Steps Sorted by '[RV Step Mass Net (kg) per kg API']]],Process_Steps[Name],0))</f>
        <v>#N/A</v>
      </c>
      <c r="AS26" s="23" t="e">
        <f ca="1">INDEX(Process_Steps[RV Step Mass Net (kg) per kg API (OTHER)],MATCH(Process_Steps[[#This Row],[Steps Sorted by '[RV Step Mass Net (kg) per kg API']]],Process_Steps[Name],0))</f>
        <v>#N/A</v>
      </c>
      <c r="AT26" s="118">
        <f ca="1">IF(Process_Steps[[#This Row],[Real or Virtual?]]="Real",SUMIFS(Table_Process_Details[RV Energy (MJ) per kg API],Table_Process_Details[Step Name],Process_Steps[[#This Row],[Name]]),NA())</f>
        <v>1999.5910381367742</v>
      </c>
      <c r="AU26" s="20">
        <f ca="1">IF(Process_Steps[[#This Row],[Real or Virtual?]]="Real",SUMIFS(Table_Process_Details[RV Energy (MJ) per kg API (REAGENT)],Table_Process_Details[Step Name],Process_Steps[[#This Row],[Name]]),NA())</f>
        <v>143.74519413677422</v>
      </c>
      <c r="AV26" s="20">
        <f ca="1">IF(Process_Steps[[#This Row],[Real or Virtual?]]="Real",SUMIFS(Table_Process_Details[RV Energy (MJ) per kg API (METAL)],Table_Process_Details[Step Name],Process_Steps[[#This Row],[Name]]),NA())</f>
        <v>0</v>
      </c>
      <c r="AW26" s="20">
        <f ca="1">IF(Process_Steps[[#This Row],[Real or Virtual?]]="Real",SUMIFS(Table_Process_Details[RV Energy (MJ) per kg API (SOLVENT)],Table_Process_Details[Step Name],Process_Steps[[#This Row],[Name]]),NA())</f>
        <v>1855.8458439999999</v>
      </c>
      <c r="AX26" s="20">
        <f ca="1">IF(Process_Steps[[#This Row],[Real or Virtual?]]="Real",SUMIFS(Table_Process_Details[RV Energy (MJ) per kg API (WATER)],Table_Process_Details[Step Name],Process_Steps[[#This Row],[Name]]),NA())</f>
        <v>0</v>
      </c>
      <c r="AY26" s="20">
        <f ca="1">IF(Process_Steps[[#This Row],[Real or Virtual?]]="Real",SUMIFS(Table_Process_Details[RV Energy (MJ) per kg API (ENZ&amp;PLNT)],Table_Process_Details[Step Name],Process_Steps[[#This Row],[Name]]),NA())</f>
        <v>0</v>
      </c>
      <c r="AZ26" s="20">
        <f ca="1">IF(Process_Steps[[#This Row],[Real or Virtual?]]="Real",SUMIFS(Table_Process_Details[RV Energy (MJ) per kg API (OTHER)],Table_Process_Details[Step Name],Process_Steps[[#This Row],[Name]]),NA())</f>
        <v>0</v>
      </c>
      <c r="BA26" s="23" t="e">
        <f ca="1">INDEX(Process_Steps[Name if Real],MATCH(Process_Steps[[#This Row],['[RV Step Energy (MJ) per kg API'] of Each Step Sorted by '[RV Step Energy (MJ) per kg API']]],Process_Steps[RV Step Energy (MJ) per kg API],0))</f>
        <v>#N/A</v>
      </c>
      <c r="BB26" s="23" t="e" cm="1">
        <f t="array" aca="1" ref="BB26" ca="1">IF(LARGE(_xlfn.IFNA(Process_Steps[RV Step Energy (MJ) per kg API],0),Process_Steps[[#This Row],[Table Row]])=0,NA(),LARGE(_xlfn.IFNA(Process_Steps[RV Step Energy (MJ) per kg API],0),Process_Steps[[#This Row],[Table Row]]))</f>
        <v>#N/A</v>
      </c>
      <c r="BC26" s="23" t="e">
        <f ca="1">SUM(OFFSET(Process_Steps['[RV Step Energy (MJ) per kg API'] of Each Step Sorted by '[RV Step Energy (MJ) per kg API']],0,0,Process_Steps[[#This Row],[Table Row]]))</f>
        <v>#N/A</v>
      </c>
      <c r="BD26" s="23" t="e">
        <f ca="1">"("&amp;TEXT(Process_Steps[[#This Row],['[RV Step Energy (MJ) per kg API'] of Each Step Sorted by '[RV Step Energy (MJ) per kg API']]]/SUMIF(Process_Steps['[RV Step Energy (MJ) per kg API'] of Each Step Sorted by '[RV Step Energy (MJ) per kg API']],"&lt;&gt;#N/A"),"0%")&amp;")"</f>
        <v>#N/A</v>
      </c>
      <c r="BE26" s="23" t="e">
        <f ca="1">INDEX(Process_Steps[RV Step Energy (MJ) per kg API (REAGENT)],MATCH(Process_Steps[[#This Row],[Steps Sorted by '[RV Step Energy (MJ) per kg API']]],Process_Steps[Name],0))</f>
        <v>#N/A</v>
      </c>
      <c r="BF26" s="23" t="e">
        <f ca="1">INDEX(Process_Steps[RV Step Energy (MJ) per kg API (METAL)],MATCH(Process_Steps[[#This Row],[Steps Sorted by '[RV Step Energy (MJ) per kg API']]],Process_Steps[Name],0))</f>
        <v>#N/A</v>
      </c>
      <c r="BG26" s="23" t="e">
        <f ca="1">INDEX(Process_Steps[RV Step Energy (MJ) per kg API (SOLVENT)],MATCH(Process_Steps[[#This Row],[Steps Sorted by '[RV Step Energy (MJ) per kg API']]],Process_Steps[Name],0))</f>
        <v>#N/A</v>
      </c>
      <c r="BH26" s="23" t="e">
        <f ca="1">INDEX(Process_Steps[RV Step Energy (MJ) per kg API (WATER)],MATCH(Process_Steps[[#This Row],[Steps Sorted by '[RV Step Energy (MJ) per kg API']]],Process_Steps[Name],0))</f>
        <v>#N/A</v>
      </c>
      <c r="BI26" s="23" t="e">
        <f ca="1">INDEX(Process_Steps[RV Step Energy (MJ) per kg API (ENZ&amp;PLNT)],MATCH(Process_Steps[[#This Row],[Steps Sorted by '[RV Step Energy (MJ) per kg API']]],Process_Steps[Name],0))</f>
        <v>#N/A</v>
      </c>
      <c r="BJ26" s="23" t="e">
        <f ca="1">INDEX(Process_Steps[RV Step Energy (MJ) per kg API (OTHER)],MATCH(Process_Steps[[#This Row],[Steps Sorted by '[RV Step Energy (MJ) per kg API']]],Process_Steps[Name],0))</f>
        <v>#N/A</v>
      </c>
      <c r="BK26" s="118">
        <f ca="1">IF(Process_Steps[[#This Row],[Real or Virtual?]]="Real",SUMIFS(Table_Process_Details[RV GWP (kg CO2 equiv.) per kg API],Table_Process_Details[Step Name],Process_Steps[[#This Row],[Name]]),NA())</f>
        <v>53.909326907148383</v>
      </c>
      <c r="BL26" s="20">
        <f ca="1">IF(Process_Steps[[#This Row],[Real or Virtual?]]="Real",SUMIFS(Table_Process_Details[RV GWP (kg CO2 equiv.) per kg API (REAGENT)],Table_Process_Details[Step Name],Process_Steps[[#This Row],[Name]]),NA())</f>
        <v>5.038854827148386</v>
      </c>
      <c r="BM26" s="20">
        <f ca="1">IF(Process_Steps[[#This Row],[Real or Virtual?]]="Real",SUMIFS(Table_Process_Details[RV GWP (kg CO2 equiv.) per kg API (METAL)],Table_Process_Details[Step Name],Process_Steps[[#This Row],[Name]]),NA())</f>
        <v>0</v>
      </c>
      <c r="BN26" s="20">
        <f ca="1">IF(Process_Steps[[#This Row],[Real or Virtual?]]="Real",SUMIFS(Table_Process_Details[RV GWP (kg CO2 equiv.) per kg API (SOLVENT)],Table_Process_Details[Step Name],Process_Steps[[#This Row],[Name]]),NA())</f>
        <v>48.870472079999999</v>
      </c>
      <c r="BO26" s="20">
        <f ca="1">IF(Process_Steps[[#This Row],[Real or Virtual?]]="Real",SUMIFS(Table_Process_Details[RV GWP (kg CO2 equiv.) per kg API (WATER)],Table_Process_Details[Step Name],Process_Steps[[#This Row],[Name]]),NA())</f>
        <v>0</v>
      </c>
      <c r="BP26" s="20">
        <f ca="1">IF(Process_Steps[[#This Row],[Real or Virtual?]]="Real",SUMIFS(Table_Process_Details[RV GWP (kg CO2 equiv.) per kg API (ENZ&amp;PLNT)],Table_Process_Details[Step Name],Process_Steps[[#This Row],[Name]]),NA())</f>
        <v>0</v>
      </c>
      <c r="BQ26" s="20">
        <f ca="1">IF(Process_Steps[[#This Row],[Real or Virtual?]]="Real",SUMIFS(Table_Process_Details[RV GWP (kg CO2 equiv.) per kg API (OTHER)],Table_Process_Details[Step Name],Process_Steps[[#This Row],[Name]]),NA())</f>
        <v>0</v>
      </c>
      <c r="BR26" s="23" t="e">
        <f ca="1">INDEX(Process_Steps[Name if Real],MATCH(Process_Steps[[#This Row],['[RV Step GWP (kg CO2 equiv.) per kg API'] of Each Step Sorted by '[RV Step GWP (kg CO2 equiv.) per kg API']]],Process_Steps[RV Step GWP (kg CO2 equiv.) per kg API],0))</f>
        <v>#N/A</v>
      </c>
      <c r="BS26" s="23" t="e" cm="1">
        <f t="array" aca="1" ref="BS26" ca="1">IF(LARGE(_xlfn.IFNA(Process_Steps[RV Step GWP (kg CO2 equiv.) per kg API],0),Process_Steps[[#This Row],[Table Row]])=0,NA(),LARGE(_xlfn.IFNA(Process_Steps[RV Step GWP (kg CO2 equiv.) per kg API],0),Process_Steps[[#This Row],[Table Row]]))</f>
        <v>#N/A</v>
      </c>
      <c r="BT26" s="23" t="e">
        <f ca="1">SUM(OFFSET(Process_Steps['[RV Step GWP (kg CO2 equiv.) per kg API'] of Each Step Sorted by '[RV Step GWP (kg CO2 equiv.) per kg API']],0,0,Process_Steps[[#This Row],[Table Row]]))</f>
        <v>#N/A</v>
      </c>
      <c r="BU26" s="23" t="e">
        <f ca="1">"("&amp;TEXT(Process_Steps[[#This Row],['[RV Step GWP (kg CO2 equiv.) per kg API'] of Each Step Sorted by '[RV Step GWP (kg CO2 equiv.) per kg API']]]/SUMIF(Process_Steps['[RV Step GWP (kg CO2 equiv.) per kg API'] of Each Step Sorted by '[RV Step GWP (kg CO2 equiv.) per kg API']],"&lt;&gt;#N/A"),"0%")&amp;")"</f>
        <v>#N/A</v>
      </c>
      <c r="BV26" s="23" t="e">
        <f ca="1">INDEX(Process_Steps[RV Step GWP (kg CO2 equiv.) per kg API (REAGENT)],MATCH(Process_Steps[[#This Row],[Steps Sorted by '[RV Step GWP (kg CO2 equiv.) per kg API']]],Process_Steps[Name],0))</f>
        <v>#N/A</v>
      </c>
      <c r="BW26" s="23" t="e">
        <f ca="1">INDEX(Process_Steps[RV Step GWP (kg CO2 equiv.) per kg API (METAL)],MATCH(Process_Steps[[#This Row],[Steps Sorted by '[RV Step GWP (kg CO2 equiv.) per kg API']]],Process_Steps[Name],0))</f>
        <v>#N/A</v>
      </c>
      <c r="BX26" s="23" t="e">
        <f ca="1">INDEX(Process_Steps[RV Step GWP (kg CO2 equiv.) per kg API (SOLVENT)],MATCH(Process_Steps[[#This Row],[Steps Sorted by '[RV Step GWP (kg CO2 equiv.) per kg API']]],Process_Steps[Name],0))</f>
        <v>#N/A</v>
      </c>
      <c r="BY26" s="23" t="e">
        <f ca="1">INDEX(Process_Steps[RV Step GWP (kg CO2 equiv.) per kg API (WATER)],MATCH(Process_Steps[[#This Row],[Steps Sorted by '[RV Step GWP (kg CO2 equiv.) per kg API']]],Process_Steps[Name],0))</f>
        <v>#N/A</v>
      </c>
      <c r="BZ26" s="23" t="e">
        <f ca="1">INDEX(Process_Steps[RV Step GWP (kg CO2 equiv.) per kg API (ENZ&amp;PLNT)],MATCH(Process_Steps[[#This Row],[Steps Sorted by '[RV Step GWP (kg CO2 equiv.) per kg API']]],Process_Steps[Name],0))</f>
        <v>#N/A</v>
      </c>
      <c r="CA26" s="23" t="e">
        <f ca="1">INDEX(Process_Steps[RV Step GWP (kg CO2 equiv.) per kg API (OTHER)],MATCH(Process_Steps[[#This Row],[Steps Sorted by '[RV Step GWP (kg CO2 equiv.) per kg API']]],Process_Steps[Name],0))</f>
        <v>#N/A</v>
      </c>
      <c r="CB26" s="118">
        <f ca="1">IF(Process_Steps[[#This Row],[Real or Virtual?]]="Real",SUMIFS(Table_Process_Details[RV Acidification (kg SO2 equiv.) per kg API],Table_Process_Details[Step Name],Process_Steps[[#This Row],[Name]]),NA())</f>
        <v>0.19639608718761289</v>
      </c>
      <c r="CC26" s="20">
        <f ca="1">IF(Process_Steps[[#This Row],[Real or Virtual?]]="Real",SUMIFS(Table_Process_Details[RV Acidification (kg SO2 equiv.) per kg API (REAGENT)],Table_Process_Details[Step Name],Process_Steps[[#This Row],[Name]]),NA())</f>
        <v>2.1548378387612907E-2</v>
      </c>
      <c r="CD26" s="20">
        <f ca="1">IF(Process_Steps[[#This Row],[Real or Virtual?]]="Real",SUMIFS(Table_Process_Details[RV Acidification (kg SO2 equiv.) per kg API (METAL)],Table_Process_Details[Step Name],Process_Steps[[#This Row],[Name]]),NA())</f>
        <v>0</v>
      </c>
      <c r="CE26" s="20">
        <f ca="1">IF(Process_Steps[[#This Row],[Real or Virtual?]]="Real",SUMIFS(Table_Process_Details[RV Acidification (kg SO2 equiv.) per kg API (SOLVENT)],Table_Process_Details[Step Name],Process_Steps[[#This Row],[Name]]),NA())</f>
        <v>0.1748477088</v>
      </c>
      <c r="CF26" s="20">
        <f ca="1">IF(Process_Steps[[#This Row],[Real or Virtual?]]="Real",SUMIFS(Table_Process_Details[RV Acidification (kg SO2 equiv.) per kg API (WATER)],Table_Process_Details[Step Name],Process_Steps[[#This Row],[Name]]),NA())</f>
        <v>0</v>
      </c>
      <c r="CG26" s="20">
        <f ca="1">IF(Process_Steps[[#This Row],[Real or Virtual?]]="Real",SUMIFS(Table_Process_Details[RV Acidification (kg SO2 equiv.) per kg API (ENZ&amp;PLNT)],Table_Process_Details[Step Name],Process_Steps[[#This Row],[Name]]),NA())</f>
        <v>0</v>
      </c>
      <c r="CH26" s="20">
        <f ca="1">IF(Process_Steps[[#This Row],[Real or Virtual?]]="Real",SUMIFS(Table_Process_Details[RV Acidification (kg SO2 equiv.) per kg API (OTHER)],Table_Process_Details[Step Name],Process_Steps[[#This Row],[Name]]),NA())</f>
        <v>0</v>
      </c>
      <c r="CI26" s="23" t="e">
        <f ca="1">INDEX(Process_Steps[Name if Real],MATCH(Process_Steps[[#This Row],['[RV Step Acidification (kg SO2 equiv.) per kg API'] of Each Step Sorted by '[RV Step Acidification (kg SO2 equiv.) per kg API']]],Process_Steps[RV Step Acidification (kg SO2 equiv.) per kg API],0))</f>
        <v>#N/A</v>
      </c>
      <c r="CJ26" s="23" t="e" cm="1">
        <f t="array" aca="1" ref="CJ26" ca="1">IF(LARGE(_xlfn.IFNA(Process_Steps[RV Step Acidification (kg SO2 equiv.) per kg API],0),Process_Steps[[#This Row],[Table Row]])=0,NA(),LARGE(_xlfn.IFNA(Process_Steps[RV Step Acidification (kg SO2 equiv.) per kg API],0),Process_Steps[[#This Row],[Table Row]]))</f>
        <v>#N/A</v>
      </c>
      <c r="CK26" s="23" t="e">
        <f ca="1">SUM(OFFSET(Process_Steps['[RV Step Acidification (kg SO2 equiv.) per kg API'] of Each Step Sorted by '[RV Step Acidification (kg SO2 equiv.) per kg API']],0,0,Process_Steps[[#This Row],[Table Row]]))</f>
        <v>#N/A</v>
      </c>
      <c r="CL26" s="23"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6" s="23" t="e">
        <f ca="1">INDEX(Process_Steps[RV Step Acidification (kg SO2 equiv.) per kg API (REAGENT)],MATCH(Process_Steps[[#This Row],[Steps Sorted by '[RV Step Acidification (kg SO2 equiv.) per kg API']]],Process_Steps[Name],0))</f>
        <v>#N/A</v>
      </c>
      <c r="CN26" s="23" t="e">
        <f ca="1">INDEX(Process_Steps[RV Step Acidification (kg SO2 equiv.) per kg API (METAL)],MATCH(Process_Steps[[#This Row],[Steps Sorted by '[RV Step Acidification (kg SO2 equiv.) per kg API']]],Process_Steps[Name],0))</f>
        <v>#N/A</v>
      </c>
      <c r="CO26" s="23" t="e">
        <f ca="1">INDEX(Process_Steps[RV Step Acidification (kg SO2 equiv.) per kg API (SOLVENT)],MATCH(Process_Steps[[#This Row],[Steps Sorted by '[RV Step Acidification (kg SO2 equiv.) per kg API']]],Process_Steps[Name],0))</f>
        <v>#N/A</v>
      </c>
      <c r="CP26" s="23" t="e">
        <f ca="1">INDEX(Process_Steps[RV Step Acidification (kg SO2 equiv.) per kg API (WATER)],MATCH(Process_Steps[[#This Row],[Steps Sorted by '[RV Step Acidification (kg SO2 equiv.) per kg API']]],Process_Steps[Name],0))</f>
        <v>#N/A</v>
      </c>
      <c r="CQ26" s="23" t="e">
        <f ca="1">INDEX(Process_Steps[RV Step Acidification (kg SO2 equiv.) per kg API (ENZ&amp;PLNT)],MATCH(Process_Steps[[#This Row],[Steps Sorted by '[RV Step Acidification (kg SO2 equiv.) per kg API']]],Process_Steps[Name],0))</f>
        <v>#N/A</v>
      </c>
      <c r="CR26" s="23" t="e">
        <f ca="1">INDEX(Process_Steps[RV Step Acidification (kg SO2 equiv.) per kg API (OTHER)],MATCH(Process_Steps[[#This Row],[Steps Sorted by '[RV Step Acidification (kg SO2 equiv.) per kg API']]],Process_Steps[Name],0))</f>
        <v>#N/A</v>
      </c>
      <c r="CS26" s="118">
        <f ca="1">IF(Process_Steps[[#This Row],[Real or Virtual?]]="Real",SUMIFS(Table_Process_Details[RV Eutrophication (kg phosphate equiv.) per kg API],Table_Process_Details[Step Name],Process_Steps[[#This Row],[Name]]),NA())</f>
        <v>0.10820833759535484</v>
      </c>
      <c r="CT26" s="20">
        <f ca="1">IF(Process_Steps[[#This Row],[Real or Virtual?]]="Real",SUMIFS(Table_Process_Details[RV Eutrophication (kg phosphate equiv.) per kg API (REAGENT)],Table_Process_Details[Step Name],Process_Steps[[#This Row],[Name]]),NA())</f>
        <v>1.7253990955354841E-2</v>
      </c>
      <c r="CU26" s="20">
        <f ca="1">IF(Process_Steps[[#This Row],[Real or Virtual?]]="Real",SUMIFS(Table_Process_Details[RV Eutrophication (kg phosphate equiv.) per kg API (METAL)],Table_Process_Details[Step Name],Process_Steps[[#This Row],[Name]]),NA())</f>
        <v>0</v>
      </c>
      <c r="CV26" s="20">
        <f ca="1">IF(Process_Steps[[#This Row],[Real or Virtual?]]="Real",SUMIFS(Table_Process_Details[RV Eutrophication (kg phosphate equiv.) per kg API (SOLVENT)],Table_Process_Details[Step Name],Process_Steps[[#This Row],[Name]]),NA())</f>
        <v>9.0954346640000003E-2</v>
      </c>
      <c r="CW26" s="20">
        <f ca="1">IF(Process_Steps[[#This Row],[Real or Virtual?]]="Real",SUMIFS(Table_Process_Details[RV Eutrophication (kg phosphate equiv.) per kg API (WATER)],Table_Process_Details[Step Name],Process_Steps[[#This Row],[Name]]),NA())</f>
        <v>0</v>
      </c>
      <c r="CX26" s="20">
        <f ca="1">IF(Process_Steps[[#This Row],[Real or Virtual?]]="Real",SUMIFS(Table_Process_Details[RV Eutrophication (kg phosphate equiv.) per kg API (ENZ&amp;PLNT)],Table_Process_Details[Step Name],Process_Steps[[#This Row],[Name]]),NA())</f>
        <v>0</v>
      </c>
      <c r="CY26" s="20">
        <f ca="1">IF(Process_Steps[[#This Row],[Real or Virtual?]]="Real",SUMIFS(Table_Process_Details[RV Eutrophication (kg phosphate equiv.) per kg API (OTHER)],Table_Process_Details[Step Name],Process_Steps[[#This Row],[Name]]),NA())</f>
        <v>0</v>
      </c>
      <c r="CZ26" s="23" t="e">
        <f ca="1">INDEX(Process_Steps[Name if Real],MATCH(Process_Steps[[#This Row],['[RV Step Eutrophication (kg phosphate equiv.) per kg API'] of Each Step Sorted by '[RV Step Eutrophication (kg phosphate equiv.) per kg API']]],Process_Steps[RV Step Eutrophication (kg posphate equiv.) per kg API],0))</f>
        <v>#N/A</v>
      </c>
      <c r="DA26" s="23" t="e" cm="1">
        <f t="array" aca="1" ref="DA26" ca="1">IF(LARGE(_xlfn.IFNA(Process_Steps[RV Step Eutrophication (kg posphate equiv.) per kg API],0),Process_Steps[[#This Row],[Table Row]])=0,NA(),LARGE(_xlfn.IFNA(Process_Steps[RV Step Eutrophication (kg posphate equiv.) per kg API],0),Process_Steps[[#This Row],[Table Row]]))</f>
        <v>#N/A</v>
      </c>
      <c r="DB26" s="23" t="e">
        <f ca="1">SUM(OFFSET(Process_Steps['[RV Step Eutrophication (kg phosphate equiv.) per kg API'] of Each Step Sorted by '[RV Step Eutrophication (kg phosphate equiv.) per kg API']],0,0,Process_Steps[[#This Row],[Table Row]]))</f>
        <v>#N/A</v>
      </c>
      <c r="DC26" s="23"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6" s="23" t="e">
        <f ca="1">INDEX(Process_Steps[RV Step Eutrophication (kg posphate equiv.) per kg API (REAGENT)],MATCH(Process_Steps[[#This Row],[Steps Sorted by '[RV Step Eutrophication (kg phosphate equiv.) per kg API']]],Process_Steps[Name],0))</f>
        <v>#N/A</v>
      </c>
      <c r="DE26" s="23" t="e">
        <f ca="1">INDEX(Process_Steps[RV Step Eutrophication (kg posphate equiv.) per kg API (METAL)],MATCH(Process_Steps[[#This Row],[Steps Sorted by '[RV Step Eutrophication (kg phosphate equiv.) per kg API']]],Process_Steps[Name],0))</f>
        <v>#N/A</v>
      </c>
      <c r="DF26" s="23" t="e">
        <f ca="1">INDEX(Process_Steps[RV Step Eutrophication (kg posphate equiv.) per kg API (SOLVENT)],MATCH(Process_Steps[[#This Row],[Steps Sorted by '[RV Step Eutrophication (kg phosphate equiv.) per kg API']]],Process_Steps[Name],0))</f>
        <v>#N/A</v>
      </c>
      <c r="DG26" s="23" t="e">
        <f ca="1">INDEX(Process_Steps[RV Step Eutrophication (kg posphate equiv.) per kg API (WATER)],MATCH(Process_Steps[[#This Row],[Steps Sorted by '[RV Step Eutrophication (kg phosphate equiv.) per kg API']]],Process_Steps[Name],0))</f>
        <v>#N/A</v>
      </c>
      <c r="DH26" s="23" t="e">
        <f ca="1">INDEX(Process_Steps[RV Step Eutrophication (kg posphate equiv.) per kg API (ENZ&amp;PLNT)],MATCH(Process_Steps[[#This Row],[Steps Sorted by '[RV Step Eutrophication (kg phosphate equiv.) per kg API']]],Process_Steps[Name],0))</f>
        <v>#N/A</v>
      </c>
      <c r="DI26" s="23" t="e">
        <f ca="1">INDEX(Process_Steps[RV Step Eutrophication (kg posphate equiv.) per kg API (OTHER)],MATCH(Process_Steps[[#This Row],[Steps Sorted by '[RV Step Eutrophication (kg phosphate equiv.) per kg API']]],Process_Steps[Name],0))</f>
        <v>#N/A</v>
      </c>
      <c r="DJ26" s="118">
        <f ca="1">IF(Process_Steps[[#This Row],[Real or Virtual?]]="Real",SUMIFS(Table_Process_Details[RV Water (kg) per kg API],Table_Process_Details[Step Name],Process_Steps[[#This Row],[Name]]),NA())</f>
        <v>404.10553286059354</v>
      </c>
      <c r="DK26" s="20">
        <f ca="1">IF(Process_Steps[[#This Row],[Real or Virtual?]]="Real",SUMIFS(Table_Process_Details[RV Water (kg) per kg API (REAGENT)],Table_Process_Details[Step Name],Process_Steps[[#This Row],[Name]]),NA())</f>
        <v>28.21501286059355</v>
      </c>
      <c r="DL26" s="20">
        <f ca="1">IF(Process_Steps[[#This Row],[Real or Virtual?]]="Real",SUMIFS(Table_Process_Details[RV Water (kg) per kg API (METAL)],Table_Process_Details[Step Name],Process_Steps[[#This Row],[Name]]),NA())</f>
        <v>0</v>
      </c>
      <c r="DM26" s="20">
        <f ca="1">IF(Process_Steps[[#This Row],[Real or Virtual?]]="Real",SUMIFS(Table_Process_Details[RV Water (kg) per kg API (SOLVENT)],Table_Process_Details[Step Name],Process_Steps[[#This Row],[Name]]),NA())</f>
        <v>375.89051999999998</v>
      </c>
      <c r="DN26" s="20">
        <f ca="1">IF(Process_Steps[[#This Row],[Real or Virtual?]]="Real",SUMIFS(Table_Process_Details[RV Water (kg) per kg API (WATER)],Table_Process_Details[Step Name],Process_Steps[[#This Row],[Name]]),NA())</f>
        <v>0</v>
      </c>
      <c r="DO26" s="20">
        <f ca="1">IF(Process_Steps[[#This Row],[Real or Virtual?]]="Real",SUMIFS(Table_Process_Details[RV Water (kg) per kg API (ENZ&amp;PLNT)],Table_Process_Details[Step Name],Process_Steps[[#This Row],[Name]]),NA())</f>
        <v>0</v>
      </c>
      <c r="DP26" s="20">
        <f ca="1">IF(Process_Steps[[#This Row],[Real or Virtual?]]="Real",SUMIFS(Table_Process_Details[RV Water (kg) per kg API (OTHER)],Table_Process_Details[Step Name],Process_Steps[[#This Row],[Name]]),NA())</f>
        <v>0</v>
      </c>
      <c r="DQ26" s="23" t="e">
        <f ca="1">INDEX(Process_Steps[Name if Real],MATCH(Process_Steps[[#This Row],['[RV Step Water (kg) per kg API'] of Each Step Sorted by '[RV Step Water (kg) per kg API']]],Process_Steps[RV Step Water (kg) per kg API],0))</f>
        <v>#N/A</v>
      </c>
      <c r="DR26" s="23" t="e" cm="1">
        <f t="array" aca="1" ref="DR26" ca="1">IF(LARGE(_xlfn.IFNA(Process_Steps[RV Step Water (kg) per kg API],0),Process_Steps[[#This Row],[Table Row]])=0,NA(),LARGE(_xlfn.IFNA(Process_Steps[RV Step Water (kg) per kg API],0),Process_Steps[[#This Row],[Table Row]]))</f>
        <v>#N/A</v>
      </c>
      <c r="DS26" s="23" t="e">
        <f ca="1">SUM(OFFSET(Process_Steps['[RV Step Water (kg) per kg API'] of Each Step Sorted by '[RV Step Water (kg) per kg API']],0,0,Process_Steps[[#This Row],[Table Row]]))</f>
        <v>#N/A</v>
      </c>
      <c r="DT26" s="23" t="e">
        <f ca="1">"("&amp;TEXT(Process_Steps[[#This Row],['[RV Step Water (kg) per kg API'] of Each Step Sorted by '[RV Step Water (kg) per kg API']]]/SUMIF(Process_Steps['[RV Step Water (kg) per kg API'] of Each Step Sorted by '[RV Step Water (kg) per kg API']],"&lt;&gt;#N/A"),"0%")&amp;")"</f>
        <v>#N/A</v>
      </c>
      <c r="DU26" s="23" t="e">
        <f ca="1">INDEX(Process_Steps[RV Step Water (kg) per kg API (REAGENT)],MATCH(Process_Steps[[#This Row],[Steps Sorted by '[RV Step Water (kg) per kg API']]],Process_Steps[Name],0))</f>
        <v>#N/A</v>
      </c>
      <c r="DV26" s="23" t="e">
        <f ca="1">INDEX(Process_Steps[RV Step Water (kg) per kg API (METAL)],MATCH(Process_Steps[[#This Row],[Steps Sorted by '[RV Step Water (kg) per kg API']]],Process_Steps[Name],0))</f>
        <v>#N/A</v>
      </c>
      <c r="DW26" s="23" t="e">
        <f ca="1">INDEX(Process_Steps[RV Step Water (kg) per kg API (SOLVENT)],MATCH(Process_Steps[[#This Row],[Steps Sorted by '[RV Step Water (kg) per kg API']]],Process_Steps[Name],0))</f>
        <v>#N/A</v>
      </c>
      <c r="DX26" s="23" t="e">
        <f ca="1">INDEX(Process_Steps[RV Step Water (kg) per kg API (WATER)],MATCH(Process_Steps[[#This Row],[Steps Sorted by '[RV Step Water (kg) per kg API']]],Process_Steps[Name],0))</f>
        <v>#N/A</v>
      </c>
      <c r="DY26" s="23" t="e">
        <f ca="1">INDEX(Process_Steps[RV Step Water (kg) per kg API (ENZ&amp;PLNT)],MATCH(Process_Steps[[#This Row],[Steps Sorted by '[RV Step Water (kg) per kg API']]],Process_Steps[Name],0))</f>
        <v>#N/A</v>
      </c>
      <c r="DZ26" s="23" t="e">
        <f ca="1">INDEX(Process_Steps[RV Step Water (kg) per kg API (OTHER)],MATCH(Process_Steps[[#This Row],[Steps Sorted by '[RV Step Water (kg) per kg API']]],Process_Steps[Name],0))</f>
        <v>#N/A</v>
      </c>
    </row>
    <row r="27" spans="1:130" x14ac:dyDescent="0.25">
      <c r="A27" s="79" t="s">
        <v>556</v>
      </c>
      <c r="B27" s="79" t="s">
        <v>174</v>
      </c>
      <c r="C27" s="79" t="str">
        <f>"Packaged "&amp;INDEX(Process_Steps[Product Display Name],MATCH(1,INDEX((Process_Steps[Name]=INDEX(Table_Process_Details[LCA Data Source Subclass],MATCH(1,INDEX((Table_Process_Details[Step Name]="PACKAGE")*(Table_Process_Details[Input or Output]="Input"),0),0)))*(1),0),0))</f>
        <v>Packaged Fictional API</v>
      </c>
      <c r="D27" s="79" t="s">
        <v>556</v>
      </c>
      <c r="E27" s="79"/>
      <c r="F27" s="80">
        <f>INDEX(Table_Process_Details[Physical Mass (kg)],MATCH(1,INDEX((Process_Steps[[#This Row],[Name]]=Table_Process_Details[Step Name])*(Table_Process_Details[Input or Output]="Output"),0),0))</f>
        <v>1</v>
      </c>
      <c r="G27" s="80">
        <f t="array" aca="1" ref="G27" ca="1">_xlfn.SWITCH(Run_Reset_Recycle_Iteration,"Reset",Process_Steps[[#This Row],[Unscaled Step Product Mass]],"Run",IF(Process_Steps[[#This Row],[Name]]="PACKAGE",1,SUMPRODUCT(IFERROR(MATCH(Table_Process_Details[LCA Data Source Subclass],Process_Steps[[#This Row],[Name]],0),0),Table_Process_Details[Physical Mass (kg)],Table_Process_Details[Step Scale Factor for 1kg Packaged API])),"Freeze",Process_Steps[[#This Row],[Total Mass that must be produced]])</f>
        <v>1</v>
      </c>
      <c r="H27" s="81">
        <f ca="1">Process_Steps[[#This Row],[Total Mass that must be produced]]/Process_Steps[[#This Row],[Unscaled Step Product Mass]]</f>
        <v>1</v>
      </c>
      <c r="I27" s="82" t="str">
        <f>IF(Process_Steps[[#This Row],[Real or Virtual?]]="Real",Process_Steps[[#This Row],[Name]],NA())</f>
        <v>PACKAGE</v>
      </c>
      <c r="J27" s="83">
        <f>ROW()-ROW(Process_Steps[[#Headers],[Table Row]])</f>
        <v>21</v>
      </c>
      <c r="K27" s="84">
        <f>IF(Process_Steps[[#This Row],[Real or Virtual?]]="Real",SUMIFS(Table_Process_Details[Physical Mass (kg)],Table_Process_Details[Input or Output],"Input",Table_Process_Details[Step Name],Process_Steps[[#This Row],[Name]])/SUMIFS(Table_Process_Details[Physical Mass (kg)],Table_Process_Details[Input or Output],"Output",Table_Process_Details[Step Name],Process_Steps[[#This Row],[Name]]),NA())</f>
        <v>1</v>
      </c>
      <c r="L27" s="84">
        <f ca="1">IF(Process_Steps[[#This Row],[Real or Virtual?]]="Real",SUMIFS(Table_Process_Details[RV Physical Mass per kg API],Table_Process_Details[Input or Output],"Input",Table_Process_Details[Step Name],Process_Steps[[#This Row],[Name]]),NA())</f>
        <v>0</v>
      </c>
      <c r="M27" s="85">
        <f ca="1">IF(Process_Steps[[#This Row],[Real or Virtual?]]="Real",SUMIFS(Table_Process_Details[RV Physical Mass per kg API (REAGENT)],Table_Process_Details[Input or Output],"Input",Table_Process_Details[Step Name],Process_Steps[[#This Row],[Name]]),NA())</f>
        <v>0</v>
      </c>
      <c r="N27" s="85">
        <f ca="1">IF(Process_Steps[[#This Row],[Real or Virtual?]]="Real",SUMIFS(Table_Process_Details[RV Physical Mass per kg API (METAL)],Table_Process_Details[Input or Output],"Input",Table_Process_Details[Step Name],Process_Steps[[#This Row],[Name]]),NA())</f>
        <v>0</v>
      </c>
      <c r="O27" s="85">
        <f ca="1">IF(Process_Steps[[#This Row],[Real or Virtual?]]="Real",SUMIFS(Table_Process_Details[RV Physical Mass per kg API (SOLVENT)],Table_Process_Details[Input or Output],"Input",Table_Process_Details[Step Name],Process_Steps[[#This Row],[Name]]),NA())</f>
        <v>0</v>
      </c>
      <c r="P27" s="85">
        <f ca="1">IF(Process_Steps[[#This Row],[Real or Virtual?]]="Real",SUMIFS(Table_Process_Details[RV Physical Mass per kg API (WATER)],Table_Process_Details[Input or Output],"Input",Table_Process_Details[Step Name],Process_Steps[[#This Row],[Name]]),NA())</f>
        <v>0</v>
      </c>
      <c r="Q27" s="85">
        <f ca="1">IF(Process_Steps[[#This Row],[Real or Virtual?]]="Real",SUMIFS(Table_Process_Details[RV Physical Mass per kg API (ENZ&amp;PLNT)],Table_Process_Details[Input or Output],"Input",Table_Process_Details[Step Name],Process_Steps[[#This Row],[Name]]),NA())</f>
        <v>0</v>
      </c>
      <c r="R27" s="85">
        <f ca="1">IF(Process_Steps[[#This Row],[Real or Virtual?]]="Real",SUMIFS(Table_Process_Details[RV Physical Mass per kg API (OTHER)],Table_Process_Details[Input or Output],"Input",Table_Process_Details[Step Name],Process_Steps[[#This Row],[Name]]),NA())</f>
        <v>0</v>
      </c>
      <c r="S27" s="84" t="e">
        <f ca="1">INDEX(Process_Steps[Name if Real],MATCH(Process_Steps[[#This Row],['[RV Step PMI per kg API'] of Each Step Sorted by '[RV Step PMI per kg API']]],Process_Steps[RV Step PMI per kg API],0))</f>
        <v>#N/A</v>
      </c>
      <c r="T27" s="84" t="e">
        <f t="array" aca="1" ref="T27" ca="1">IF(LARGE(_xlfn.IFNA(Process_Steps[RV Step PMI per kg API],0),Process_Steps[[#This Row],[Table Row]])=0,NA(),LARGE(_xlfn.IFNA(Process_Steps[RV Step PMI per kg API],0),Process_Steps[[#This Row],[Table Row]]))</f>
        <v>#N/A</v>
      </c>
      <c r="U27" s="84" t="e">
        <f ca="1">SUM(OFFSET(Process_Steps['[RV Step PMI per kg API'] of Each Step Sorted by '[RV Step PMI per kg API']],0,0,Process_Steps[[#This Row],[Table Row]]))</f>
        <v>#N/A</v>
      </c>
      <c r="V27" s="84" t="e">
        <f ca="1">"("&amp;TEXT(Process_Steps[[#This Row],['[RV Step PMI per kg API'] of Each Step Sorted by '[RV Step PMI per kg API']]]/SUMIF(Process_Steps['[RV Step PMI per kg API'] of Each Step Sorted by '[RV Step PMI per kg API']],"&lt;&gt;#N/A"),"0%")&amp;")"</f>
        <v>#N/A</v>
      </c>
      <c r="W27" s="82" t="e">
        <f ca="1">INDEX(Process_Steps[RV Step PMI per kg API (REAGENT)],MATCH(Process_Steps[[#This Row],[Steps Sorted by '[RV Step PMI per kg API']]],Process_Steps[Name],0))</f>
        <v>#N/A</v>
      </c>
      <c r="X27" s="82" t="e">
        <f ca="1">INDEX(Process_Steps[RV Step PMI per kg API (METAL)],MATCH(Process_Steps[[#This Row],[Steps Sorted by '[RV Step PMI per kg API']]],Process_Steps[Name],0))</f>
        <v>#N/A</v>
      </c>
      <c r="Y27" s="82" t="e">
        <f ca="1">INDEX(Process_Steps[RV Step PMI per kg API (SOLVENT)],MATCH(Process_Steps[[#This Row],[Steps Sorted by '[RV Step PMI per kg API']]],Process_Steps[Name],0))</f>
        <v>#N/A</v>
      </c>
      <c r="Z27" s="82" t="e">
        <f ca="1">INDEX(Process_Steps[RV Step PMI per kg API (WATER)],MATCH(Process_Steps[[#This Row],[Steps Sorted by '[RV Step PMI per kg API']]],Process_Steps[Name],0))</f>
        <v>#N/A</v>
      </c>
      <c r="AA27" s="82" t="e">
        <f ca="1">INDEX(Process_Steps[RV Step PMI per kg API (ENZ&amp;PLNT)],MATCH(Process_Steps[[#This Row],[Steps Sorted by '[RV Step PMI per kg API']]],Process_Steps[Name],0))</f>
        <v>#N/A</v>
      </c>
      <c r="AB27" s="82" t="e">
        <f ca="1">INDEX(Process_Steps[RV Step PMI per kg API (OTHER)],MATCH(Process_Steps[[#This Row],[Steps Sorted by '[RV Step PMI per kg API']]],Process_Steps[Name],0))</f>
        <v>#N/A</v>
      </c>
      <c r="AC27" s="84">
        <f ca="1">IF(Process_Steps[[#This Row],[Real or Virtual?]]="Real",SUMIFS(Table_Process_Details[RV Mass Net (kg) per kg API],Table_Process_Details[Step Name],Process_Steps[[#This Row],[Name]]),NA())</f>
        <v>0</v>
      </c>
      <c r="AD27" s="85">
        <f ca="1">IF(Process_Steps[[#This Row],[Real or Virtual?]]="Real",SUMIFS(Table_Process_Details[RV Mass Net (kg) per kg API (REAGENT)],Table_Process_Details[Step Name],Process_Steps[[#This Row],[Name]]),NA())</f>
        <v>0</v>
      </c>
      <c r="AE27" s="85">
        <f ca="1">IF(Process_Steps[[#This Row],[Real or Virtual?]]="Real",SUMIFS(Table_Process_Details[RV Mass Net (kg) per kg API (METAL)],Table_Process_Details[Step Name],Process_Steps[[#This Row],[Name]]),NA())</f>
        <v>0</v>
      </c>
      <c r="AF27" s="85">
        <f ca="1">IF(Process_Steps[[#This Row],[Real or Virtual?]]="Real",SUMIFS(Table_Process_Details[RV Mass Net (kg) per kg API (SOLVENT)],Table_Process_Details[Step Name],Process_Steps[[#This Row],[Name]]),NA())</f>
        <v>0</v>
      </c>
      <c r="AG27" s="85">
        <f ca="1">IF(Process_Steps[[#This Row],[Real or Virtual?]]="Real",SUMIFS(Table_Process_Details[RV Mass Net (kg) per kg API (WATER)],Table_Process_Details[Step Name],Process_Steps[[#This Row],[Name]]),NA())</f>
        <v>0</v>
      </c>
      <c r="AH27" s="85">
        <f ca="1">IF(Process_Steps[[#This Row],[Real or Virtual?]]="Real",SUMIFS(Table_Process_Details[RV Mass Net (kg) per kg API (ENZ&amp;PLNT)],Table_Process_Details[Step Name],Process_Steps[[#This Row],[Name]]),NA())</f>
        <v>0</v>
      </c>
      <c r="AI27" s="85">
        <f ca="1">IF(Process_Steps[[#This Row],[Real or Virtual?]]="Real",SUMIFS(Table_Process_Details[RV Mass Net (kg) per kg API (OTHER)],Table_Process_Details[Step Name],Process_Steps[[#This Row],[Name]]),NA())</f>
        <v>0</v>
      </c>
      <c r="AJ27" s="82" t="e">
        <f ca="1">INDEX(Process_Steps[Name if Real],MATCH(Process_Steps[[#This Row],['[RV Step Mass Net (kg) per kg API'] of Each Step Sorted by '[RV Step Mass Net (kg) per kg API']]],Process_Steps[RV Step Mass Net (kg) per kg API],0))</f>
        <v>#N/A</v>
      </c>
      <c r="AK27" s="82" t="e">
        <f t="array" aca="1" ref="AK27" ca="1">IF(LARGE(_xlfn.IFNA(Process_Steps[RV Step Mass Net (kg) per kg API],0),Process_Steps[[#This Row],[Table Row]])=0,NA(),LARGE(_xlfn.IFNA(Process_Steps[RV Step Mass Net (kg) per kg API],0),Process_Steps[[#This Row],[Table Row]]))</f>
        <v>#N/A</v>
      </c>
      <c r="AL27" s="82" t="e">
        <f ca="1">SUM(OFFSET(Process_Steps['[RV Step Mass Net (kg) per kg API'] of Each Step Sorted by '[RV Step Mass Net (kg) per kg API']],0,0,Process_Steps[[#This Row],[Table Row]]))</f>
        <v>#N/A</v>
      </c>
      <c r="AM27" s="82" t="e">
        <f ca="1">"("&amp;TEXT(Process_Steps[[#This Row],['[RV Step Mass Net (kg) per kg API'] of Each Step Sorted by '[RV Step Mass Net (kg) per kg API']]]/SUMIF(Process_Steps['[RV Step Mass Net (kg) per kg API'] of Each Step Sorted by '[RV Step Mass Net (kg) per kg API']],"&lt;&gt;#N/A"),"0%")&amp;")"</f>
        <v>#N/A</v>
      </c>
      <c r="AN27" s="82" t="e">
        <f ca="1">INDEX(Process_Steps[RV Step Mass Net (kg) per kg API (REAGENT)],MATCH(Process_Steps[[#This Row],[Steps Sorted by '[RV Step Mass Net (kg) per kg API']]],Process_Steps[Name],0))</f>
        <v>#N/A</v>
      </c>
      <c r="AO27" s="82" t="e">
        <f ca="1">INDEX(Process_Steps[RV Step Mass Net (kg) per kg API (METAL)],MATCH(Process_Steps[[#This Row],[Steps Sorted by '[RV Step Mass Net (kg) per kg API']]],Process_Steps[Name],0))</f>
        <v>#N/A</v>
      </c>
      <c r="AP27" s="82" t="e">
        <f ca="1">INDEX(Process_Steps[RV Step Mass Net (kg) per kg API (SOLVENT)],MATCH(Process_Steps[[#This Row],[Steps Sorted by '[RV Step Mass Net (kg) per kg API']]],Process_Steps[Name],0))</f>
        <v>#N/A</v>
      </c>
      <c r="AQ27" s="82" t="e">
        <f ca="1">INDEX(Process_Steps[RV Step Mass Net (kg) per kg API (WATER)],MATCH(Process_Steps[[#This Row],[Steps Sorted by '[RV Step Mass Net (kg) per kg API']]],Process_Steps[Name],0))</f>
        <v>#N/A</v>
      </c>
      <c r="AR27" s="82" t="e">
        <f ca="1">INDEX(Process_Steps[RV Step Mass Net (kg) per kg API (ENZ&amp;PLNT)],MATCH(Process_Steps[[#This Row],[Steps Sorted by '[RV Step Mass Net (kg) per kg API']]],Process_Steps[Name],0))</f>
        <v>#N/A</v>
      </c>
      <c r="AS27" s="82" t="e">
        <f ca="1">INDEX(Process_Steps[RV Step Mass Net (kg) per kg API (OTHER)],MATCH(Process_Steps[[#This Row],[Steps Sorted by '[RV Step Mass Net (kg) per kg API']]],Process_Steps[Name],0))</f>
        <v>#N/A</v>
      </c>
      <c r="AT27" s="84">
        <f ca="1">IF(Process_Steps[[#This Row],[Real or Virtual?]]="Real",SUMIFS(Table_Process_Details[RV Energy (MJ) per kg API],Table_Process_Details[Step Name],Process_Steps[[#This Row],[Name]]),NA())</f>
        <v>0</v>
      </c>
      <c r="AU27" s="85">
        <f ca="1">IF(Process_Steps[[#This Row],[Real or Virtual?]]="Real",SUMIFS(Table_Process_Details[RV Energy (MJ) per kg API (REAGENT)],Table_Process_Details[Step Name],Process_Steps[[#This Row],[Name]]),NA())</f>
        <v>0</v>
      </c>
      <c r="AV27" s="85">
        <f ca="1">IF(Process_Steps[[#This Row],[Real or Virtual?]]="Real",SUMIFS(Table_Process_Details[RV Energy (MJ) per kg API (METAL)],Table_Process_Details[Step Name],Process_Steps[[#This Row],[Name]]),NA())</f>
        <v>0</v>
      </c>
      <c r="AW27" s="85">
        <f ca="1">IF(Process_Steps[[#This Row],[Real or Virtual?]]="Real",SUMIFS(Table_Process_Details[RV Energy (MJ) per kg API (SOLVENT)],Table_Process_Details[Step Name],Process_Steps[[#This Row],[Name]]),NA())</f>
        <v>0</v>
      </c>
      <c r="AX27" s="85">
        <f ca="1">IF(Process_Steps[[#This Row],[Real or Virtual?]]="Real",SUMIFS(Table_Process_Details[RV Energy (MJ) per kg API (WATER)],Table_Process_Details[Step Name],Process_Steps[[#This Row],[Name]]),NA())</f>
        <v>0</v>
      </c>
      <c r="AY27" s="85">
        <f ca="1">IF(Process_Steps[[#This Row],[Real or Virtual?]]="Real",SUMIFS(Table_Process_Details[RV Energy (MJ) per kg API (ENZ&amp;PLNT)],Table_Process_Details[Step Name],Process_Steps[[#This Row],[Name]]),NA())</f>
        <v>0</v>
      </c>
      <c r="AZ27" s="85">
        <f ca="1">IF(Process_Steps[[#This Row],[Real or Virtual?]]="Real",SUMIFS(Table_Process_Details[RV Energy (MJ) per kg API (OTHER)],Table_Process_Details[Step Name],Process_Steps[[#This Row],[Name]]),NA())</f>
        <v>0</v>
      </c>
      <c r="BA27" s="82" t="e">
        <f ca="1">INDEX(Process_Steps[Name if Real],MATCH(Process_Steps[[#This Row],['[RV Step Energy (MJ) per kg API'] of Each Step Sorted by '[RV Step Energy (MJ) per kg API']]],Process_Steps[RV Step Energy (MJ) per kg API],0))</f>
        <v>#N/A</v>
      </c>
      <c r="BB27" s="82" t="e">
        <f t="array" aca="1" ref="BB27" ca="1">IF(LARGE(_xlfn.IFNA(Process_Steps[RV Step Energy (MJ) per kg API],0),Process_Steps[[#This Row],[Table Row]])=0,NA(),LARGE(_xlfn.IFNA(Process_Steps[RV Step Energy (MJ) per kg API],0),Process_Steps[[#This Row],[Table Row]]))</f>
        <v>#N/A</v>
      </c>
      <c r="BC27" s="82" t="e">
        <f ca="1">SUM(OFFSET(Process_Steps['[RV Step Energy (MJ) per kg API'] of Each Step Sorted by '[RV Step Energy (MJ) per kg API']],0,0,Process_Steps[[#This Row],[Table Row]]))</f>
        <v>#N/A</v>
      </c>
      <c r="BD27" s="82" t="e">
        <f ca="1">"("&amp;TEXT(Process_Steps[[#This Row],['[RV Step Energy (MJ) per kg API'] of Each Step Sorted by '[RV Step Energy (MJ) per kg API']]]/SUMIF(Process_Steps['[RV Step Energy (MJ) per kg API'] of Each Step Sorted by '[RV Step Energy (MJ) per kg API']],"&lt;&gt;#N/A"),"0%")&amp;")"</f>
        <v>#N/A</v>
      </c>
      <c r="BE27" s="82" t="e">
        <f ca="1">INDEX(Process_Steps[RV Step Energy (MJ) per kg API (REAGENT)],MATCH(Process_Steps[[#This Row],[Steps Sorted by '[RV Step Energy (MJ) per kg API']]],Process_Steps[Name],0))</f>
        <v>#N/A</v>
      </c>
      <c r="BF27" s="82" t="e">
        <f ca="1">INDEX(Process_Steps[RV Step Energy (MJ) per kg API (METAL)],MATCH(Process_Steps[[#This Row],[Steps Sorted by '[RV Step Energy (MJ) per kg API']]],Process_Steps[Name],0))</f>
        <v>#N/A</v>
      </c>
      <c r="BG27" s="82" t="e">
        <f ca="1">INDEX(Process_Steps[RV Step Energy (MJ) per kg API (SOLVENT)],MATCH(Process_Steps[[#This Row],[Steps Sorted by '[RV Step Energy (MJ) per kg API']]],Process_Steps[Name],0))</f>
        <v>#N/A</v>
      </c>
      <c r="BH27" s="82" t="e">
        <f ca="1">INDEX(Process_Steps[RV Step Energy (MJ) per kg API (WATER)],MATCH(Process_Steps[[#This Row],[Steps Sorted by '[RV Step Energy (MJ) per kg API']]],Process_Steps[Name],0))</f>
        <v>#N/A</v>
      </c>
      <c r="BI27" s="82" t="e">
        <f ca="1">INDEX(Process_Steps[RV Step Energy (MJ) per kg API (ENZ&amp;PLNT)],MATCH(Process_Steps[[#This Row],[Steps Sorted by '[RV Step Energy (MJ) per kg API']]],Process_Steps[Name],0))</f>
        <v>#N/A</v>
      </c>
      <c r="BJ27" s="82" t="e">
        <f ca="1">INDEX(Process_Steps[RV Step Energy (MJ) per kg API (OTHER)],MATCH(Process_Steps[[#This Row],[Steps Sorted by '[RV Step Energy (MJ) per kg API']]],Process_Steps[Name],0))</f>
        <v>#N/A</v>
      </c>
      <c r="BK27" s="84">
        <f ca="1">IF(Process_Steps[[#This Row],[Real or Virtual?]]="Real",SUMIFS(Table_Process_Details[RV GWP (kg CO2 equiv.) per kg API],Table_Process_Details[Step Name],Process_Steps[[#This Row],[Name]]),NA())</f>
        <v>0</v>
      </c>
      <c r="BL27" s="85">
        <f ca="1">IF(Process_Steps[[#This Row],[Real or Virtual?]]="Real",SUMIFS(Table_Process_Details[RV GWP (kg CO2 equiv.) per kg API (REAGENT)],Table_Process_Details[Step Name],Process_Steps[[#This Row],[Name]]),NA())</f>
        <v>0</v>
      </c>
      <c r="BM27" s="85">
        <f ca="1">IF(Process_Steps[[#This Row],[Real or Virtual?]]="Real",SUMIFS(Table_Process_Details[RV GWP (kg CO2 equiv.) per kg API (METAL)],Table_Process_Details[Step Name],Process_Steps[[#This Row],[Name]]),NA())</f>
        <v>0</v>
      </c>
      <c r="BN27" s="85">
        <f ca="1">IF(Process_Steps[[#This Row],[Real or Virtual?]]="Real",SUMIFS(Table_Process_Details[RV GWP (kg CO2 equiv.) per kg API (SOLVENT)],Table_Process_Details[Step Name],Process_Steps[[#This Row],[Name]]),NA())</f>
        <v>0</v>
      </c>
      <c r="BO27" s="85">
        <f ca="1">IF(Process_Steps[[#This Row],[Real or Virtual?]]="Real",SUMIFS(Table_Process_Details[RV GWP (kg CO2 equiv.) per kg API (WATER)],Table_Process_Details[Step Name],Process_Steps[[#This Row],[Name]]),NA())</f>
        <v>0</v>
      </c>
      <c r="BP27" s="85">
        <f ca="1">IF(Process_Steps[[#This Row],[Real or Virtual?]]="Real",SUMIFS(Table_Process_Details[RV GWP (kg CO2 equiv.) per kg API (ENZ&amp;PLNT)],Table_Process_Details[Step Name],Process_Steps[[#This Row],[Name]]),NA())</f>
        <v>0</v>
      </c>
      <c r="BQ27" s="85">
        <f ca="1">IF(Process_Steps[[#This Row],[Real or Virtual?]]="Real",SUMIFS(Table_Process_Details[RV GWP (kg CO2 equiv.) per kg API (OTHER)],Table_Process_Details[Step Name],Process_Steps[[#This Row],[Name]]),NA())</f>
        <v>0</v>
      </c>
      <c r="BR27" s="82" t="e">
        <f ca="1">INDEX(Process_Steps[Name if Real],MATCH(Process_Steps[[#This Row],['[RV Step GWP (kg CO2 equiv.) per kg API'] of Each Step Sorted by '[RV Step GWP (kg CO2 equiv.) per kg API']]],Process_Steps[RV Step GWP (kg CO2 equiv.) per kg API],0))</f>
        <v>#N/A</v>
      </c>
      <c r="BS27" s="82" t="e">
        <f t="array" aca="1" ref="BS27" ca="1">IF(LARGE(_xlfn.IFNA(Process_Steps[RV Step GWP (kg CO2 equiv.) per kg API],0),Process_Steps[[#This Row],[Table Row]])=0,NA(),LARGE(_xlfn.IFNA(Process_Steps[RV Step GWP (kg CO2 equiv.) per kg API],0),Process_Steps[[#This Row],[Table Row]]))</f>
        <v>#N/A</v>
      </c>
      <c r="BT27" s="82" t="e">
        <f ca="1">SUM(OFFSET(Process_Steps['[RV Step GWP (kg CO2 equiv.) per kg API'] of Each Step Sorted by '[RV Step GWP (kg CO2 equiv.) per kg API']],0,0,Process_Steps[[#This Row],[Table Row]]))</f>
        <v>#N/A</v>
      </c>
      <c r="BU27" s="82" t="e">
        <f ca="1">"("&amp;TEXT(Process_Steps[[#This Row],['[RV Step GWP (kg CO2 equiv.) per kg API'] of Each Step Sorted by '[RV Step GWP (kg CO2 equiv.) per kg API']]]/SUMIF(Process_Steps['[RV Step GWP (kg CO2 equiv.) per kg API'] of Each Step Sorted by '[RV Step GWP (kg CO2 equiv.) per kg API']],"&lt;&gt;#N/A"),"0%")&amp;")"</f>
        <v>#N/A</v>
      </c>
      <c r="BV27" s="82" t="e">
        <f ca="1">INDEX(Process_Steps[RV Step GWP (kg CO2 equiv.) per kg API (REAGENT)],MATCH(Process_Steps[[#This Row],[Steps Sorted by '[RV Step GWP (kg CO2 equiv.) per kg API']]],Process_Steps[Name],0))</f>
        <v>#N/A</v>
      </c>
      <c r="BW27" s="82" t="e">
        <f ca="1">INDEX(Process_Steps[RV Step GWP (kg CO2 equiv.) per kg API (METAL)],MATCH(Process_Steps[[#This Row],[Steps Sorted by '[RV Step GWP (kg CO2 equiv.) per kg API']]],Process_Steps[Name],0))</f>
        <v>#N/A</v>
      </c>
      <c r="BX27" s="82" t="e">
        <f ca="1">INDEX(Process_Steps[RV Step GWP (kg CO2 equiv.) per kg API (SOLVENT)],MATCH(Process_Steps[[#This Row],[Steps Sorted by '[RV Step GWP (kg CO2 equiv.) per kg API']]],Process_Steps[Name],0))</f>
        <v>#N/A</v>
      </c>
      <c r="BY27" s="82" t="e">
        <f ca="1">INDEX(Process_Steps[RV Step GWP (kg CO2 equiv.) per kg API (WATER)],MATCH(Process_Steps[[#This Row],[Steps Sorted by '[RV Step GWP (kg CO2 equiv.) per kg API']]],Process_Steps[Name],0))</f>
        <v>#N/A</v>
      </c>
      <c r="BZ27" s="82" t="e">
        <f ca="1">INDEX(Process_Steps[RV Step GWP (kg CO2 equiv.) per kg API (ENZ&amp;PLNT)],MATCH(Process_Steps[[#This Row],[Steps Sorted by '[RV Step GWP (kg CO2 equiv.) per kg API']]],Process_Steps[Name],0))</f>
        <v>#N/A</v>
      </c>
      <c r="CA27" s="82" t="e">
        <f ca="1">INDEX(Process_Steps[RV Step GWP (kg CO2 equiv.) per kg API (OTHER)],MATCH(Process_Steps[[#This Row],[Steps Sorted by '[RV Step GWP (kg CO2 equiv.) per kg API']]],Process_Steps[Name],0))</f>
        <v>#N/A</v>
      </c>
      <c r="CB27" s="84">
        <f ca="1">IF(Process_Steps[[#This Row],[Real or Virtual?]]="Real",SUMIFS(Table_Process_Details[RV Acidification (kg SO2 equiv.) per kg API],Table_Process_Details[Step Name],Process_Steps[[#This Row],[Name]]),NA())</f>
        <v>0</v>
      </c>
      <c r="CC27" s="85">
        <f ca="1">IF(Process_Steps[[#This Row],[Real or Virtual?]]="Real",SUMIFS(Table_Process_Details[RV Acidification (kg SO2 equiv.) per kg API (REAGENT)],Table_Process_Details[Step Name],Process_Steps[[#This Row],[Name]]),NA())</f>
        <v>0</v>
      </c>
      <c r="CD27" s="85">
        <f ca="1">IF(Process_Steps[[#This Row],[Real or Virtual?]]="Real",SUMIFS(Table_Process_Details[RV Acidification (kg SO2 equiv.) per kg API (METAL)],Table_Process_Details[Step Name],Process_Steps[[#This Row],[Name]]),NA())</f>
        <v>0</v>
      </c>
      <c r="CE27" s="85">
        <f ca="1">IF(Process_Steps[[#This Row],[Real or Virtual?]]="Real",SUMIFS(Table_Process_Details[RV Acidification (kg SO2 equiv.) per kg API (SOLVENT)],Table_Process_Details[Step Name],Process_Steps[[#This Row],[Name]]),NA())</f>
        <v>0</v>
      </c>
      <c r="CF27" s="85">
        <f ca="1">IF(Process_Steps[[#This Row],[Real or Virtual?]]="Real",SUMIFS(Table_Process_Details[RV Acidification (kg SO2 equiv.) per kg API (WATER)],Table_Process_Details[Step Name],Process_Steps[[#This Row],[Name]]),NA())</f>
        <v>0</v>
      </c>
      <c r="CG27" s="85">
        <f ca="1">IF(Process_Steps[[#This Row],[Real or Virtual?]]="Real",SUMIFS(Table_Process_Details[RV Acidification (kg SO2 equiv.) per kg API (ENZ&amp;PLNT)],Table_Process_Details[Step Name],Process_Steps[[#This Row],[Name]]),NA())</f>
        <v>0</v>
      </c>
      <c r="CH27" s="85">
        <f ca="1">IF(Process_Steps[[#This Row],[Real or Virtual?]]="Real",SUMIFS(Table_Process_Details[RV Acidification (kg SO2 equiv.) per kg API (OTHER)],Table_Process_Details[Step Name],Process_Steps[[#This Row],[Name]]),NA())</f>
        <v>0</v>
      </c>
      <c r="CI27" s="82" t="e">
        <f ca="1">INDEX(Process_Steps[Name if Real],MATCH(Process_Steps[[#This Row],['[RV Step Acidification (kg SO2 equiv.) per kg API'] of Each Step Sorted by '[RV Step Acidification (kg SO2 equiv.) per kg API']]],Process_Steps[RV Step Acidification (kg SO2 equiv.) per kg API],0))</f>
        <v>#N/A</v>
      </c>
      <c r="CJ27" s="82" t="e">
        <f t="array" aca="1" ref="CJ27" ca="1">IF(LARGE(_xlfn.IFNA(Process_Steps[RV Step Acidification (kg SO2 equiv.) per kg API],0),Process_Steps[[#This Row],[Table Row]])=0,NA(),LARGE(_xlfn.IFNA(Process_Steps[RV Step Acidification (kg SO2 equiv.) per kg API],0),Process_Steps[[#This Row],[Table Row]]))</f>
        <v>#N/A</v>
      </c>
      <c r="CK27" s="82" t="e">
        <f ca="1">SUM(OFFSET(Process_Steps['[RV Step Acidification (kg SO2 equiv.) per kg API'] of Each Step Sorted by '[RV Step Acidification (kg SO2 equiv.) per kg API']],0,0,Process_Steps[[#This Row],[Table Row]]))</f>
        <v>#N/A</v>
      </c>
      <c r="CL27" s="82" t="e">
        <f ca="1">"("&amp;TEXT(Process_Steps[[#This Row],['[RV Step Acidification (kg SO2 equiv.) per kg API'] of Each Step Sorted by '[RV Step Acidification (kg SO2 equiv.) per kg API']]]/SUMIF(Process_Steps['[RV Step Acidification (kg SO2 equiv.) per kg API'] of Each Step Sorted by '[RV Step Acidification (kg SO2 equiv.) per kg API']],"&lt;&gt;#N/A"),"0%")&amp;")"</f>
        <v>#N/A</v>
      </c>
      <c r="CM27" s="82" t="e">
        <f ca="1">INDEX(Process_Steps[RV Step Acidification (kg SO2 equiv.) per kg API (REAGENT)],MATCH(Process_Steps[[#This Row],[Steps Sorted by '[RV Step Acidification (kg SO2 equiv.) per kg API']]],Process_Steps[Name],0))</f>
        <v>#N/A</v>
      </c>
      <c r="CN27" s="82" t="e">
        <f ca="1">INDEX(Process_Steps[RV Step Acidification (kg SO2 equiv.) per kg API (METAL)],MATCH(Process_Steps[[#This Row],[Steps Sorted by '[RV Step Acidification (kg SO2 equiv.) per kg API']]],Process_Steps[Name],0))</f>
        <v>#N/A</v>
      </c>
      <c r="CO27" s="82" t="e">
        <f ca="1">INDEX(Process_Steps[RV Step Acidification (kg SO2 equiv.) per kg API (SOLVENT)],MATCH(Process_Steps[[#This Row],[Steps Sorted by '[RV Step Acidification (kg SO2 equiv.) per kg API']]],Process_Steps[Name],0))</f>
        <v>#N/A</v>
      </c>
      <c r="CP27" s="82" t="e">
        <f ca="1">INDEX(Process_Steps[RV Step Acidification (kg SO2 equiv.) per kg API (WATER)],MATCH(Process_Steps[[#This Row],[Steps Sorted by '[RV Step Acidification (kg SO2 equiv.) per kg API']]],Process_Steps[Name],0))</f>
        <v>#N/A</v>
      </c>
      <c r="CQ27" s="82" t="e">
        <f ca="1">INDEX(Process_Steps[RV Step Acidification (kg SO2 equiv.) per kg API (ENZ&amp;PLNT)],MATCH(Process_Steps[[#This Row],[Steps Sorted by '[RV Step Acidification (kg SO2 equiv.) per kg API']]],Process_Steps[Name],0))</f>
        <v>#N/A</v>
      </c>
      <c r="CR27" s="82" t="e">
        <f ca="1">INDEX(Process_Steps[RV Step Acidification (kg SO2 equiv.) per kg API (OTHER)],MATCH(Process_Steps[[#This Row],[Steps Sorted by '[RV Step Acidification (kg SO2 equiv.) per kg API']]],Process_Steps[Name],0))</f>
        <v>#N/A</v>
      </c>
      <c r="CS27" s="84">
        <f ca="1">IF(Process_Steps[[#This Row],[Real or Virtual?]]="Real",SUMIFS(Table_Process_Details[RV Eutrophication (kg phosphate equiv.) per kg API],Table_Process_Details[Step Name],Process_Steps[[#This Row],[Name]]),NA())</f>
        <v>0</v>
      </c>
      <c r="CT27" s="85">
        <f ca="1">IF(Process_Steps[[#This Row],[Real or Virtual?]]="Real",SUMIFS(Table_Process_Details[RV Eutrophication (kg phosphate equiv.) per kg API (REAGENT)],Table_Process_Details[Step Name],Process_Steps[[#This Row],[Name]]),NA())</f>
        <v>0</v>
      </c>
      <c r="CU27" s="85">
        <f ca="1">IF(Process_Steps[[#This Row],[Real or Virtual?]]="Real",SUMIFS(Table_Process_Details[RV Eutrophication (kg phosphate equiv.) per kg API (METAL)],Table_Process_Details[Step Name],Process_Steps[[#This Row],[Name]]),NA())</f>
        <v>0</v>
      </c>
      <c r="CV27" s="85">
        <f ca="1">IF(Process_Steps[[#This Row],[Real or Virtual?]]="Real",SUMIFS(Table_Process_Details[RV Eutrophication (kg phosphate equiv.) per kg API (SOLVENT)],Table_Process_Details[Step Name],Process_Steps[[#This Row],[Name]]),NA())</f>
        <v>0</v>
      </c>
      <c r="CW27" s="85">
        <f ca="1">IF(Process_Steps[[#This Row],[Real or Virtual?]]="Real",SUMIFS(Table_Process_Details[RV Eutrophication (kg phosphate equiv.) per kg API (WATER)],Table_Process_Details[Step Name],Process_Steps[[#This Row],[Name]]),NA())</f>
        <v>0</v>
      </c>
      <c r="CX27" s="85">
        <f ca="1">IF(Process_Steps[[#This Row],[Real or Virtual?]]="Real",SUMIFS(Table_Process_Details[RV Eutrophication (kg phosphate equiv.) per kg API (ENZ&amp;PLNT)],Table_Process_Details[Step Name],Process_Steps[[#This Row],[Name]]),NA())</f>
        <v>0</v>
      </c>
      <c r="CY27" s="85">
        <f ca="1">IF(Process_Steps[[#This Row],[Real or Virtual?]]="Real",SUMIFS(Table_Process_Details[RV Eutrophication (kg phosphate equiv.) per kg API (OTHER)],Table_Process_Details[Step Name],Process_Steps[[#This Row],[Name]]),NA())</f>
        <v>0</v>
      </c>
      <c r="CZ27" s="82" t="e">
        <f ca="1">INDEX(Process_Steps[Name if Real],MATCH(Process_Steps[[#This Row],['[RV Step Eutrophication (kg phosphate equiv.) per kg API'] of Each Step Sorted by '[RV Step Eutrophication (kg phosphate equiv.) per kg API']]],Process_Steps[RV Step Eutrophication (kg posphate equiv.) per kg API],0))</f>
        <v>#N/A</v>
      </c>
      <c r="DA27" s="82" t="e">
        <f t="array" aca="1" ref="DA27" ca="1">IF(LARGE(_xlfn.IFNA(Process_Steps[RV Step Eutrophication (kg posphate equiv.) per kg API],0),Process_Steps[[#This Row],[Table Row]])=0,NA(),LARGE(_xlfn.IFNA(Process_Steps[RV Step Eutrophication (kg posphate equiv.) per kg API],0),Process_Steps[[#This Row],[Table Row]]))</f>
        <v>#N/A</v>
      </c>
      <c r="DB27" s="82" t="e">
        <f ca="1">SUM(OFFSET(Process_Steps['[RV Step Eutrophication (kg phosphate equiv.) per kg API'] of Each Step Sorted by '[RV Step Eutrophication (kg phosphate equiv.) per kg API']],0,0,Process_Steps[[#This Row],[Table Row]]))</f>
        <v>#N/A</v>
      </c>
      <c r="DC27" s="82" t="e">
        <f ca="1">"("&amp;TEXT(Process_Steps[[#This Row],['[RV Step Eutrophication (kg phosphate equiv.) per kg API'] of Each Step Sorted by '[RV Step Eutrophication (kg phosphate equiv.) per kg API']]]/SUMIF(Process_Steps['[RV Step Eutrophication (kg phosphate equiv.) per kg API'] of Each Step Sorted by '[RV Step Eutrophication (kg phosphate equiv.) per kg API']],"&lt;&gt;#N/A"),"0%")&amp;")"</f>
        <v>#N/A</v>
      </c>
      <c r="DD27" s="82" t="e">
        <f ca="1">INDEX(Process_Steps[RV Step Eutrophication (kg posphate equiv.) per kg API (REAGENT)],MATCH(Process_Steps[[#This Row],[Steps Sorted by '[RV Step Eutrophication (kg phosphate equiv.) per kg API']]],Process_Steps[Name],0))</f>
        <v>#N/A</v>
      </c>
      <c r="DE27" s="82" t="e">
        <f ca="1">INDEX(Process_Steps[RV Step Eutrophication (kg posphate equiv.) per kg API (METAL)],MATCH(Process_Steps[[#This Row],[Steps Sorted by '[RV Step Eutrophication (kg phosphate equiv.) per kg API']]],Process_Steps[Name],0))</f>
        <v>#N/A</v>
      </c>
      <c r="DF27" s="82" t="e">
        <f ca="1">INDEX(Process_Steps[RV Step Eutrophication (kg posphate equiv.) per kg API (SOLVENT)],MATCH(Process_Steps[[#This Row],[Steps Sorted by '[RV Step Eutrophication (kg phosphate equiv.) per kg API']]],Process_Steps[Name],0))</f>
        <v>#N/A</v>
      </c>
      <c r="DG27" s="82" t="e">
        <f ca="1">INDEX(Process_Steps[RV Step Eutrophication (kg posphate equiv.) per kg API (WATER)],MATCH(Process_Steps[[#This Row],[Steps Sorted by '[RV Step Eutrophication (kg phosphate equiv.) per kg API']]],Process_Steps[Name],0))</f>
        <v>#N/A</v>
      </c>
      <c r="DH27" s="82" t="e">
        <f ca="1">INDEX(Process_Steps[RV Step Eutrophication (kg posphate equiv.) per kg API (ENZ&amp;PLNT)],MATCH(Process_Steps[[#This Row],[Steps Sorted by '[RV Step Eutrophication (kg phosphate equiv.) per kg API']]],Process_Steps[Name],0))</f>
        <v>#N/A</v>
      </c>
      <c r="DI27" s="82" t="e">
        <f ca="1">INDEX(Process_Steps[RV Step Eutrophication (kg posphate equiv.) per kg API (OTHER)],MATCH(Process_Steps[[#This Row],[Steps Sorted by '[RV Step Eutrophication (kg phosphate equiv.) per kg API']]],Process_Steps[Name],0))</f>
        <v>#N/A</v>
      </c>
      <c r="DJ27" s="84">
        <f ca="1">IF(Process_Steps[[#This Row],[Real or Virtual?]]="Real",SUMIFS(Table_Process_Details[RV Water (kg) per kg API],Table_Process_Details[Step Name],Process_Steps[[#This Row],[Name]]),NA())</f>
        <v>0</v>
      </c>
      <c r="DK27" s="85">
        <f ca="1">IF(Process_Steps[[#This Row],[Real or Virtual?]]="Real",SUMIFS(Table_Process_Details[RV Water (kg) per kg API (REAGENT)],Table_Process_Details[Step Name],Process_Steps[[#This Row],[Name]]),NA())</f>
        <v>0</v>
      </c>
      <c r="DL27" s="85">
        <f ca="1">IF(Process_Steps[[#This Row],[Real or Virtual?]]="Real",SUMIFS(Table_Process_Details[RV Water (kg) per kg API (METAL)],Table_Process_Details[Step Name],Process_Steps[[#This Row],[Name]]),NA())</f>
        <v>0</v>
      </c>
      <c r="DM27" s="85">
        <f ca="1">IF(Process_Steps[[#This Row],[Real or Virtual?]]="Real",SUMIFS(Table_Process_Details[RV Water (kg) per kg API (SOLVENT)],Table_Process_Details[Step Name],Process_Steps[[#This Row],[Name]]),NA())</f>
        <v>0</v>
      </c>
      <c r="DN27" s="85">
        <f ca="1">IF(Process_Steps[[#This Row],[Real or Virtual?]]="Real",SUMIFS(Table_Process_Details[RV Water (kg) per kg API (WATER)],Table_Process_Details[Step Name],Process_Steps[[#This Row],[Name]]),NA())</f>
        <v>0</v>
      </c>
      <c r="DO27" s="85">
        <f ca="1">IF(Process_Steps[[#This Row],[Real or Virtual?]]="Real",SUMIFS(Table_Process_Details[RV Water (kg) per kg API (ENZ&amp;PLNT)],Table_Process_Details[Step Name],Process_Steps[[#This Row],[Name]]),NA())</f>
        <v>0</v>
      </c>
      <c r="DP27" s="85">
        <f ca="1">IF(Process_Steps[[#This Row],[Real or Virtual?]]="Real",SUMIFS(Table_Process_Details[RV Water (kg) per kg API (OTHER)],Table_Process_Details[Step Name],Process_Steps[[#This Row],[Name]]),NA())</f>
        <v>0</v>
      </c>
      <c r="DQ27" s="82" t="e">
        <f ca="1">INDEX(Process_Steps[Name if Real],MATCH(Process_Steps[[#This Row],['[RV Step Water (kg) per kg API'] of Each Step Sorted by '[RV Step Water (kg) per kg API']]],Process_Steps[RV Step Water (kg) per kg API],0))</f>
        <v>#N/A</v>
      </c>
      <c r="DR27" s="82" t="e">
        <f t="array" aca="1" ref="DR27" ca="1">IF(LARGE(_xlfn.IFNA(Process_Steps[RV Step Water (kg) per kg API],0),Process_Steps[[#This Row],[Table Row]])=0,NA(),LARGE(_xlfn.IFNA(Process_Steps[RV Step Water (kg) per kg API],0),Process_Steps[[#This Row],[Table Row]]))</f>
        <v>#N/A</v>
      </c>
      <c r="DS27" s="82" t="e">
        <f ca="1">SUM(OFFSET(Process_Steps['[RV Step Water (kg) per kg API'] of Each Step Sorted by '[RV Step Water (kg) per kg API']],0,0,Process_Steps[[#This Row],[Table Row]]))</f>
        <v>#N/A</v>
      </c>
      <c r="DT27" s="82" t="e">
        <f ca="1">"("&amp;TEXT(Process_Steps[[#This Row],['[RV Step Water (kg) per kg API'] of Each Step Sorted by '[RV Step Water (kg) per kg API']]]/SUMIF(Process_Steps['[RV Step Water (kg) per kg API'] of Each Step Sorted by '[RV Step Water (kg) per kg API']],"&lt;&gt;#N/A"),"0%")&amp;")"</f>
        <v>#N/A</v>
      </c>
      <c r="DU27" s="82" t="e">
        <f ca="1">INDEX(Process_Steps[RV Step Water (kg) per kg API (REAGENT)],MATCH(Process_Steps[[#This Row],[Steps Sorted by '[RV Step Water (kg) per kg API']]],Process_Steps[Name],0))</f>
        <v>#N/A</v>
      </c>
      <c r="DV27" s="82" t="e">
        <f ca="1">INDEX(Process_Steps[RV Step Water (kg) per kg API (METAL)],MATCH(Process_Steps[[#This Row],[Steps Sorted by '[RV Step Water (kg) per kg API']]],Process_Steps[Name],0))</f>
        <v>#N/A</v>
      </c>
      <c r="DW27" s="82" t="e">
        <f ca="1">INDEX(Process_Steps[RV Step Water (kg) per kg API (SOLVENT)],MATCH(Process_Steps[[#This Row],[Steps Sorted by '[RV Step Water (kg) per kg API']]],Process_Steps[Name],0))</f>
        <v>#N/A</v>
      </c>
      <c r="DX27" s="82" t="e">
        <f ca="1">INDEX(Process_Steps[RV Step Water (kg) per kg API (WATER)],MATCH(Process_Steps[[#This Row],[Steps Sorted by '[RV Step Water (kg) per kg API']]],Process_Steps[Name],0))</f>
        <v>#N/A</v>
      </c>
      <c r="DY27" s="82" t="e">
        <f ca="1">INDEX(Process_Steps[RV Step Water (kg) per kg API (ENZ&amp;PLNT)],MATCH(Process_Steps[[#This Row],[Steps Sorted by '[RV Step Water (kg) per kg API']]],Process_Steps[Name],0))</f>
        <v>#N/A</v>
      </c>
      <c r="DZ27" s="82" t="e">
        <f ca="1">INDEX(Process_Steps[RV Step Water (kg) per kg API (OTHER)],MATCH(Process_Steps[[#This Row],[Steps Sorted by '[RV Step Water (kg) per kg API']]],Process_Steps[Name],0))</f>
        <v>#N/A</v>
      </c>
    </row>
    <row r="29" spans="1:130" ht="15" customHeight="1" x14ac:dyDescent="0.25">
      <c r="A29" s="142" t="s">
        <v>640</v>
      </c>
      <c r="B29" s="142"/>
      <c r="C29" s="142"/>
      <c r="D29" s="142"/>
      <c r="E29" s="90"/>
    </row>
    <row r="30" spans="1:130" x14ac:dyDescent="0.25">
      <c r="A30" s="142"/>
      <c r="B30" s="142"/>
      <c r="C30" s="142"/>
      <c r="D30" s="142"/>
      <c r="E30" s="90"/>
    </row>
  </sheetData>
  <mergeCells count="31">
    <mergeCell ref="DU5:DZ5"/>
    <mergeCell ref="DJ4:DZ4"/>
    <mergeCell ref="CS4:DI4"/>
    <mergeCell ref="CB4:CR4"/>
    <mergeCell ref="DQ5:DT5"/>
    <mergeCell ref="BK4:CA4"/>
    <mergeCell ref="CT5:CY5"/>
    <mergeCell ref="CZ5:DC5"/>
    <mergeCell ref="DD5:DI5"/>
    <mergeCell ref="DK5:DP5"/>
    <mergeCell ref="BR5:BU5"/>
    <mergeCell ref="BV5:CA5"/>
    <mergeCell ref="CC5:CH5"/>
    <mergeCell ref="BL5:BQ5"/>
    <mergeCell ref="CI5:CL5"/>
    <mergeCell ref="CM5:CR5"/>
    <mergeCell ref="W5:AB5"/>
    <mergeCell ref="AD5:AI5"/>
    <mergeCell ref="AJ5:AM5"/>
    <mergeCell ref="A29:D30"/>
    <mergeCell ref="AT4:BJ4"/>
    <mergeCell ref="L4:AB4"/>
    <mergeCell ref="E3:E4"/>
    <mergeCell ref="G5:H5"/>
    <mergeCell ref="AN5:AS5"/>
    <mergeCell ref="AU5:AZ5"/>
    <mergeCell ref="BA5:BD5"/>
    <mergeCell ref="BE5:BJ5"/>
    <mergeCell ref="AC4:AM4"/>
    <mergeCell ref="M5:R5"/>
    <mergeCell ref="S5:V5"/>
  </mergeCells>
  <dataValidations xWindow="1470" yWindow="666" count="7">
    <dataValidation allowBlank="1" showInputMessage="1" showErrorMessage="1" promptTitle="Instructions:" prompt="Enter a document reference for the step if desired. This cell does not affect calculations._x000a__x000a_Tap 'Esc' to close this popup." sqref="D7:D27" xr:uid="{F0C7CD52-6FEC-43CE-8BD0-2BEE37CE4BC6}"/>
    <dataValidation type="list" allowBlank="1" showInputMessage="1" showErrorMessage="1" promptTitle="Instructions:" prompt="Use the in-cell dropdown to indicate if the step is real or virtual. Use virtual steps to calculate LCA data for complex process inputs, such as solutions in water or solvent, or compounds that contain special metals. _x000a__x000a_Tap 'Esc' to close this popup." sqref="B7:B27" xr:uid="{C938EC7E-E1E7-420A-B8EA-E8BB544FE07B}">
      <formula1>INDIRECT("Real_or_Virtual")</formula1>
    </dataValidation>
    <dataValidation allowBlank="1" showInputMessage="1" showErrorMessage="1" promptTitle="Instructions:" prompt="This cell is populated automatically._x000a__x000a_Tap 'Esc' to close this popup." sqref="F7:I27 K7:DT27 F7:F27" xr:uid="{503BD642-8D7D-40DC-8423-19BF350F6D99}"/>
    <dataValidation allowBlank="1" showInputMessage="1" showErrorMessage="1" promptTitle="Instructions:" prompt="Enter the step name. Step name must be a unique identifier._x000a__x000a_Tap 'Esc' to close this popup." sqref="A7:A27" xr:uid="{BBC1F323-26E6-42F6-A945-90D9DF84B4E2}"/>
    <dataValidation allowBlank="1" showInputMessage="1" showErrorMessage="1" promptTitle="Instructions:" prompt="This cell is populated automatically._x000a_NOTE: Ctrl+Shift+Enter to edit this formula!_x000a__x000a_Tap 'Esc' to close this popup." sqref="H7:H27 J7:J27" xr:uid="{CE3BB611-E8FA-4D20-BCD0-6ACD458DFEF2}"/>
    <dataValidation allowBlank="1" showInputMessage="1" showErrorMessage="1" promptTitle="Instructions:" prompt="Paste an image of the chemical scheme for this step if desired. This cell does not affect calculations._x000a__x000a_Tap 'Esc' to close this popup." sqref="E7:E27" xr:uid="{18A40D74-9781-44B3-91BD-8592A237FAF8}"/>
    <dataValidation allowBlank="1" showInputMessage="1" showErrorMessage="1" promptTitle="Instructions:" prompt="Enter the step product name._x000a__x000a_Tap 'Esc' to close this popup." sqref="C7:C27" xr:uid="{6C49683F-F83E-4480-AC34-CBD3CF8E57E4}"/>
  </dataValidations>
  <pageMargins left="0.7" right="0.7" top="0.75" bottom="0.75" header="0.3" footer="0.3"/>
  <pageSetup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B0D6D-548A-456C-85A4-65DF8C0FE1D1}">
  <sheetPr codeName="Sheet2">
    <tabColor rgb="FF00DDA6"/>
    <pageSetUpPr autoPageBreaks="0"/>
  </sheetPr>
  <dimension ref="A1:IP105"/>
  <sheetViews>
    <sheetView topLeftCell="A81" workbookViewId="0">
      <selection activeCell="H103" sqref="H103"/>
    </sheetView>
  </sheetViews>
  <sheetFormatPr defaultColWidth="17.140625" defaultRowHeight="15" x14ac:dyDescent="0.25"/>
  <cols>
    <col min="1" max="1" width="16.5703125" customWidth="1"/>
    <col min="2" max="2" width="17.140625" customWidth="1"/>
    <col min="3" max="3" width="20.85546875" bestFit="1" customWidth="1"/>
    <col min="4" max="4" width="34.42578125" bestFit="1" customWidth="1"/>
    <col min="5" max="5" width="28.140625" bestFit="1" customWidth="1"/>
    <col min="6" max="6" width="9.42578125" bestFit="1" customWidth="1"/>
    <col min="7" max="7" width="38.5703125" bestFit="1" customWidth="1"/>
    <col min="8" max="8" width="48.28515625" bestFit="1" customWidth="1"/>
    <col min="9" max="9" width="32.140625" bestFit="1" customWidth="1"/>
    <col min="10" max="10" width="32.85546875" bestFit="1" customWidth="1"/>
    <col min="11" max="11" width="7.140625" bestFit="1" customWidth="1"/>
    <col min="12" max="12" width="7.42578125" bestFit="1" customWidth="1"/>
    <col min="13" max="13" width="14.140625" bestFit="1" customWidth="1"/>
    <col min="14" max="14" width="13.7109375" bestFit="1" customWidth="1"/>
    <col min="15" max="15" width="19.140625" bestFit="1" customWidth="1"/>
    <col min="16" max="16" width="13.85546875" bestFit="1" customWidth="1"/>
    <col min="17" max="17" width="15.42578125" bestFit="1" customWidth="1"/>
    <col min="18" max="19" width="10.7109375" customWidth="1"/>
    <col min="20" max="21" width="8.7109375" bestFit="1" customWidth="1"/>
    <col min="22" max="22" width="15.28515625" bestFit="1" customWidth="1"/>
    <col min="23" max="24" width="11.7109375" bestFit="1" customWidth="1"/>
    <col min="25" max="25" width="15.42578125" bestFit="1" customWidth="1"/>
    <col min="26" max="27" width="4.5703125" bestFit="1" customWidth="1"/>
    <col min="28" max="29" width="7.7109375" bestFit="1" customWidth="1"/>
    <col min="30" max="30" width="13.85546875" bestFit="1" customWidth="1"/>
    <col min="31" max="32" width="7.28515625" bestFit="1" customWidth="1"/>
    <col min="33" max="33" width="12.5703125" bestFit="1" customWidth="1"/>
    <col min="34" max="35" width="13.140625" bestFit="1" customWidth="1"/>
    <col min="36" max="36" width="29.5703125" customWidth="1"/>
    <col min="37" max="38" width="8.42578125" bestFit="1" customWidth="1"/>
    <col min="39" max="39" width="15.5703125" bestFit="1" customWidth="1"/>
    <col min="40" max="41" width="14.5703125" bestFit="1" customWidth="1"/>
    <col min="42" max="42" width="12.5703125" bestFit="1" customWidth="1"/>
    <col min="43" max="43" width="21.140625" customWidth="1"/>
    <col min="44" max="45" width="8.42578125" bestFit="1" customWidth="1"/>
    <col min="46" max="46" width="15.5703125" bestFit="1" customWidth="1"/>
    <col min="47" max="47" width="13.7109375" bestFit="1" customWidth="1"/>
    <col min="48" max="48" width="14.5703125" bestFit="1" customWidth="1"/>
    <col min="49" max="49" width="12.5703125" bestFit="1" customWidth="1"/>
    <col min="50" max="50" width="20.28515625" bestFit="1" customWidth="1"/>
    <col min="51" max="52" width="8.140625" bestFit="1" customWidth="1"/>
    <col min="53" max="53" width="9.42578125" customWidth="1"/>
    <col min="54" max="54" width="8.42578125" customWidth="1"/>
    <col min="55" max="56" width="6.5703125" bestFit="1" customWidth="1"/>
    <col min="57" max="57" width="5.85546875" bestFit="1" customWidth="1"/>
    <col min="59" max="59" width="18.85546875" customWidth="1"/>
    <col min="60" max="60" width="23.42578125" bestFit="1" customWidth="1"/>
    <col min="61" max="62" width="10.85546875" bestFit="1" customWidth="1"/>
    <col min="63" max="64" width="13.42578125" bestFit="1" customWidth="1"/>
    <col min="65" max="65" width="19.7109375" bestFit="1" customWidth="1"/>
    <col min="66" max="66" width="22.5703125" customWidth="1"/>
    <col min="67" max="67" width="27.5703125" bestFit="1" customWidth="1"/>
    <col min="68" max="68" width="13.42578125" bestFit="1" customWidth="1"/>
    <col min="72" max="72" width="13.5703125" bestFit="1" customWidth="1"/>
    <col min="76" max="76" width="17.140625" customWidth="1"/>
    <col min="172" max="172" width="19.28515625" customWidth="1"/>
    <col min="173" max="173" width="27.28515625" bestFit="1" customWidth="1"/>
    <col min="174" max="174" width="24.85546875" bestFit="1" customWidth="1"/>
    <col min="175" max="175" width="27" bestFit="1" customWidth="1"/>
    <col min="176" max="176" width="25.28515625" bestFit="1" customWidth="1"/>
    <col min="177" max="177" width="28.42578125" bestFit="1" customWidth="1"/>
    <col min="178" max="178" width="24.7109375" bestFit="1" customWidth="1"/>
    <col min="197" max="202" width="30.5703125" bestFit="1" customWidth="1"/>
    <col min="244" max="16384" width="17.140625" style="109"/>
  </cols>
  <sheetData>
    <row r="1" spans="1:250" customFormat="1" ht="18.75" x14ac:dyDescent="0.3">
      <c r="A1" s="31" t="s">
        <v>181</v>
      </c>
      <c r="I1" s="144" t="s">
        <v>674</v>
      </c>
      <c r="P1" s="2"/>
      <c r="Q1" s="2"/>
      <c r="AG1" s="67"/>
      <c r="AH1" s="67"/>
      <c r="AI1" s="67"/>
      <c r="AJ1" s="67"/>
      <c r="AK1" s="67"/>
      <c r="AL1" s="67"/>
      <c r="AM1" s="67"/>
      <c r="AN1" s="24"/>
      <c r="AO1" s="24"/>
      <c r="AP1" s="24"/>
      <c r="AQ1" s="24"/>
      <c r="AR1" s="67"/>
      <c r="AS1" s="67"/>
      <c r="AT1" s="67"/>
      <c r="AU1" s="24"/>
      <c r="AV1" s="24"/>
      <c r="AW1" s="24"/>
      <c r="AX1" s="24"/>
      <c r="BQ1" s="145" t="s">
        <v>192</v>
      </c>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42"/>
      <c r="IK1" s="42"/>
      <c r="IL1" s="42"/>
      <c r="IM1" s="42"/>
      <c r="IN1" s="42"/>
      <c r="IO1" s="42"/>
      <c r="IP1" s="42"/>
    </row>
    <row r="2" spans="1:250" customFormat="1" ht="18.75" customHeight="1" x14ac:dyDescent="0.3">
      <c r="A2" s="86" t="s">
        <v>615</v>
      </c>
      <c r="I2" s="144"/>
      <c r="N2" s="59"/>
      <c r="O2" s="59"/>
      <c r="Q2" s="2"/>
      <c r="AU2" s="20"/>
      <c r="AV2" s="20"/>
      <c r="AW2" s="20"/>
      <c r="AX2" s="20"/>
      <c r="BQ2" s="149" t="s">
        <v>329</v>
      </c>
      <c r="BR2" s="149"/>
      <c r="BS2" s="149"/>
      <c r="BT2" s="149"/>
      <c r="BU2" s="149"/>
      <c r="BV2" s="149"/>
      <c r="BW2" s="149"/>
      <c r="BX2" s="148" t="s">
        <v>335</v>
      </c>
      <c r="BY2" s="148"/>
      <c r="BZ2" s="148"/>
      <c r="CA2" s="148"/>
      <c r="CB2" s="148"/>
      <c r="CC2" s="148"/>
      <c r="CD2" s="148"/>
      <c r="CE2" s="149" t="s">
        <v>391</v>
      </c>
      <c r="CF2" s="149"/>
      <c r="CG2" s="149"/>
      <c r="CH2" s="149"/>
      <c r="CI2" s="149"/>
      <c r="CJ2" s="149"/>
      <c r="CK2" s="149"/>
      <c r="CL2" s="148" t="s">
        <v>341</v>
      </c>
      <c r="CM2" s="148"/>
      <c r="CN2" s="148"/>
      <c r="CO2" s="148"/>
      <c r="CP2" s="148"/>
      <c r="CQ2" s="148"/>
      <c r="CR2" s="148"/>
      <c r="CS2" s="148"/>
      <c r="CT2" s="148"/>
      <c r="CU2" s="148"/>
      <c r="CV2" s="148" t="s">
        <v>335</v>
      </c>
      <c r="CW2" s="148"/>
      <c r="CX2" s="148"/>
      <c r="CY2" s="148"/>
      <c r="CZ2" s="148"/>
      <c r="DA2" s="148"/>
      <c r="DB2" s="148"/>
      <c r="DC2" s="149" t="s">
        <v>391</v>
      </c>
      <c r="DD2" s="149"/>
      <c r="DE2" s="149"/>
      <c r="DF2" s="149"/>
      <c r="DG2" s="149"/>
      <c r="DH2" s="149"/>
      <c r="DI2" s="149"/>
      <c r="DJ2" s="148" t="s">
        <v>341</v>
      </c>
      <c r="DK2" s="148"/>
      <c r="DL2" s="148"/>
      <c r="DM2" s="148"/>
      <c r="DN2" s="148"/>
      <c r="DO2" s="148"/>
      <c r="DP2" s="148"/>
      <c r="DQ2" s="148"/>
      <c r="DR2" s="148"/>
      <c r="DS2" s="148"/>
      <c r="DT2" s="148" t="s">
        <v>335</v>
      </c>
      <c r="DU2" s="148"/>
      <c r="DV2" s="148"/>
      <c r="DW2" s="148"/>
      <c r="DX2" s="148"/>
      <c r="DY2" s="148"/>
      <c r="DZ2" s="148"/>
      <c r="EA2" s="149" t="s">
        <v>391</v>
      </c>
      <c r="EB2" s="149"/>
      <c r="EC2" s="149"/>
      <c r="ED2" s="149"/>
      <c r="EE2" s="149"/>
      <c r="EF2" s="149"/>
      <c r="EG2" s="149"/>
      <c r="EH2" s="148" t="s">
        <v>341</v>
      </c>
      <c r="EI2" s="148"/>
      <c r="EJ2" s="148"/>
      <c r="EK2" s="148"/>
      <c r="EL2" s="148"/>
      <c r="EM2" s="148"/>
      <c r="EN2" s="148"/>
      <c r="EO2" s="148"/>
      <c r="EP2" s="148"/>
      <c r="EQ2" s="148"/>
      <c r="ER2" s="148" t="s">
        <v>335</v>
      </c>
      <c r="ES2" s="148"/>
      <c r="ET2" s="148"/>
      <c r="EU2" s="148"/>
      <c r="EV2" s="148"/>
      <c r="EW2" s="148"/>
      <c r="EX2" s="148"/>
      <c r="EY2" s="149" t="s">
        <v>391</v>
      </c>
      <c r="EZ2" s="149"/>
      <c r="FA2" s="149"/>
      <c r="FB2" s="149"/>
      <c r="FC2" s="149"/>
      <c r="FD2" s="149"/>
      <c r="FE2" s="149"/>
      <c r="FF2" s="148" t="s">
        <v>341</v>
      </c>
      <c r="FG2" s="148"/>
      <c r="FH2" s="148"/>
      <c r="FI2" s="148"/>
      <c r="FJ2" s="148"/>
      <c r="FK2" s="148"/>
      <c r="FL2" s="148"/>
      <c r="FM2" s="148"/>
      <c r="FN2" s="148"/>
      <c r="FO2" s="148"/>
      <c r="FP2" s="148" t="s">
        <v>335</v>
      </c>
      <c r="FQ2" s="148"/>
      <c r="FR2" s="148"/>
      <c r="FS2" s="148"/>
      <c r="FT2" s="148"/>
      <c r="FU2" s="148"/>
      <c r="FV2" s="148"/>
      <c r="FW2" s="149" t="s">
        <v>391</v>
      </c>
      <c r="FX2" s="149"/>
      <c r="FY2" s="149"/>
      <c r="FZ2" s="149"/>
      <c r="GA2" s="149"/>
      <c r="GB2" s="149"/>
      <c r="GC2" s="149"/>
      <c r="GD2" s="148" t="s">
        <v>341</v>
      </c>
      <c r="GE2" s="148"/>
      <c r="GF2" s="148"/>
      <c r="GG2" s="148"/>
      <c r="GH2" s="148"/>
      <c r="GI2" s="148"/>
      <c r="GJ2" s="148"/>
      <c r="GK2" s="148"/>
      <c r="GL2" s="148"/>
      <c r="GM2" s="148"/>
      <c r="GN2" s="148" t="s">
        <v>335</v>
      </c>
      <c r="GO2" s="148"/>
      <c r="GP2" s="148"/>
      <c r="GQ2" s="148"/>
      <c r="GR2" s="148"/>
      <c r="GS2" s="148"/>
      <c r="GT2" s="148"/>
      <c r="GU2" s="149" t="s">
        <v>391</v>
      </c>
      <c r="GV2" s="149"/>
      <c r="GW2" s="149"/>
      <c r="GX2" s="149"/>
      <c r="GY2" s="149"/>
      <c r="GZ2" s="149"/>
      <c r="HA2" s="149"/>
      <c r="HB2" s="148" t="s">
        <v>341</v>
      </c>
      <c r="HC2" s="148"/>
      <c r="HD2" s="148"/>
      <c r="HE2" s="148"/>
      <c r="HF2" s="148"/>
      <c r="HG2" s="148"/>
      <c r="HH2" s="148"/>
      <c r="HI2" s="148"/>
      <c r="HJ2" s="148"/>
      <c r="HK2" s="148"/>
      <c r="HL2" s="148" t="s">
        <v>335</v>
      </c>
      <c r="HM2" s="148"/>
      <c r="HN2" s="148"/>
      <c r="HO2" s="148"/>
      <c r="HP2" s="148"/>
      <c r="HQ2" s="148"/>
      <c r="HR2" s="148"/>
      <c r="HS2" s="149" t="s">
        <v>391</v>
      </c>
      <c r="HT2" s="149"/>
      <c r="HU2" s="149"/>
      <c r="HV2" s="149"/>
      <c r="HW2" s="149"/>
      <c r="HX2" s="149"/>
      <c r="HY2" s="149"/>
      <c r="HZ2" s="148" t="s">
        <v>341</v>
      </c>
      <c r="IA2" s="148"/>
      <c r="IB2" s="148"/>
      <c r="IC2" s="148"/>
      <c r="ID2" s="148"/>
      <c r="IE2" s="148"/>
      <c r="IF2" s="148"/>
      <c r="IG2" s="148"/>
      <c r="IH2" s="148"/>
      <c r="II2" s="148"/>
    </row>
    <row r="3" spans="1:250" s="44" customFormat="1" ht="30" customHeight="1" x14ac:dyDescent="0.25">
      <c r="A3" s="53" t="s">
        <v>307</v>
      </c>
      <c r="B3" s="53" t="s">
        <v>307</v>
      </c>
      <c r="C3" s="53" t="s">
        <v>307</v>
      </c>
      <c r="D3" s="53" t="s">
        <v>307</v>
      </c>
      <c r="E3" s="53" t="s">
        <v>307</v>
      </c>
      <c r="F3" s="53" t="s">
        <v>307</v>
      </c>
      <c r="G3" s="53" t="s">
        <v>307</v>
      </c>
      <c r="H3" s="53" t="s">
        <v>307</v>
      </c>
      <c r="I3" s="93" t="s">
        <v>675</v>
      </c>
      <c r="J3" s="48" t="s">
        <v>586</v>
      </c>
      <c r="K3" s="54"/>
      <c r="P3" s="147" t="s">
        <v>617</v>
      </c>
      <c r="Q3" s="147"/>
      <c r="R3" s="147" t="s">
        <v>621</v>
      </c>
      <c r="S3" s="147"/>
      <c r="T3" s="147" t="s">
        <v>618</v>
      </c>
      <c r="U3" s="147"/>
      <c r="V3" s="147"/>
      <c r="W3" s="147" t="s">
        <v>619</v>
      </c>
      <c r="X3" s="147"/>
      <c r="Y3" s="147"/>
      <c r="Z3" s="147" t="s">
        <v>620</v>
      </c>
      <c r="AA3" s="147"/>
      <c r="AB3" s="147"/>
      <c r="AC3" s="147"/>
      <c r="AD3" s="147"/>
      <c r="AE3" s="147" t="s">
        <v>622</v>
      </c>
      <c r="AF3" s="147"/>
      <c r="AG3" s="88" t="s">
        <v>623</v>
      </c>
      <c r="AH3" s="147" t="s">
        <v>624</v>
      </c>
      <c r="AI3" s="147"/>
      <c r="AJ3" s="89" t="s">
        <v>625</v>
      </c>
      <c r="AK3" s="147" t="s">
        <v>626</v>
      </c>
      <c r="AL3" s="147"/>
      <c r="AM3" s="147"/>
      <c r="AN3" s="88" t="s">
        <v>629</v>
      </c>
      <c r="AO3" s="88" t="s">
        <v>630</v>
      </c>
      <c r="AP3" s="88" t="s">
        <v>631</v>
      </c>
      <c r="AQ3" s="88" t="s">
        <v>628</v>
      </c>
      <c r="AR3" s="147" t="s">
        <v>627</v>
      </c>
      <c r="AS3" s="147"/>
      <c r="AT3" s="147"/>
      <c r="AU3" s="88" t="s">
        <v>632</v>
      </c>
      <c r="AV3" s="88" t="s">
        <v>633</v>
      </c>
      <c r="AW3" s="88" t="s">
        <v>634</v>
      </c>
      <c r="AX3" s="88" t="s">
        <v>628</v>
      </c>
      <c r="AY3" s="147" t="s">
        <v>635</v>
      </c>
      <c r="AZ3" s="147"/>
      <c r="BA3" s="147" t="s">
        <v>636</v>
      </c>
      <c r="BB3" s="147"/>
      <c r="BC3" s="147" t="s">
        <v>637</v>
      </c>
      <c r="BD3" s="147"/>
      <c r="BG3" s="55" t="s">
        <v>330</v>
      </c>
      <c r="BH3" s="59"/>
      <c r="BI3" s="59"/>
      <c r="BJ3" s="59"/>
      <c r="BK3" s="59"/>
      <c r="BL3" s="59"/>
      <c r="BM3" s="59"/>
      <c r="BN3" s="59"/>
      <c r="BO3" s="59"/>
      <c r="BP3" s="59"/>
      <c r="BQ3" s="55" t="s">
        <v>330</v>
      </c>
      <c r="BR3" s="140" t="s">
        <v>331</v>
      </c>
      <c r="BS3" s="140"/>
      <c r="BT3" s="140"/>
      <c r="BU3" s="140"/>
      <c r="BV3" s="140"/>
      <c r="BW3" s="140"/>
      <c r="BX3" s="56" t="s">
        <v>330</v>
      </c>
      <c r="BY3" s="140" t="s">
        <v>331</v>
      </c>
      <c r="BZ3" s="140"/>
      <c r="CA3" s="140"/>
      <c r="CB3" s="140"/>
      <c r="CC3" s="140"/>
      <c r="CD3" s="140"/>
      <c r="CE3" s="55" t="s">
        <v>330</v>
      </c>
      <c r="CF3" s="140" t="s">
        <v>331</v>
      </c>
      <c r="CG3" s="140"/>
      <c r="CH3" s="140"/>
      <c r="CI3" s="140"/>
      <c r="CJ3" s="140"/>
      <c r="CK3" s="140"/>
      <c r="CL3" s="141" t="s">
        <v>330</v>
      </c>
      <c r="CM3" s="141"/>
      <c r="CN3" s="141"/>
      <c r="CO3" s="141"/>
      <c r="CP3" s="140" t="s">
        <v>331</v>
      </c>
      <c r="CQ3" s="140"/>
      <c r="CR3" s="140"/>
      <c r="CS3" s="140"/>
      <c r="CT3" s="140"/>
      <c r="CU3" s="140"/>
      <c r="CV3" s="55" t="s">
        <v>330</v>
      </c>
      <c r="CW3" s="140" t="s">
        <v>331</v>
      </c>
      <c r="CX3" s="140"/>
      <c r="CY3" s="140"/>
      <c r="CZ3" s="140"/>
      <c r="DA3" s="140"/>
      <c r="DB3" s="140"/>
      <c r="DC3" s="55" t="s">
        <v>330</v>
      </c>
      <c r="DD3" s="140" t="s">
        <v>331</v>
      </c>
      <c r="DE3" s="140"/>
      <c r="DF3" s="140"/>
      <c r="DG3" s="140"/>
      <c r="DH3" s="140"/>
      <c r="DI3" s="140"/>
      <c r="DJ3" s="141" t="s">
        <v>330</v>
      </c>
      <c r="DK3" s="141"/>
      <c r="DL3" s="141"/>
      <c r="DM3" s="141"/>
      <c r="DN3" s="140" t="s">
        <v>331</v>
      </c>
      <c r="DO3" s="140"/>
      <c r="DP3" s="140"/>
      <c r="DQ3" s="140"/>
      <c r="DR3" s="140"/>
      <c r="DS3" s="140"/>
      <c r="DT3" s="56" t="s">
        <v>330</v>
      </c>
      <c r="DU3" s="140" t="s">
        <v>331</v>
      </c>
      <c r="DV3" s="140"/>
      <c r="DW3" s="140"/>
      <c r="DX3" s="140"/>
      <c r="DY3" s="140"/>
      <c r="DZ3" s="140"/>
      <c r="EA3" s="55" t="s">
        <v>330</v>
      </c>
      <c r="EB3" s="140" t="s">
        <v>331</v>
      </c>
      <c r="EC3" s="140"/>
      <c r="ED3" s="140"/>
      <c r="EE3" s="140"/>
      <c r="EF3" s="140"/>
      <c r="EG3" s="140"/>
      <c r="EH3" s="141" t="s">
        <v>330</v>
      </c>
      <c r="EI3" s="141"/>
      <c r="EJ3" s="141"/>
      <c r="EK3" s="141"/>
      <c r="EL3" s="140" t="s">
        <v>331</v>
      </c>
      <c r="EM3" s="140"/>
      <c r="EN3" s="140"/>
      <c r="EO3" s="140"/>
      <c r="EP3" s="140"/>
      <c r="EQ3" s="140"/>
      <c r="ER3" s="56" t="s">
        <v>330</v>
      </c>
      <c r="ES3" s="140" t="s">
        <v>331</v>
      </c>
      <c r="ET3" s="140"/>
      <c r="EU3" s="140"/>
      <c r="EV3" s="140"/>
      <c r="EW3" s="140"/>
      <c r="EX3" s="140"/>
      <c r="EY3" s="55" t="s">
        <v>330</v>
      </c>
      <c r="EZ3" s="140" t="s">
        <v>331</v>
      </c>
      <c r="FA3" s="140"/>
      <c r="FB3" s="140"/>
      <c r="FC3" s="140"/>
      <c r="FD3" s="140"/>
      <c r="FE3" s="140"/>
      <c r="FF3" s="141" t="s">
        <v>330</v>
      </c>
      <c r="FG3" s="141"/>
      <c r="FH3" s="141"/>
      <c r="FI3" s="141"/>
      <c r="FJ3" s="140" t="s">
        <v>331</v>
      </c>
      <c r="FK3" s="140"/>
      <c r="FL3" s="140"/>
      <c r="FM3" s="140"/>
      <c r="FN3" s="140"/>
      <c r="FO3" s="140"/>
      <c r="FP3" s="56" t="s">
        <v>330</v>
      </c>
      <c r="FQ3" s="140" t="s">
        <v>331</v>
      </c>
      <c r="FR3" s="140"/>
      <c r="FS3" s="140"/>
      <c r="FT3" s="140"/>
      <c r="FU3" s="140"/>
      <c r="FV3" s="140"/>
      <c r="FW3" s="55" t="s">
        <v>330</v>
      </c>
      <c r="FX3" s="140" t="s">
        <v>331</v>
      </c>
      <c r="FY3" s="140"/>
      <c r="FZ3" s="140"/>
      <c r="GA3" s="140"/>
      <c r="GB3" s="140"/>
      <c r="GC3" s="140"/>
      <c r="GD3" s="141" t="s">
        <v>330</v>
      </c>
      <c r="GE3" s="141"/>
      <c r="GF3" s="141"/>
      <c r="GG3" s="141"/>
      <c r="GH3" s="140" t="s">
        <v>331</v>
      </c>
      <c r="GI3" s="140"/>
      <c r="GJ3" s="140"/>
      <c r="GK3" s="140"/>
      <c r="GL3" s="140"/>
      <c r="GM3" s="140"/>
      <c r="GN3" s="56" t="s">
        <v>330</v>
      </c>
      <c r="GO3" s="140" t="s">
        <v>331</v>
      </c>
      <c r="GP3" s="140"/>
      <c r="GQ3" s="140"/>
      <c r="GR3" s="140"/>
      <c r="GS3" s="140"/>
      <c r="GT3" s="140"/>
      <c r="GU3" s="55" t="s">
        <v>330</v>
      </c>
      <c r="GV3" s="140" t="s">
        <v>331</v>
      </c>
      <c r="GW3" s="140"/>
      <c r="GX3" s="140"/>
      <c r="GY3" s="140"/>
      <c r="GZ3" s="140"/>
      <c r="HA3" s="140"/>
      <c r="HB3" s="141" t="s">
        <v>330</v>
      </c>
      <c r="HC3" s="141"/>
      <c r="HD3" s="141"/>
      <c r="HE3" s="141"/>
      <c r="HF3" s="140" t="s">
        <v>331</v>
      </c>
      <c r="HG3" s="140"/>
      <c r="HH3" s="140"/>
      <c r="HI3" s="140"/>
      <c r="HJ3" s="140"/>
      <c r="HK3" s="140"/>
      <c r="HL3" s="56" t="s">
        <v>330</v>
      </c>
      <c r="HM3" s="140" t="s">
        <v>331</v>
      </c>
      <c r="HN3" s="140"/>
      <c r="HO3" s="140"/>
      <c r="HP3" s="140"/>
      <c r="HQ3" s="140"/>
      <c r="HR3" s="140"/>
      <c r="HS3" s="55" t="s">
        <v>330</v>
      </c>
      <c r="HT3" s="140" t="s">
        <v>331</v>
      </c>
      <c r="HU3" s="140"/>
      <c r="HV3" s="140"/>
      <c r="HW3" s="140"/>
      <c r="HX3" s="140"/>
      <c r="HY3" s="140"/>
      <c r="HZ3" s="141" t="s">
        <v>330</v>
      </c>
      <c r="IA3" s="141"/>
      <c r="IB3" s="141"/>
      <c r="IC3" s="141"/>
      <c r="ID3" s="140" t="s">
        <v>331</v>
      </c>
      <c r="IE3" s="140"/>
      <c r="IF3" s="140"/>
      <c r="IG3" s="140"/>
      <c r="IH3" s="140"/>
      <c r="II3" s="140"/>
    </row>
    <row r="4" spans="1:250" s="44" customFormat="1" ht="40.5" customHeight="1" x14ac:dyDescent="0.25">
      <c r="A4" s="50" t="s">
        <v>0</v>
      </c>
      <c r="B4" s="50" t="s">
        <v>1</v>
      </c>
      <c r="C4" s="50" t="s">
        <v>159</v>
      </c>
      <c r="D4" s="50" t="s">
        <v>160</v>
      </c>
      <c r="E4" s="50" t="s">
        <v>237</v>
      </c>
      <c r="F4" s="50" t="s">
        <v>150</v>
      </c>
      <c r="G4" s="50" t="s">
        <v>654</v>
      </c>
      <c r="H4" s="50" t="s">
        <v>22</v>
      </c>
      <c r="I4" s="92" t="s">
        <v>673</v>
      </c>
      <c r="J4" s="91" t="s">
        <v>2</v>
      </c>
      <c r="K4" s="51" t="s">
        <v>179</v>
      </c>
      <c r="L4" s="44" t="s">
        <v>10</v>
      </c>
      <c r="M4" s="44" t="s">
        <v>349</v>
      </c>
      <c r="N4" s="44" t="s">
        <v>558</v>
      </c>
      <c r="O4" s="44" t="s">
        <v>559</v>
      </c>
      <c r="P4" s="44" t="s">
        <v>564</v>
      </c>
      <c r="Q4" s="44" t="s">
        <v>565</v>
      </c>
      <c r="R4" s="44" t="s">
        <v>604</v>
      </c>
      <c r="S4" s="44" t="s">
        <v>605</v>
      </c>
      <c r="T4" s="44" t="s">
        <v>561</v>
      </c>
      <c r="U4" s="44" t="s">
        <v>562</v>
      </c>
      <c r="V4" s="44" t="s">
        <v>563</v>
      </c>
      <c r="W4" s="44" t="s">
        <v>568</v>
      </c>
      <c r="X4" s="44" t="s">
        <v>569</v>
      </c>
      <c r="Y4" s="44" t="s">
        <v>570</v>
      </c>
      <c r="Z4" s="44" t="s">
        <v>574</v>
      </c>
      <c r="AA4" s="44" t="s">
        <v>575</v>
      </c>
      <c r="AB4" s="44" t="s">
        <v>571</v>
      </c>
      <c r="AC4" s="44" t="s">
        <v>572</v>
      </c>
      <c r="AD4" s="44" t="s">
        <v>573</v>
      </c>
      <c r="AE4" s="44" t="s">
        <v>566</v>
      </c>
      <c r="AF4" s="44" t="s">
        <v>567</v>
      </c>
      <c r="AG4" s="44" t="s">
        <v>606</v>
      </c>
      <c r="AH4" s="44" t="s">
        <v>596</v>
      </c>
      <c r="AI4" s="44" t="s">
        <v>599</v>
      </c>
      <c r="AJ4" s="44" t="s">
        <v>598</v>
      </c>
      <c r="AK4" s="44" t="s">
        <v>609</v>
      </c>
      <c r="AL4" s="44" t="s">
        <v>610</v>
      </c>
      <c r="AM4" s="44" t="s">
        <v>611</v>
      </c>
      <c r="AN4" s="44" t="s">
        <v>579</v>
      </c>
      <c r="AO4" s="44" t="s">
        <v>580</v>
      </c>
      <c r="AP4" s="44" t="s">
        <v>597</v>
      </c>
      <c r="AQ4" s="44" t="s">
        <v>584</v>
      </c>
      <c r="AR4" s="44" t="s">
        <v>612</v>
      </c>
      <c r="AS4" s="44" t="s">
        <v>613</v>
      </c>
      <c r="AT4" s="44" t="s">
        <v>614</v>
      </c>
      <c r="AU4" s="44" t="s">
        <v>578</v>
      </c>
      <c r="AV4" s="44" t="s">
        <v>581</v>
      </c>
      <c r="AW4" s="44" t="s">
        <v>600</v>
      </c>
      <c r="AX4" s="44" t="s">
        <v>585</v>
      </c>
      <c r="AY4" s="44" t="s">
        <v>602</v>
      </c>
      <c r="AZ4" s="44" t="s">
        <v>603</v>
      </c>
      <c r="BA4" s="44" t="s">
        <v>576</v>
      </c>
      <c r="BB4" s="44" t="s">
        <v>577</v>
      </c>
      <c r="BC4" s="44" t="s">
        <v>607</v>
      </c>
      <c r="BD4" s="44" t="s">
        <v>608</v>
      </c>
      <c r="BE4" s="44" t="s">
        <v>184</v>
      </c>
      <c r="BF4" s="44" t="s">
        <v>172</v>
      </c>
      <c r="BG4" s="44" t="s">
        <v>645</v>
      </c>
      <c r="BH4" s="44" t="s">
        <v>646</v>
      </c>
      <c r="BI4" s="44" t="s">
        <v>669</v>
      </c>
      <c r="BJ4" s="44" t="s">
        <v>670</v>
      </c>
      <c r="BK4" s="44" t="s">
        <v>647</v>
      </c>
      <c r="BL4" s="44" t="s">
        <v>652</v>
      </c>
      <c r="BM4" s="44" t="s">
        <v>648</v>
      </c>
      <c r="BN4" s="44" t="s">
        <v>649</v>
      </c>
      <c r="BO4" s="44" t="s">
        <v>650</v>
      </c>
      <c r="BP4" s="44" t="s">
        <v>651</v>
      </c>
      <c r="BQ4" s="52" t="s">
        <v>192</v>
      </c>
      <c r="BR4" s="52" t="s">
        <v>312</v>
      </c>
      <c r="BS4" s="52" t="s">
        <v>326</v>
      </c>
      <c r="BT4" s="52" t="s">
        <v>313</v>
      </c>
      <c r="BU4" s="52" t="s">
        <v>314</v>
      </c>
      <c r="BV4" s="52" t="s">
        <v>327</v>
      </c>
      <c r="BW4" s="52" t="s">
        <v>325</v>
      </c>
      <c r="BX4" s="44" t="s">
        <v>221</v>
      </c>
      <c r="BY4" s="44" t="s">
        <v>315</v>
      </c>
      <c r="BZ4" s="44" t="s">
        <v>332</v>
      </c>
      <c r="CA4" s="44" t="s">
        <v>316</v>
      </c>
      <c r="CB4" s="44" t="s">
        <v>317</v>
      </c>
      <c r="CC4" s="44" t="s">
        <v>333</v>
      </c>
      <c r="CD4" s="44" t="s">
        <v>334</v>
      </c>
      <c r="CE4" s="44" t="s">
        <v>193</v>
      </c>
      <c r="CF4" s="44" t="s">
        <v>318</v>
      </c>
      <c r="CG4" s="44" t="s">
        <v>336</v>
      </c>
      <c r="CH4" s="44" t="s">
        <v>319</v>
      </c>
      <c r="CI4" s="44" t="s">
        <v>320</v>
      </c>
      <c r="CJ4" s="44" t="s">
        <v>337</v>
      </c>
      <c r="CK4" s="44" t="s">
        <v>324</v>
      </c>
      <c r="CL4" s="44" t="s">
        <v>194</v>
      </c>
      <c r="CM4" s="44" t="s">
        <v>197</v>
      </c>
      <c r="CN4" s="44" t="s">
        <v>233</v>
      </c>
      <c r="CO4" s="44" t="s">
        <v>234</v>
      </c>
      <c r="CP4" s="44" t="s">
        <v>321</v>
      </c>
      <c r="CQ4" s="44" t="s">
        <v>338</v>
      </c>
      <c r="CR4" s="44" t="s">
        <v>322</v>
      </c>
      <c r="CS4" s="44" t="s">
        <v>323</v>
      </c>
      <c r="CT4" s="44" t="s">
        <v>339</v>
      </c>
      <c r="CU4" s="44" t="s">
        <v>340</v>
      </c>
      <c r="CV4" s="44" t="s">
        <v>186</v>
      </c>
      <c r="CW4" s="44" t="s">
        <v>428</v>
      </c>
      <c r="CX4" s="44" t="s">
        <v>342</v>
      </c>
      <c r="CY4" s="44" t="s">
        <v>343</v>
      </c>
      <c r="CZ4" s="44" t="s">
        <v>344</v>
      </c>
      <c r="DA4" s="44" t="s">
        <v>345</v>
      </c>
      <c r="DB4" s="44" t="s">
        <v>346</v>
      </c>
      <c r="DC4" s="44" t="s">
        <v>195</v>
      </c>
      <c r="DD4" s="44" t="s">
        <v>392</v>
      </c>
      <c r="DE4" s="44" t="s">
        <v>393</v>
      </c>
      <c r="DF4" s="44" t="s">
        <v>394</v>
      </c>
      <c r="DG4" s="44" t="s">
        <v>395</v>
      </c>
      <c r="DH4" s="44" t="s">
        <v>396</v>
      </c>
      <c r="DI4" s="44" t="s">
        <v>397</v>
      </c>
      <c r="DJ4" s="44" t="s">
        <v>196</v>
      </c>
      <c r="DK4" s="44" t="s">
        <v>198</v>
      </c>
      <c r="DL4" s="44" t="s">
        <v>231</v>
      </c>
      <c r="DM4" s="44" t="s">
        <v>232</v>
      </c>
      <c r="DN4" s="44" t="s">
        <v>429</v>
      </c>
      <c r="DO4" s="44" t="s">
        <v>430</v>
      </c>
      <c r="DP4" s="44" t="s">
        <v>431</v>
      </c>
      <c r="DQ4" s="44" t="s">
        <v>432</v>
      </c>
      <c r="DR4" s="44" t="s">
        <v>433</v>
      </c>
      <c r="DS4" s="44" t="s">
        <v>434</v>
      </c>
      <c r="DT4" s="44" t="s">
        <v>187</v>
      </c>
      <c r="DU4" s="44" t="s">
        <v>361</v>
      </c>
      <c r="DV4" s="44" t="s">
        <v>362</v>
      </c>
      <c r="DW4" s="44" t="s">
        <v>363</v>
      </c>
      <c r="DX4" s="44" t="s">
        <v>364</v>
      </c>
      <c r="DY4" s="44" t="s">
        <v>365</v>
      </c>
      <c r="DZ4" s="44" t="s">
        <v>366</v>
      </c>
      <c r="EA4" s="44" t="s">
        <v>199</v>
      </c>
      <c r="EB4" s="44" t="s">
        <v>398</v>
      </c>
      <c r="EC4" s="44" t="s">
        <v>399</v>
      </c>
      <c r="ED4" s="44" t="s">
        <v>400</v>
      </c>
      <c r="EE4" s="44" t="s">
        <v>401</v>
      </c>
      <c r="EF4" s="44" t="s">
        <v>402</v>
      </c>
      <c r="EG4" s="44" t="s">
        <v>403</v>
      </c>
      <c r="EH4" s="44" t="s">
        <v>200</v>
      </c>
      <c r="EI4" s="44" t="s">
        <v>201</v>
      </c>
      <c r="EJ4" s="44" t="s">
        <v>229</v>
      </c>
      <c r="EK4" s="44" t="s">
        <v>230</v>
      </c>
      <c r="EL4" s="44" t="s">
        <v>435</v>
      </c>
      <c r="EM4" s="44" t="s">
        <v>436</v>
      </c>
      <c r="EN4" s="44" t="s">
        <v>437</v>
      </c>
      <c r="EO4" s="44" t="s">
        <v>438</v>
      </c>
      <c r="EP4" s="44" t="s">
        <v>439</v>
      </c>
      <c r="EQ4" s="44" t="s">
        <v>440</v>
      </c>
      <c r="ER4" s="44" t="s">
        <v>188</v>
      </c>
      <c r="ES4" s="44" t="s">
        <v>367</v>
      </c>
      <c r="ET4" s="44" t="s">
        <v>368</v>
      </c>
      <c r="EU4" s="44" t="s">
        <v>369</v>
      </c>
      <c r="EV4" s="44" t="s">
        <v>370</v>
      </c>
      <c r="EW4" s="44" t="s">
        <v>371</v>
      </c>
      <c r="EX4" s="44" t="s">
        <v>372</v>
      </c>
      <c r="EY4" s="44" t="s">
        <v>202</v>
      </c>
      <c r="EZ4" s="44" t="s">
        <v>404</v>
      </c>
      <c r="FA4" s="44" t="s">
        <v>405</v>
      </c>
      <c r="FB4" s="44" t="s">
        <v>406</v>
      </c>
      <c r="FC4" s="44" t="s">
        <v>407</v>
      </c>
      <c r="FD4" s="44" t="s">
        <v>408</v>
      </c>
      <c r="FE4" s="44" t="s">
        <v>409</v>
      </c>
      <c r="FF4" s="44" t="s">
        <v>203</v>
      </c>
      <c r="FG4" s="44" t="s">
        <v>204</v>
      </c>
      <c r="FH4" s="44" t="s">
        <v>227</v>
      </c>
      <c r="FI4" s="44" t="s">
        <v>228</v>
      </c>
      <c r="FJ4" s="44" t="s">
        <v>441</v>
      </c>
      <c r="FK4" s="44" t="s">
        <v>442</v>
      </c>
      <c r="FL4" s="44" t="s">
        <v>443</v>
      </c>
      <c r="FM4" s="44" t="s">
        <v>444</v>
      </c>
      <c r="FN4" s="44" t="s">
        <v>445</v>
      </c>
      <c r="FO4" s="44" t="s">
        <v>446</v>
      </c>
      <c r="FP4" s="44" t="s">
        <v>189</v>
      </c>
      <c r="FQ4" s="44" t="s">
        <v>373</v>
      </c>
      <c r="FR4" s="44" t="s">
        <v>374</v>
      </c>
      <c r="FS4" s="44" t="s">
        <v>375</v>
      </c>
      <c r="FT4" s="44" t="s">
        <v>376</v>
      </c>
      <c r="FU4" s="44" t="s">
        <v>377</v>
      </c>
      <c r="FV4" s="44" t="s">
        <v>378</v>
      </c>
      <c r="FW4" s="44" t="s">
        <v>205</v>
      </c>
      <c r="FX4" s="44" t="s">
        <v>410</v>
      </c>
      <c r="FY4" s="44" t="s">
        <v>411</v>
      </c>
      <c r="FZ4" s="44" t="s">
        <v>412</v>
      </c>
      <c r="GA4" s="44" t="s">
        <v>413</v>
      </c>
      <c r="GB4" s="44" t="s">
        <v>414</v>
      </c>
      <c r="GC4" s="44" t="s">
        <v>415</v>
      </c>
      <c r="GD4" s="44" t="s">
        <v>206</v>
      </c>
      <c r="GE4" s="44" t="s">
        <v>207</v>
      </c>
      <c r="GF4" s="44" t="s">
        <v>225</v>
      </c>
      <c r="GG4" s="44" t="s">
        <v>226</v>
      </c>
      <c r="GH4" s="44" t="s">
        <v>447</v>
      </c>
      <c r="GI4" s="44" t="s">
        <v>448</v>
      </c>
      <c r="GJ4" s="44" t="s">
        <v>449</v>
      </c>
      <c r="GK4" s="44" t="s">
        <v>450</v>
      </c>
      <c r="GL4" s="44" t="s">
        <v>451</v>
      </c>
      <c r="GM4" s="44" t="s">
        <v>452</v>
      </c>
      <c r="GN4" s="44" t="s">
        <v>190</v>
      </c>
      <c r="GO4" s="44" t="s">
        <v>379</v>
      </c>
      <c r="GP4" s="44" t="s">
        <v>380</v>
      </c>
      <c r="GQ4" s="44" t="s">
        <v>381</v>
      </c>
      <c r="GR4" s="44" t="s">
        <v>382</v>
      </c>
      <c r="GS4" s="44" t="s">
        <v>383</v>
      </c>
      <c r="GT4" s="44" t="s">
        <v>384</v>
      </c>
      <c r="GU4" s="44" t="s">
        <v>208</v>
      </c>
      <c r="GV4" s="44" t="s">
        <v>416</v>
      </c>
      <c r="GW4" s="44" t="s">
        <v>417</v>
      </c>
      <c r="GX4" s="44" t="s">
        <v>418</v>
      </c>
      <c r="GY4" s="44" t="s">
        <v>419</v>
      </c>
      <c r="GZ4" s="44" t="s">
        <v>420</v>
      </c>
      <c r="HA4" s="44" t="s">
        <v>421</v>
      </c>
      <c r="HB4" s="44" t="s">
        <v>209</v>
      </c>
      <c r="HC4" s="44" t="s">
        <v>210</v>
      </c>
      <c r="HD4" s="44" t="s">
        <v>223</v>
      </c>
      <c r="HE4" s="44" t="s">
        <v>224</v>
      </c>
      <c r="HF4" s="44" t="s">
        <v>453</v>
      </c>
      <c r="HG4" s="44" t="s">
        <v>454</v>
      </c>
      <c r="HH4" s="44" t="s">
        <v>455</v>
      </c>
      <c r="HI4" s="44" t="s">
        <v>456</v>
      </c>
      <c r="HJ4" s="44" t="s">
        <v>457</v>
      </c>
      <c r="HK4" s="44" t="s">
        <v>458</v>
      </c>
      <c r="HL4" s="44" t="s">
        <v>191</v>
      </c>
      <c r="HM4" s="44" t="s">
        <v>385</v>
      </c>
      <c r="HN4" s="44" t="s">
        <v>386</v>
      </c>
      <c r="HO4" s="44" t="s">
        <v>387</v>
      </c>
      <c r="HP4" s="44" t="s">
        <v>388</v>
      </c>
      <c r="HQ4" s="44" t="s">
        <v>389</v>
      </c>
      <c r="HR4" s="44" t="s">
        <v>390</v>
      </c>
      <c r="HS4" s="44" t="s">
        <v>211</v>
      </c>
      <c r="HT4" s="44" t="s">
        <v>422</v>
      </c>
      <c r="HU4" s="44" t="s">
        <v>423</v>
      </c>
      <c r="HV4" s="44" t="s">
        <v>424</v>
      </c>
      <c r="HW4" s="44" t="s">
        <v>425</v>
      </c>
      <c r="HX4" s="44" t="s">
        <v>426</v>
      </c>
      <c r="HY4" s="44" t="s">
        <v>427</v>
      </c>
      <c r="HZ4" s="44" t="s">
        <v>212</v>
      </c>
      <c r="IA4" s="44" t="s">
        <v>213</v>
      </c>
      <c r="IB4" s="44" t="s">
        <v>214</v>
      </c>
      <c r="IC4" s="44" t="s">
        <v>222</v>
      </c>
      <c r="ID4" s="44" t="s">
        <v>459</v>
      </c>
      <c r="IE4" s="44" t="s">
        <v>460</v>
      </c>
      <c r="IF4" s="44" t="s">
        <v>461</v>
      </c>
      <c r="IG4" s="44" t="s">
        <v>462</v>
      </c>
      <c r="IH4" s="44" t="s">
        <v>463</v>
      </c>
      <c r="II4" s="44" t="s">
        <v>464</v>
      </c>
    </row>
    <row r="5" spans="1:250" customFormat="1" x14ac:dyDescent="0.25">
      <c r="A5" s="21" t="str">
        <f>'1. Define Process Steps'!A7</f>
        <v>1a) Virtual solution prep for (1): 5 wt% reagent A (organic) in acetonitrile</v>
      </c>
      <c r="B5" s="21" t="s">
        <v>4</v>
      </c>
      <c r="C5" s="21" t="s">
        <v>153</v>
      </c>
      <c r="D5" s="22" t="s">
        <v>156</v>
      </c>
      <c r="E5" s="22" t="s">
        <v>811</v>
      </c>
      <c r="F5" s="26">
        <v>5</v>
      </c>
      <c r="G5" s="26"/>
      <c r="H5" s="26" t="s">
        <v>866</v>
      </c>
      <c r="I5" s="26"/>
      <c r="J5" s="26" t="str">
        <f>INDEX(Process_Steps[Reference],MATCH(Table_Process_Details[[#This Row],[Step Name]],Process_Steps[Name],0))</f>
        <v>Reference Document  for Step 1</v>
      </c>
      <c r="K5" s="27" t="str">
        <f>INDEX(Process_Steps[Real or Virtual?],MATCH(Table_Process_Details[[#This Row],[Step Name]],Process_Steps[Name],0))</f>
        <v>Virtual</v>
      </c>
      <c r="L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5" s="26">
        <f>INDEX(Table_Process_Details[Physical Mass (kg)],MATCH(1,INDEX(((Table_Process_Details[Step Name]=Table_Process_Details[[#This Row],[Step Name]])*(Table_Process_Details[Input or Output]="Output")),0),0))</f>
        <v>100</v>
      </c>
      <c r="O5" s="29">
        <f ca="1">INDEX(Process_Steps[Step Scale Factor for 1kg Packaged API],MATCH(Table_Process_Details[[#This Row],[Step Name]],Process_Steps[Name],0))</f>
        <v>5.5920820445784665E-4</v>
      </c>
      <c r="P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0.33333333333333337</v>
      </c>
      <c r="Q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19.333333333333332</v>
      </c>
      <c r="R5" s="26">
        <f ca="1">_xlfn.SWITCH(Run_Reset_PNG,"Reset",Table_Process_Details[[#This Row],[X Init]],"Run",Table_Process_Details[[#This Row],[X Moved]],"Freeze",Table_Process_Details[[#This Row],[X Mover]])</f>
        <v>-1.3481603715316781</v>
      </c>
      <c r="S5" s="26">
        <f ca="1">_xlfn.SWITCH(Run_Reset_PNG,"Reset",Table_Process_Details[[#This Row],[Y Init]],"Run",Table_Process_Details[[#This Row],[Y Moved]],"Freeze",Table_Process_Details[[#This Row],[Y Mover]])</f>
        <v>34.635016775570541</v>
      </c>
      <c r="T5" s="26">
        <f t="array" aca="1" ref="T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-3.9164322573032497</v>
      </c>
      <c r="U5" s="26">
        <f t="array" aca="1" ref="U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2.6845965660393092</v>
      </c>
      <c r="V5" s="26">
        <f t="array" aca="1" ref="V5" ca="1">SUM(--(SQRT((Table_Process_Details[[#This Row],[X Mover]]-Table_Process_Details[X Mover])^2+(Table_Process_Details[[#This Row],[Y Mover]]-Table_Process_Details[Y Mover])^2)&lt;Collision_Distance))</f>
        <v>9</v>
      </c>
      <c r="W5" s="26">
        <f t="array" aca="1" ref="W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0.41581859539790506</v>
      </c>
      <c r="X5" s="26">
        <f t="array" aca="1" ref="X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-0.13958446394109061</v>
      </c>
      <c r="Y5" s="26">
        <f t="array" aca="1" ref="Y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 s="26">
        <f>0</f>
        <v>0</v>
      </c>
      <c r="AA5" s="26">
        <f>0</f>
        <v>0</v>
      </c>
      <c r="AB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0.67408018576583906</v>
      </c>
      <c r="AC5" s="26">
        <f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-17.317508387785271</v>
      </c>
      <c r="AD5" s="26">
        <f>MIN(1,COUNTA(Table_Process_Details[[#This Row],[target x]]),COUNTA(Table_Process_Details[[#This Row],[target y]]))*COUNTA(Table_Process_Details[Step Name])</f>
        <v>98</v>
      </c>
      <c r="AE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-1.3606225465916257</v>
      </c>
      <c r="AF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34.617011549704038</v>
      </c>
      <c r="AG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5" s="26">
        <f t="array" aca="1" ref="AH5" ca="1">INDEX(Table_Process_Details[X Mover],MATCH(1,INDEX((Table_Process_Details[Input or Output]="Output")*(Table_Process_Details[Step Name]=Table_Process_Details[[#This Row],[Step Name]])*(Table_Process_Details[[#This Row],[Input or Output]]="Input"),0),0))</f>
        <v>2.3275130569467728</v>
      </c>
      <c r="AI5" s="26">
        <f t="array" aca="1" ref="AI5" ca="1">INDEX(Table_Process_Details[Y Mover],MATCH(1,INDEX((Table_Process_Details[Input or Output]="Output")*(Table_Process_Details[Step Name]=Table_Process_Details[[#This Row],[Step Name]])*(Table_Process_Details[[#This Row],[Input or Output]]="Input"),0),0))</f>
        <v>33.401144815982704</v>
      </c>
      <c r="AJ5" s="26" t="e">
        <f ca="1">SQRT((Table_Process_Details[[#This Row],[X End (To Node Center)]]-Table_Process_Details[[#This Row],[X Guide]])^2+(Table_Process_Details[[#This Row],[Y End (to Node Center)]]-Table_Process_Details[[#This Row],[Y Guide]])^2)</f>
        <v>#N/A</v>
      </c>
      <c r="AK5" s="26" t="e">
        <f t="array" ref="AK5">INDEX(Table_Process_Details[X Mover],MATCH(1,INDEX((Table_Process_Details[Step Name]=Table_Process_Details[[#This Row],[LCA Data Source Subclass]])*(Table_Process_Details[Input or Output]="Output"),0)*(Table_Process_Details[[#This Row],[Input or Output]]="Input"),0))</f>
        <v>#N/A</v>
      </c>
      <c r="AL5" s="26">
        <f t="array" aca="1" ref="AL5" ca="1">INDEX(Table_Process_Details[X Mover],MATCH(1,INDEX(((Table_Process_Details[Table Row]=Table_Process_Details[[#This Row],[Table Row]])*(1)),0)*(Table_Process_Details[[#This Row],[Input or Output]]="Input"),0))</f>
        <v>-1.3481603715316781</v>
      </c>
      <c r="AM5" s="26" t="e">
        <f t="array" aca="1" ref="AM5" ca="1">(Table_Process_Details[[#This Row],[X End (To Node Center)]]*Table_Process_Details[[#This Row],[r0]]-Table_Process_Details[[#This Row],[X End (To Node Center)]]*Arrow_Offset+Table_Process_Details[[#This Row],[X Guide]]*Arrow_Offset)/Table_Process_Details[[#This Row],[r0]]</f>
        <v>#N/A</v>
      </c>
      <c r="AN5" s="26" t="e">
        <f>IF(NOT(Table_Process_Details[[#This Row],[Display As]]="None"),Table_Process_Details[[#This Row],[X Start Prefilter]],NA())</f>
        <v>#N/A</v>
      </c>
      <c r="AO5" s="26" t="e">
        <f>IF(NOT(Table_Process_Details[[#This Row],[Display As]]="None"),Table_Process_Details[[#This Row],[X Guide Prefilter]],NA())</f>
        <v>#N/A</v>
      </c>
      <c r="AP5" s="26" t="e">
        <f>IF(NOT(Table_Process_Details[[#This Row],[Display As]]="None"),Table_Process_Details[[#This Row],[X End (to Stop Radius) Prefilter]],NA())</f>
        <v>#N/A</v>
      </c>
      <c r="AQ5" s="26" t="e">
        <f>NA()</f>
        <v>#N/A</v>
      </c>
      <c r="AR5" s="26" t="e">
        <f t="array" ref="AR5">INDEX(Table_Process_Details[Y Mover],MATCH(1,INDEX((Table_Process_Details[Step Name]=Table_Process_Details[[#This Row],[LCA Data Source Subclass]])*(Table_Process_Details[Input or Output]="Output"),0)*(Table_Process_Details[[#This Row],[Input or Output]]="Input"),0))</f>
        <v>#N/A</v>
      </c>
      <c r="AS5" s="26">
        <f t="array" aca="1" ref="AS5" ca="1">INDEX(Table_Process_Details[Y Mover],MATCH(1,INDEX(((Table_Process_Details[Table Row]=Table_Process_Details[[#This Row],[Table Row]])*(1)),0)*(Table_Process_Details[[#This Row],[Input or Output]]="Input"),0))</f>
        <v>34.635016775570541</v>
      </c>
      <c r="AT5" s="26" t="e">
        <f t="array" aca="1" ref="AT5" ca="1">(Table_Process_Details[[#This Row],[Y Guide]]*Arrow_Offset-Table_Process_Details[[#This Row],[Y End (to Node Center)]]*Arrow_Offset+Table_Process_Details[[#This Row],[Y End (to Node Center)]]*Table_Process_Details[[#This Row],[r0]])/Table_Process_Details[[#This Row],[r0]]</f>
        <v>#N/A</v>
      </c>
      <c r="AU5" s="26" t="e">
        <f>IF(NOT(Table_Process_Details[[#This Row],[Display As]]="None"),Table_Process_Details[[#This Row],[Y Start Prefilter]],NA())</f>
        <v>#N/A</v>
      </c>
      <c r="AV5" s="26" t="e">
        <f>IF(NOT(Table_Process_Details[[#This Row],[Display As]]="None"),Table_Process_Details[[#This Row],[Y Guide Prefilter]],NA())</f>
        <v>#N/A</v>
      </c>
      <c r="AW5" s="26" t="e">
        <f>IF(NOT(Table_Process_Details[[#This Row],[Display As]]="None"),Table_Process_Details[[#This Row],[Y End (to Stop Radius) Prefilter]],NA())</f>
        <v>#N/A</v>
      </c>
      <c r="AX5" s="26" t="e">
        <f>NA()</f>
        <v>#N/A</v>
      </c>
      <c r="AY5" s="26" t="e">
        <f>IF(Table_Process_Details[[#This Row],[Display As]]="Real Step",Table_Process_Details[[#This Row],[X Mover]],NA())</f>
        <v>#N/A</v>
      </c>
      <c r="AZ5" s="26" t="e">
        <f>IF(Table_Process_Details[[#This Row],[Display As]]="Real Step",Table_Process_Details[[#This Row],[Y Mover]],NA())</f>
        <v>#N/A</v>
      </c>
      <c r="BA5" s="26" t="e">
        <f>IF(Table_Process_Details[[#This Row],[Display As]]="Raw Material",Table_Process_Details[[#This Row],[X Mover]],NA())</f>
        <v>#N/A</v>
      </c>
      <c r="BB5" s="26" t="e">
        <f>IF(Table_Process_Details[[#This Row],[Display As]]="Raw Material",Table_Process_Details[[#This Row],[Y Mover]],NA())</f>
        <v>#N/A</v>
      </c>
      <c r="BC5" s="26" t="e">
        <f>IF(OR(Table_Process_Details[[#This Row],[Display As]]="Real Step",Table_Process_Details[[#This Row],[Display As]]="Raw Material"),Table_Process_Details[[#This Row],[X Mover]],NA())</f>
        <v>#N/A</v>
      </c>
      <c r="BD5" s="26" t="e">
        <f>IF(OR(Table_Process_Details[[#This Row],[Display As]]="Real Step",Table_Process_Details[[#This Row],[Display As]]="Raw Material"),Table_Process_Details[[#This Row],[Y Mover]],NA())</f>
        <v>#N/A</v>
      </c>
      <c r="BE5" s="21">
        <f>ROW()-ROW(Table_Process_Details[[#Headers],[Table Row]])</f>
        <v>1</v>
      </c>
      <c r="BF5" s="17" t="str">
        <f t="array" aca="1" ref="BF5" ca="1">INDEX(Table_Process_Details[Display Name],MATCH(0,IF(Table_Process_Details[Input or Output]="Input",INDEX(COUNTIF(OFFSET(Table_Process_Details[[#Headers],[Unique Process Inputs]],0,0,Table_Process_Details[[#This Row],[Table Row]],1),Table_Process_Details[Display Name]),),""),0))</f>
        <v>reagent A (organic)</v>
      </c>
      <c r="BG5" s="17">
        <f ca="1">Table_Process_Details[[#This Row],[Physical Mass (kg)]]*Table_Process_Details[[#This Row],[Step Scale Factor for 1kg Packaged API]]</f>
        <v>2.7960410222892334E-3</v>
      </c>
      <c r="BH5" s="17">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 s="17">
        <f ca="1">MATCH(Table_Process_Details[[#This Row],[LCA Data Source Class]],INDIRECT(Table_Process_Details[[#This Row],[Input or Output]]),0)</f>
        <v>3</v>
      </c>
      <c r="BJ5" s="17">
        <f ca="1">MATCH(Table_Process_Details[[#This Row],[LCA Data Source Subclass]],INDIRECT(Table_Process_Details[[#This Row],[LCA Data Source Class]]&amp;"[Name]"),0)</f>
        <v>1</v>
      </c>
      <c r="BK5" s="17">
        <f ca="1">IFERROR(INDEX(INDIRECT(Table_Process_Details[[#This Row],[LCA Data Source Class]]&amp;"[Mass Net (kg)]"),MATCH(Table_Process_Details[[#This Row],[LCA Data Source Subclass]],INDIRECT(Table_Process_Details[[#This Row],[LCA Data Source Class]]&amp;"[Name]"),0)),0)</f>
        <v>2.0861208174193546</v>
      </c>
      <c r="BL5" s="17">
        <f ca="1">IFERROR(INDEX(INDIRECT(Table_Process_Details[[#This Row],[LCA Data Source Class]]&amp;"[Energy (MJ)]"),MATCH(Table_Process_Details[[#This Row],[LCA Data Source Subclass]],INDIRECT(Table_Process_Details[[#This Row],[LCA Data Source Class]]&amp;"[Name]"),0)),0)</f>
        <v>74.867288612903238</v>
      </c>
      <c r="BM5" s="17">
        <f ca="1">IFERROR(INDEX(INDIRECT(Table_Process_Details[[#This Row],[LCA Data Source Class]]&amp;"[GWP (kg CO2 equiv.)]"),MATCH(Table_Process_Details[[#This Row],[LCA Data Source Subclass]],INDIRECT(Table_Process_Details[[#This Row],[LCA Data Source Class]]&amp;"[Name]"),0)),0)</f>
        <v>2.6244035558064511</v>
      </c>
      <c r="BN5" s="17">
        <f ca="1">IFERROR(INDEX(INDIRECT(Table_Process_Details[[#This Row],[LCA Data Source Class]]&amp;"[Acidification (kg SO2 equiv.)]"),MATCH(Table_Process_Details[[#This Row],[LCA Data Source Subclass]],INDIRECT(Table_Process_Details[[#This Row],[LCA Data Source Class]]&amp;"[Name]"),0)),0)</f>
        <v>1.1223113743548388E-2</v>
      </c>
      <c r="BO5" s="17">
        <f ca="1">IFERROR(INDEX(INDIRECT(Table_Process_Details[[#This Row],[LCA Data Source Class]]&amp;"[Eutrophication (kg posphate equiv.)]"),MATCH(Table_Process_Details[[#This Row],[LCA Data Source Subclass]],INDIRECT(Table_Process_Details[[#This Row],[LCA Data Source Class]]&amp;"[Name]"),0)),0)</f>
        <v>8.9864536225806452E-3</v>
      </c>
      <c r="BP5" s="17">
        <f ca="1">IFERROR(INDEX(INDIRECT(Table_Process_Details[[#This Row],[LCA Data Source Class]]&amp;"[Water (kg)]"),MATCH(Table_Process_Details[[#This Row],[LCA Data Source Subclass]],INDIRECT(Table_Process_Details[[#This Row],[LCA Data Source Class]]&amp;"[Name]"),0)),0)</f>
        <v>14.695319198225807</v>
      </c>
      <c r="BQ5" s="27">
        <f ca="1">(Table_Process_Details[[#This Row],[Input or Output]]="Input")*(Table_Process_Details[[#This Row],[LCA Data Source Class]]&lt;&gt;"Process_Steps")*Table_Process_Details[[#This Row],[Scaled Physical Mass per kg API for All Inputs &amp; Outputs]]</f>
        <v>2.7960410222892334E-3</v>
      </c>
      <c r="BR5" s="27">
        <f ca="1">(Table_Process_Details[[#This Row],[Material Class]]="REAGENT")*Table_Process_Details[[#This Row],[Physical Mass per kg API]]</f>
        <v>2.7960410222892334E-3</v>
      </c>
      <c r="BS5" s="27">
        <f ca="1">(Table_Process_Details[[#This Row],[Material Class]]="METAL")*Table_Process_Details[[#This Row],[Physical Mass per kg API]]</f>
        <v>0</v>
      </c>
      <c r="BT5" s="27">
        <f ca="1">(Table_Process_Details[[#This Row],[Material Class]]="SOLVENT")*Table_Process_Details[[#This Row],[Physical Mass per kg API]]</f>
        <v>0</v>
      </c>
      <c r="BU5" s="27">
        <f ca="1">(Table_Process_Details[[#This Row],[Material Class]]="WATER")*Table_Process_Details[[#This Row],[Physical Mass per kg API]]</f>
        <v>0</v>
      </c>
      <c r="BV5" s="27">
        <f ca="1">(Table_Process_Details[[#This Row],[Material Class]]="ENZ&amp;PLNT")*Table_Process_Details[[#This Row],[Physical Mass per kg API]]</f>
        <v>0</v>
      </c>
      <c r="BW5" s="27">
        <f ca="1">(Table_Process_Details[[#This Row],[Material Class]]="OTHER")*Table_Process_Details[[#This Row],[Physical Mass per kg API]]</f>
        <v>0</v>
      </c>
      <c r="BX5" s="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5" s="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 s="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 s="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
        <f ca="1">SUMIFS(Table_Process_Details[RV Physical Mass per kg API],Table_Process_Details[Display Name],Table_Process_Details[[#This Row],[Unique Process Inputs]],Table_Process_Details[Input or Output],"Input")</f>
        <v>0</v>
      </c>
      <c r="CF5">
        <f ca="1">SUMIFS(Table_Process_Details[RV Physical Mass per kg API (REAGENT)],Table_Process_Details[Display Name],Table_Process_Details[[#This Row],[Unique Process Inputs]],Table_Process_Details[Input or Output],"Input")</f>
        <v>0</v>
      </c>
      <c r="CG5">
        <f ca="1">SUMIFS(Table_Process_Details[RV Physical Mass per kg API (METAL)],Table_Process_Details[Display Name],Table_Process_Details[[#This Row],[Unique Process Inputs]],Table_Process_Details[Input or Output],"Input")</f>
        <v>0</v>
      </c>
      <c r="CH5">
        <f ca="1">SUMIFS(Table_Process_Details[RV Physical Mass per kg API (SOLVENT)],Table_Process_Details[Display Name],Table_Process_Details[[#This Row],[Unique Process Inputs]],Table_Process_Details[Input or Output],"Input")</f>
        <v>0</v>
      </c>
      <c r="CI5">
        <f ca="1">SUMIFS(Table_Process_Details[RV Physical Mass per kg API (WATER)],Table_Process_Details[Display Name],Table_Process_Details[[#This Row],[Unique Process Inputs]],Table_Process_Details[Input or Output],"Input")</f>
        <v>0</v>
      </c>
      <c r="CJ5">
        <f ca="1">SUMIFS(Table_Process_Details[RV Physical Mass per kg API (ENZ&amp;PLNT)],Table_Process_Details[Display Name],Table_Process_Details[[#This Row],[Unique Process Inputs]],Table_Process_Details[Input or Output],"Input")</f>
        <v>0</v>
      </c>
      <c r="CK5">
        <f ca="1">SUMIFS(Table_Process_Details[RV Physical Mass per kg API (OTHER)],Table_Process_Details[Display Name],Table_Process_Details[[#This Row],[Unique Process Inputs]],Table_Process_Details[Input or Output],"Input")</f>
        <v>0</v>
      </c>
      <c r="CL5" s="22" t="str">
        <f ca="1">INDEX(Table_Process_Details[Unique Process Inputs],MATCH(Table_Process_Details[[#This Row],['[Physical Mass per kg API'] of Unique Inputs Sorted by '[Physical Mass per kg API']]],Table_Process_Details[Total '[Physical Mass per kg API'] of Unique Inputs],0))</f>
        <v>water</v>
      </c>
      <c r="CM5" s="22">
        <f ca="1">IF(LARGE(Table_Process_Details[Total '[Physical Mass per kg API'] of Unique Inputs],Table_Process_Details[[#This Row],[Table Row]])=0,NA(),LARGE(Table_Process_Details[Total '[Physical Mass per kg API'] of Unique Inputs],Table_Process_Details[[#This Row],[Table Row]]))</f>
        <v>40.226791975356207</v>
      </c>
      <c r="CN5" s="22">
        <f ca="1">SUM(OFFSET(Table_Process_Details['[Physical Mass per kg API'] of Unique Inputs Sorted by '[Physical Mass per kg API']],0,0,Table_Process_Details[[#This Row],[Table Row]]))</f>
        <v>40.226791975356207</v>
      </c>
      <c r="CO5" s="22" t="str">
        <f ca="1">"("&amp;TEXT(Table_Process_Details[[#This Row],['[Physical Mass per kg API'] of Unique Inputs Sorted by '[Physical Mass per kg API']]]/SUMIF(Table_Process_Details['[Physical Mass per kg API'] of Unique Inputs Sorted by '[Physical Mass per kg API']],"&lt;&gt;#N/A"),"0%")&amp;")"</f>
        <v>(27%)</v>
      </c>
      <c r="CP5" s="22">
        <f ca="1">INDEX(Table_Process_Details[Total '[Physical Mass per kg API'] of Unique Inputs (REAGENT)],MATCH(Table_Process_Details[[#This Row],[Unique Inputs Sorted by '[Physical Mass per kg API']]],Table_Process_Details[Unique Process Inputs],0))</f>
        <v>0</v>
      </c>
      <c r="CQ5" s="22">
        <f ca="1">INDEX(Table_Process_Details[Total '[Physical Mass per kg API'] of Unique Inputs (METAL)],MATCH(Table_Process_Details[[#This Row],[Unique Inputs Sorted by '[Physical Mass per kg API']]],Table_Process_Details[Unique Process Inputs],0))</f>
        <v>0</v>
      </c>
      <c r="CR5" s="22">
        <f ca="1">INDEX(Table_Process_Details[Total '[Physical Mass per kg API'] of Unique Inputs (SOLVENT)],MATCH(Table_Process_Details[[#This Row],[Unique Inputs Sorted by '[Physical Mass per kg API']]],Table_Process_Details[Unique Process Inputs],0))</f>
        <v>0</v>
      </c>
      <c r="CS5" s="22">
        <f ca="1">INDEX(Table_Process_Details[Total '[Physical Mass per kg API'] of Unique Inputs (WATER)],MATCH(Table_Process_Details[[#This Row],[Unique Inputs Sorted by '[Physical Mass per kg API']]],Table_Process_Details[Unique Process Inputs],0))</f>
        <v>40.226791975356207</v>
      </c>
      <c r="CT5" s="22">
        <f ca="1">INDEX(Table_Process_Details[Total '[Physical Mass per kg API'] of Unique Inputs (ENZ&amp;PLNT)],MATCH(Table_Process_Details[[#This Row],[Unique Inputs Sorted by '[Physical Mass per kg API']]],Table_Process_Details[Unique Process Inputs],0))</f>
        <v>0</v>
      </c>
      <c r="CU5" s="22">
        <f ca="1">INDEX(Table_Process_Details[Total '[Physical Mass per kg API'] of Unique Inputs (OTHER)],MATCH(Table_Process_Details[[#This Row],[Unique Inputs Sorted by '[Physical Mass per kg API']]],Table_Process_Details[Unique Process Inputs],0))</f>
        <v>0</v>
      </c>
      <c r="CV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
        <f ca="1">SUMIFS(Table_Process_Details[RV Mass Net (kg) per kg API],Table_Process_Details[Display Name],Table_Process_Details[[#This Row],[Unique Process Inputs]],Table_Process_Details[Input or Output],"Input")</f>
        <v>0</v>
      </c>
      <c r="DD5">
        <f ca="1">SUMIFS(Table_Process_Details[RV Mass Net (kg) per kg API (REAGENT)],Table_Process_Details[Display Name],Table_Process_Details[[#This Row],[Unique Process Inputs]],Table_Process_Details[Input or Output],"Input")</f>
        <v>0</v>
      </c>
      <c r="DE5">
        <f ca="1">SUMIFS(Table_Process_Details[RV Mass Net (kg) per kg API (METAL)],Table_Process_Details[Display Name],Table_Process_Details[[#This Row],[Unique Process Inputs]],Table_Process_Details[Input or Output],"Input")</f>
        <v>0</v>
      </c>
      <c r="DF5">
        <f ca="1">SUMIFS(Table_Process_Details[RV Mass Net (kg) per kg API (SOLVENT)],Table_Process_Details[Display Name],Table_Process_Details[[#This Row],[Unique Process Inputs]],Table_Process_Details[Input or Output],"Input")</f>
        <v>0</v>
      </c>
      <c r="DG5">
        <f ca="1">SUMIFS(Table_Process_Details[RV Mass Net (kg) per kg API (WATER)],Table_Process_Details[Display Name],Table_Process_Details[[#This Row],[Unique Process Inputs]],Table_Process_Details[Input or Output],"Input")</f>
        <v>0</v>
      </c>
      <c r="DH5">
        <f ca="1">SUMIFS(Table_Process_Details[RV Mass Net (kg) per kg API (ENZ&amp;PLNT)],Table_Process_Details[Display Name],Table_Process_Details[[#This Row],[Unique Process Inputs]],Table_Process_Details[Input or Output],"Input")</f>
        <v>0</v>
      </c>
      <c r="DI5">
        <f ca="1">SUMIFS(Table_Process_Details[RV Mass Net (kg) per kg API (OTHER)],Table_Process_Details[Display Name],Table_Process_Details[[#This Row],[Unique Process Inputs]],Table_Process_Details[Input or Output],"Input")</f>
        <v>0</v>
      </c>
      <c r="DJ5" t="str">
        <f ca="1">INDEX(Table_Process_Details[Unique Process Inputs],MATCH(Table_Process_Details[[#This Row],['[Mass Net (kg) per kg API'] of Unique Inputs Sorted by '[Mass Net (kg) per kg API']]],Table_Process_Details[Total '[Mass Net (kg) per kg API'] of Unique Inputs],0))</f>
        <v>IPA</v>
      </c>
      <c r="DK5" s="22">
        <f ca="1">IF(LARGE(Table_Process_Details[Total '[Mass Net (kg) per kg API'] of Unique Inputs],Table_Process_Details[[#This Row],[Table Row]])=0,NA(),LARGE(Table_Process_Details[Total '[Mass Net (kg) per kg API'] of Unique Inputs],Table_Process_Details[[#This Row],[Table Row]]))</f>
        <v>28.871877999999999</v>
      </c>
      <c r="DL5" s="22">
        <f ca="1">SUM(OFFSET(Table_Process_Details['[Mass Net (kg) per kg API'] of Unique Inputs Sorted by '[Mass Net (kg) per kg API']],0,0,Table_Process_Details[[#This Row],[Table Row]]))</f>
        <v>28.871877999999999</v>
      </c>
      <c r="DM5" s="22" t="str">
        <f ca="1">"("&amp;TEXT(Table_Process_Details[[#This Row],['[Mass Net (kg) per kg API'] of Unique Inputs Sorted by '[Mass Net (kg) per kg API']]]/SUMIF(Table_Process_Details['[Mass Net (kg) per kg API'] of Unique Inputs Sorted by '[Mass Net (kg) per kg API']],"&lt;&gt;#N/A"),"0%")&amp;")"</f>
        <v>(23%)</v>
      </c>
      <c r="DN5" s="22">
        <f ca="1">INDEX(Table_Process_Details[Total '[Mass Net (kg) per kg API'] of Unique Inputs (REAGENT)], MATCH(Table_Process_Details[[#This Row],[Unique Inputs Sorted by '[Mass Net (kg) per kg API']]],Table_Process_Details[Unique Process Inputs],0))</f>
        <v>0</v>
      </c>
      <c r="DO5" s="22">
        <f ca="1">INDEX(Table_Process_Details[Total '[Mass Net (kg) per kg API'] of Unique Inputs (METAL)], MATCH(Table_Process_Details[[#This Row],[Unique Inputs Sorted by '[Mass Net (kg) per kg API']]],Table_Process_Details[Unique Process Inputs],0))</f>
        <v>0</v>
      </c>
      <c r="DP5" s="22">
        <f ca="1">INDEX(Table_Process_Details[Total '[Mass Net (kg) per kg API'] of Unique Inputs (SOLVENT)], MATCH(Table_Process_Details[[#This Row],[Unique Inputs Sorted by '[Mass Net (kg) per kg API']]],Table_Process_Details[Unique Process Inputs],0))</f>
        <v>28.871877999999999</v>
      </c>
      <c r="DQ5" s="22">
        <f ca="1">INDEX(Table_Process_Details[Total '[Mass Net (kg) per kg API'] of Unique Inputs (WATER)], MATCH(Table_Process_Details[[#This Row],[Unique Inputs Sorted by '[Mass Net (kg) per kg API']]],Table_Process_Details[Unique Process Inputs],0))</f>
        <v>0</v>
      </c>
      <c r="DR5" s="22">
        <f ca="1">INDEX(Table_Process_Details[Total '[Mass Net (kg) per kg API'] of Unique Inputs (ENZ&amp;PLNT)], MATCH(Table_Process_Details[[#This Row],[Unique Inputs Sorted by '[Mass Net (kg) per kg API']]],Table_Process_Details[Unique Process Inputs],0))</f>
        <v>0</v>
      </c>
      <c r="DS5" s="22">
        <f ca="1">INDEX(Table_Process_Details[Total '[Mass Net (kg) per kg API'] of Unique Inputs (OTHER)], MATCH(Table_Process_Details[[#This Row],[Unique Inputs Sorted by '[Mass Net (kg) per kg API']]],Table_Process_Details[Unique Process Inputs],0))</f>
        <v>0</v>
      </c>
      <c r="DT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
        <f ca="1">SUMIFS(Table_Process_Details[RV Energy (MJ) per kg API],Table_Process_Details[Display Name],Table_Process_Details[[#This Row],[Unique Process Inputs]],Table_Process_Details[Input or Output],"Input")</f>
        <v>0</v>
      </c>
      <c r="EB5">
        <f ca="1">SUMIFS(Table_Process_Details[RV Energy (MJ) per kg API (REAGENT)],Table_Process_Details[Display Name],Table_Process_Details[[#This Row],[Unique Process Inputs]],Table_Process_Details[Input or Output],"Input")</f>
        <v>0</v>
      </c>
      <c r="EC5">
        <f ca="1">SUMIFS(Table_Process_Details[RV Energy (MJ) per kg API (METAL)],Table_Process_Details[Display Name],Table_Process_Details[[#This Row],[Unique Process Inputs]],Table_Process_Details[Input or Output],"Input")</f>
        <v>0</v>
      </c>
      <c r="ED5">
        <f ca="1">SUMIFS(Table_Process_Details[RV Energy (MJ) per kg API (SOLVENT)],Table_Process_Details[Display Name],Table_Process_Details[[#This Row],[Unique Process Inputs]],Table_Process_Details[Input or Output],"Input")</f>
        <v>0</v>
      </c>
      <c r="EE5">
        <f ca="1">SUMIFS(Table_Process_Details[RV Energy (MJ) per kg API (WATER)],Table_Process_Details[Display Name],Table_Process_Details[[#This Row],[Unique Process Inputs]],Table_Process_Details[Input or Output],"Input")</f>
        <v>0</v>
      </c>
      <c r="EF5">
        <f ca="1">SUMIFS(Table_Process_Details[RV Energy (MJ) per kg API (ENZ&amp;PLNT)],Table_Process_Details[Display Name],Table_Process_Details[[#This Row],[Unique Process Inputs]],Table_Process_Details[Input or Output],"Input")</f>
        <v>0</v>
      </c>
      <c r="EG5">
        <f ca="1">SUMIFS(Table_Process_Details[RV Energy (MJ) per kg API (OTHER)],Table_Process_Details[Display Name],Table_Process_Details[[#This Row],[Unique Process Inputs]],Table_Process_Details[Input or Output],"Input")</f>
        <v>0</v>
      </c>
      <c r="EH5" t="str">
        <f ca="1">INDEX(Table_Process_Details[Unique Process Inputs],MATCH(Table_Process_Details[[#This Row],['[Energy (MJ) per kg API'] of Unique Inputs Sorted by '[Energy (MJ) per kg API']]],Table_Process_Details[Total '[Energy (MJ) per kg API'] of Unique Inputs],0))</f>
        <v>IPA</v>
      </c>
      <c r="EI5" s="22">
        <f ca="1">IF(LARGE(Table_Process_Details[Total '[Energy (MJ) per kg API'] of Unique Inputs],Table_Process_Details[[#This Row],[Table Row]])=0,NA(),LARGE(Table_Process_Details[Total '[Energy (MJ) per kg API'] of Unique Inputs],Table_Process_Details[[#This Row],[Table Row]]))</f>
        <v>1255.00866</v>
      </c>
      <c r="EJ5" s="22">
        <f ca="1">SUM(OFFSET(Table_Process_Details['[Energy (MJ) per kg API'] of Unique Inputs Sorted by '[Energy (MJ) per kg API']],0,0,Table_Process_Details[[#This Row],[Table Row]]))</f>
        <v>1255.00866</v>
      </c>
      <c r="EK5" s="22" t="str">
        <f ca="1">"("&amp;TEXT(Table_Process_Details[[#This Row],['[Energy (MJ) per kg API'] of Unique Inputs Sorted by '[Energy (MJ) per kg API']]]/SUMIF(Table_Process_Details['[Energy (MJ) per kg API'] of Unique Inputs Sorted by '[Energy (MJ) per kg API']],"&lt;&gt;#N/A"),"0%")&amp;")"</f>
        <v>(25%)</v>
      </c>
      <c r="EL5" s="22">
        <f ca="1">INDEX(Table_Process_Details[Total '[Energy (MJ) per kg API'] of Unique Inputs (REAGENT)], MATCH(Table_Process_Details[[#This Row],[Unique Inputs Sorted by '[Energy (MJ) per kg API']]],Table_Process_Details[Unique Process Inputs],0))</f>
        <v>0</v>
      </c>
      <c r="EM5" s="22">
        <f ca="1">INDEX(Table_Process_Details[Total '[Energy (MJ) per kg API'] of Unique Inputs (METAL)], MATCH(Table_Process_Details[[#This Row],[Unique Inputs Sorted by '[Energy (MJ) per kg API']]],Table_Process_Details[Unique Process Inputs],0))</f>
        <v>0</v>
      </c>
      <c r="EN5" s="22">
        <f ca="1">INDEX(Table_Process_Details[Total '[Energy (MJ) per kg API'] of Unique Inputs (SOLVENT)], MATCH(Table_Process_Details[[#This Row],[Unique Inputs Sorted by '[Energy (MJ) per kg API']]],Table_Process_Details[Unique Process Inputs],0))</f>
        <v>1255.00866</v>
      </c>
      <c r="EO5" s="22">
        <f ca="1">INDEX(Table_Process_Details[Total '[Energy (MJ) per kg API'] of Unique Inputs (WATER)], MATCH(Table_Process_Details[[#This Row],[Unique Inputs Sorted by '[Energy (MJ) per kg API']]],Table_Process_Details[Unique Process Inputs],0))</f>
        <v>0</v>
      </c>
      <c r="EP5" s="22">
        <f ca="1">INDEX(Table_Process_Details[Total '[Energy (MJ) per kg API'] of Unique Inputs (ENZ&amp;PLNT)], MATCH(Table_Process_Details[[#This Row],[Unique Inputs Sorted by '[Energy (MJ) per kg API']]],Table_Process_Details[Unique Process Inputs],0))</f>
        <v>0</v>
      </c>
      <c r="EQ5" s="22">
        <f ca="1">INDEX(Table_Process_Details[Total '[Energy (MJ) per kg API'] of Unique Inputs (OTHER)], MATCH(Table_Process_Details[[#This Row],[Unique Inputs Sorted by '[Energy (MJ) per kg API']]],Table_Process_Details[Unique Process Inputs],0))</f>
        <v>0</v>
      </c>
      <c r="ER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
        <f ca="1">SUMIFS(Table_Process_Details[RV GWP (kg CO2 equiv.) per kg API],Table_Process_Details[Display Name],Table_Process_Details[[#This Row],[Unique Process Inputs]],Table_Process_Details[Input or Output],"Input")</f>
        <v>0</v>
      </c>
      <c r="EZ5">
        <f ca="1">SUMIFS(Table_Process_Details[RV GWP (kg CO2 equiv.) per kg API (REAGENT)],Table_Process_Details[Display Name],Table_Process_Details[[#This Row],[Unique Process Inputs]],Table_Process_Details[Input or Output],"Input")</f>
        <v>0</v>
      </c>
      <c r="FA5">
        <f ca="1">SUMIFS(Table_Process_Details[RV GWP (kg CO2 equiv.) per kg API (METAL)],Table_Process_Details[Display Name],Table_Process_Details[[#This Row],[Unique Process Inputs]],Table_Process_Details[Input or Output],"Input")</f>
        <v>0</v>
      </c>
      <c r="FB5">
        <f ca="1">SUMIFS(Table_Process_Details[RV GWP (kg CO2 equiv.) per kg API (SOLVENT)],Table_Process_Details[Display Name],Table_Process_Details[[#This Row],[Unique Process Inputs]],Table_Process_Details[Input or Output],"Input")</f>
        <v>0</v>
      </c>
      <c r="FC5">
        <f ca="1">SUMIFS(Table_Process_Details[RV GWP (kg CO2 equiv.) per kg API (WATER)],Table_Process_Details[Display Name],Table_Process_Details[[#This Row],[Unique Process Inputs]],Table_Process_Details[Input or Output],"Input")</f>
        <v>0</v>
      </c>
      <c r="FD5">
        <f ca="1">SUMIFS(Table_Process_Details[RV GWP (kg CO2 equiv.) per kg API (ENZ&amp;PLNT)],Table_Process_Details[Display Name],Table_Process_Details[[#This Row],[Unique Process Inputs]],Table_Process_Details[Input or Output],"Input")</f>
        <v>0</v>
      </c>
      <c r="FE5">
        <f ca="1">SUMIFS(Table_Process_Details[RV GWP (kg CO2 equiv.) per kg API (OTHER)],Table_Process_Details[Display Name],Table_Process_Details[[#This Row],[Unique Process Inputs]],Table_Process_Details[Input or Output],"Input")</f>
        <v>0</v>
      </c>
      <c r="FF5" t="str">
        <f ca="1">INDEX(Table_Process_Details[Unique Process Inputs],MATCH(Table_Process_Details[[#This Row],['[GWP (kg CO2 equiv.) per kg API'] of Unique Inputs Sorted by '[GWP (kg CO2 equiv.) per kg API']]],Table_Process_Details[Total '[GWP (kg CO2 equiv.) per kg API'] of Unique Inputs],0))</f>
        <v>IPA</v>
      </c>
      <c r="FG5" s="22">
        <f ca="1">IF(LARGE(Table_Process_Details[Total '[GWP (kg CO2 equiv.) per kg API'] of Unique Inputs],Table_Process_Details[[#This Row],[Table Row]])=0,NA(),LARGE(Table_Process_Details[Total '[GWP (kg CO2 equiv.) per kg API'] of Unique Inputs],Table_Process_Details[[#This Row],[Table Row]]))</f>
        <v>36.963594000000001</v>
      </c>
      <c r="FH5" s="22">
        <f ca="1">SUM(OFFSET(Table_Process_Details['[GWP (kg CO2 equiv.) per kg API'] of Unique Inputs Sorted by '[GWP (kg CO2 equiv.) per kg API']],0,0,Table_Process_Details[[#This Row],[Table Row]]))</f>
        <v>36.963594000000001</v>
      </c>
      <c r="FI5" s="22" t="str">
        <f ca="1">"("&amp;TEXT(Table_Process_Details[[#This Row],['[GWP (kg CO2 equiv.) per kg API'] of Unique Inputs Sorted by '[GWP (kg CO2 equiv.) per kg API']]]/SUMIF(Table_Process_Details['[GWP (kg CO2 equiv.) per kg API'] of Unique Inputs Sorted by '[GWP (kg CO2 equiv.) per kg API']],"&lt;&gt;#N/A"),"0%")&amp;")"</f>
        <v>(24%)</v>
      </c>
      <c r="FJ5" s="22">
        <f ca="1">INDEX(Table_Process_Details[Total '[GWP (kg CO2 equiv.) per kg API'] of Unique Inputs (REAGENT)], MATCH(Table_Process_Details[[#This Row],[Unique Inputs Sorted by '[GWP (kg CO2 equiv.) per kg API']]],Table_Process_Details[Unique Process Inputs],0))</f>
        <v>0</v>
      </c>
      <c r="FK5" s="22">
        <f ca="1">INDEX(Table_Process_Details[Total '[GWP (kg CO2 equiv.) per kg API'] of Unique Inputs (METAL)], MATCH(Table_Process_Details[[#This Row],[Unique Inputs Sorted by '[GWP (kg CO2 equiv.) per kg API']]],Table_Process_Details[Unique Process Inputs],0))</f>
        <v>0</v>
      </c>
      <c r="FL5" s="22">
        <f ca="1">INDEX(Table_Process_Details[Total '[GWP (kg CO2 equiv.) per kg API'] of Unique Inputs (SOLVENT)], MATCH(Table_Process_Details[[#This Row],[Unique Inputs Sorted by '[GWP (kg CO2 equiv.) per kg API']]],Table_Process_Details[Unique Process Inputs],0))</f>
        <v>36.963594000000001</v>
      </c>
      <c r="FM5" s="22">
        <f ca="1">INDEX(Table_Process_Details[Total '[GWP (kg CO2 equiv.) per kg API'] of Unique Inputs (WATER)], MATCH(Table_Process_Details[[#This Row],[Unique Inputs Sorted by '[GWP (kg CO2 equiv.) per kg API']]],Table_Process_Details[Unique Process Inputs],0))</f>
        <v>0</v>
      </c>
      <c r="FN5" s="22">
        <f ca="1">INDEX(Table_Process_Details[Total '[GWP (kg CO2 equiv.) per kg API'] of Unique Inputs (ENZ&amp;PLNT)], MATCH(Table_Process_Details[[#This Row],[Unique Inputs Sorted by '[GWP (kg CO2 equiv.) per kg API']]],Table_Process_Details[Unique Process Inputs],0))</f>
        <v>0</v>
      </c>
      <c r="FO5" s="22">
        <f ca="1">INDEX(Table_Process_Details[Total '[GWP (kg CO2 equiv.) per kg API'] of Unique Inputs (OTHER)], MATCH(Table_Process_Details[[#This Row],[Unique Inputs Sorted by '[GWP (kg CO2 equiv.) per kg API']]],Table_Process_Details[Unique Process Inputs],0))</f>
        <v>0</v>
      </c>
      <c r="FP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
        <f ca="1">SUMIFS(Table_Process_Details[RV Acidification (kg SO2 equiv.) per kg API],Table_Process_Details[Display Name],Table_Process_Details[[#This Row],[Unique Process Inputs]],Table_Process_Details[Input or Output],"Input")</f>
        <v>0</v>
      </c>
      <c r="FX5">
        <f ca="1">SUMIFS(Table_Process_Details[RV Acidification (kg SO2 equiv.) per kg API (REAGENT)],Table_Process_Details[Display Name],Table_Process_Details[[#This Row],[Unique Process Inputs]],Table_Process_Details[Input or Output],"Input")</f>
        <v>0</v>
      </c>
      <c r="FY5">
        <f ca="1">SUMIFS(Table_Process_Details[RV Acidification (kg SO2 equiv.) per kg API (METAL)],Table_Process_Details[Display Name],Table_Process_Details[[#This Row],[Unique Process Inputs]],Table_Process_Details[Input or Output],"Input")</f>
        <v>0</v>
      </c>
      <c r="FZ5">
        <f ca="1">SUMIFS(Table_Process_Details[RV Acidification (kg SO2 equiv.) per kg API (SOLVENT)],Table_Process_Details[Display Name],Table_Process_Details[[#This Row],[Unique Process Inputs]],Table_Process_Details[Input or Output],"Input")</f>
        <v>0</v>
      </c>
      <c r="GA5">
        <f ca="1">SUMIFS(Table_Process_Details[RV Acidification (kg SO2 equiv.) per kg API (WATER)],Table_Process_Details[Display Name],Table_Process_Details[[#This Row],[Unique Process Inputs]],Table_Process_Details[Input or Output],"Input")</f>
        <v>0</v>
      </c>
      <c r="GB5">
        <f ca="1">SUMIFS(Table_Process_Details[RV Acidification (kg SO2 equiv.) per kg API (ENZ&amp;PLNT)],Table_Process_Details[Display Name],Table_Process_Details[[#This Row],[Unique Process Inputs]],Table_Process_Details[Input or Output],"Input")</f>
        <v>0</v>
      </c>
      <c r="GC5">
        <f ca="1">SUMIFS(Table_Process_Details[RV Acidification (kg SO2 equiv.) per kg API (OTHER)],Table_Process_Details[Display Name],Table_Process_Details[[#This Row],[Unique Process Inputs]],Table_Process_Details[Input or Output],"Input")</f>
        <v>0</v>
      </c>
      <c r="GD5" t="str">
        <f ca="1">INDEX(Table_Process_Details[Unique Process Inputs],MATCH(Table_Process_Details[[#This Row],['[Acidification (kg SO2 equiv.) per kg API'] of Unique Inputs Sorted by '[Acidification (kg SO2 equiv.) per kg API']]],Table_Process_Details[Total '[Acidification (kg SO2 equiv.) per kg API'] of Unique Inputs],0))</f>
        <v>IPA</v>
      </c>
      <c r="GE5" s="22">
        <f ca="1">IF(LARGE(Table_Process_Details[Total '[Acidification (kg SO2 equiv.) per kg API'] of Unique Inputs],Table_Process_Details[[#This Row],[Table Row]])=0,NA(),LARGE(Table_Process_Details[Total '[Acidification (kg SO2 equiv.) per kg API'] of Unique Inputs],Table_Process_Details[[#This Row],[Table Row]]))</f>
        <v>0.15487351999999999</v>
      </c>
      <c r="GF5" s="22">
        <f ca="1">SUM(OFFSET(Table_Process_Details['[Acidification (kg SO2 equiv.) per kg API'] of Unique Inputs Sorted by '[Acidification (kg SO2 equiv.) per kg API']],0,0,Table_Process_Details[[#This Row],[Table Row]]))</f>
        <v>0.15487351999999999</v>
      </c>
      <c r="GG5"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(24%)</v>
      </c>
      <c r="GH5" s="22">
        <f ca="1">INDEX(Table_Process_Details[Total '[Acidification (kg SO2 equiv.) per kg API'] of Unique Inputs (REAGENT)], MATCH(Table_Process_Details[[#This Row],[Unique Inputs Sorted by '[Acidification (kg SO2 equiv.) per kg API']]],Table_Process_Details[Unique Process Inputs],0))</f>
        <v>0</v>
      </c>
      <c r="GI5" s="22">
        <f ca="1">INDEX(Table_Process_Details[Total '[Acidification (kg SO2 equiv.) per kg API'] of Unique Inputs (METAL)], MATCH(Table_Process_Details[[#This Row],[Unique Inputs Sorted by '[Acidification (kg SO2 equiv.) per kg API']]],Table_Process_Details[Unique Process Inputs],0))</f>
        <v>0</v>
      </c>
      <c r="GJ5" s="22">
        <f ca="1">INDEX(Table_Process_Details[Total '[Acidification (kg SO2 equiv.) per kg API'] of Unique Inputs (SOLVENT)], MATCH(Table_Process_Details[[#This Row],[Unique Inputs Sorted by '[Acidification (kg SO2 equiv.) per kg API']]],Table_Process_Details[Unique Process Inputs],0))</f>
        <v>0.15487351999999999</v>
      </c>
      <c r="GK5" s="22">
        <f ca="1">INDEX(Table_Process_Details[Total '[Acidification (kg SO2 equiv.) per kg API'] of Unique Inputs (WATER)], MATCH(Table_Process_Details[[#This Row],[Unique Inputs Sorted by '[Acidification (kg SO2 equiv.) per kg API']]],Table_Process_Details[Unique Process Inputs],0))</f>
        <v>0</v>
      </c>
      <c r="GL5" s="22">
        <f ca="1">INDEX(Table_Process_Details[Total '[Acidification (kg SO2 equiv.) per kg API'] of Unique Inputs (ENZ&amp;PLNT)], MATCH(Table_Process_Details[[#This Row],[Unique Inputs Sorted by '[Acidification (kg SO2 equiv.) per kg API']]],Table_Process_Details[Unique Process Inputs],0))</f>
        <v>0</v>
      </c>
      <c r="GM5" s="22">
        <f ca="1">INDEX(Table_Process_Details[Total '[Acidification (kg SO2 equiv.) per kg API'] of Unique Inputs (OTHER)], MATCH(Table_Process_Details[[#This Row],[Unique Inputs Sorted by '[Acidification (kg SO2 equiv.) per kg API']]],Table_Process_Details[Unique Process Inputs],0))</f>
        <v>0</v>
      </c>
      <c r="GN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
        <f ca="1">SUMIFS(Table_Process_Details[RV Eutrophication (kg phosphate equiv.) per kg API],Table_Process_Details[Display Name],Table_Process_Details[[#This Row],[Unique Process Inputs]],Table_Process_Details[Input or Output],"Input")</f>
        <v>0</v>
      </c>
      <c r="GV5">
        <f ca="1">SUMIFS(Table_Process_Details[RV Eutrophication (kg phosphate equiv.) per kg API (REAGENT)],Table_Process_Details[Display Name],Table_Process_Details[[#This Row],[Unique Process Inputs]],Table_Process_Details[Input or Output],"Input")</f>
        <v>0</v>
      </c>
      <c r="GW5">
        <f ca="1">SUMIFS(Table_Process_Details[RV Eutrophication (kg phosphate equiv.) per kg API (METAL)],Table_Process_Details[Display Name],Table_Process_Details[[#This Row],[Unique Process Inputs]],Table_Process_Details[Input or Output],"Input")</f>
        <v>0</v>
      </c>
      <c r="GX5">
        <f ca="1">SUMIFS(Table_Process_Details[RV Eutrophication (kg phosphate equiv.) per kg API (SOLVENT)],Table_Process_Details[Display Name],Table_Process_Details[[#This Row],[Unique Process Inputs]],Table_Process_Details[Input or Output],"Input")</f>
        <v>0</v>
      </c>
      <c r="GY5">
        <f ca="1">SUMIFS(Table_Process_Details[RV Eutrophication (kg phosphate equiv.) per kg API (WATER)],Table_Process_Details[Display Name],Table_Process_Details[[#This Row],[Unique Process Inputs]],Table_Process_Details[Input or Output],"Input")</f>
        <v>0</v>
      </c>
      <c r="GZ5">
        <f ca="1">SUMIFS(Table_Process_Details[RV Eutrophication (kg phosphate equiv.) per kg API (ENZ&amp;PLNT)],Table_Process_Details[Display Name],Table_Process_Details[[#This Row],[Unique Process Inputs]],Table_Process_Details[Input or Output],"Input")</f>
        <v>0</v>
      </c>
      <c r="HA5">
        <f ca="1">SUMIFS(Table_Process_Details[RV Eutrophication (kg phosphate equiv.) per kg API (OTHER)],Table_Process_Details[Display Name],Table_Process_Details[[#This Row],[Unique Process Inputs]],Table_Process_Details[Input or Output],"Input")</f>
        <v>0</v>
      </c>
      <c r="HB5"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DMF</v>
      </c>
      <c r="HC5" s="22">
        <f ca="1">IF(LARGE(Table_Process_Details[Total '[Eutrophication (kg posphate equiv.) per kg API'] of Unique Inputs],Table_Process_Details[[#This Row],[Table Row]])=0,NA(),LARGE(Table_Process_Details[Total '[Eutrophication (kg posphate equiv.) per kg API'] of Unique Inputs],Table_Process_Details[[#This Row],[Table Row]]))</f>
        <v>0.93818488030620062</v>
      </c>
      <c r="HD5" s="1">
        <f ca="1">SUM(OFFSET(Table_Process_Details['[Eutrophication (kg posphate equiv.) per kg API'] of Unique Inputs Sorted by '[Eutrophication (kg posphate equiv.) per kg API']],0,0,Table_Process_Details[[#This Row],[Table Row]]))</f>
        <v>0.93818488030620062</v>
      </c>
      <c r="HE5" s="1"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(68%)</v>
      </c>
      <c r="HF5" s="1">
        <f ca="1">INDEX(Table_Process_Details[Total '[Eutrophication (kg posphate equiv.) per kg API'] of Unique Inputs (REAGENT)], MATCH(Table_Process_Details[[#This Row],[Unique Inputs Sorted by '[Eutrophication (kg posphate equiv.) per kg API']]],Table_Process_Details[Unique Process Inputs],0))</f>
        <v>0</v>
      </c>
      <c r="HG5" s="1">
        <f ca="1">INDEX(Table_Process_Details[Total '[Eutrophication (kg posphate equiv.) per kg API'] of Unique Inputs (METAL)], MATCH(Table_Process_Details[[#This Row],[Unique Inputs Sorted by '[Eutrophication (kg posphate equiv.) per kg API']]],Table_Process_Details[Unique Process Inputs],0))</f>
        <v>0</v>
      </c>
      <c r="HH5" s="1">
        <f ca="1">INDEX(Table_Process_Details[Total '[Eutrophication (kg posphate equiv.) per kg API'] of Unique Inputs (SOLVENT)], MATCH(Table_Process_Details[[#This Row],[Unique Inputs Sorted by '[Eutrophication (kg posphate equiv.) per kg API']]],Table_Process_Details[Unique Process Inputs],0))</f>
        <v>0.93818488030620062</v>
      </c>
      <c r="HI5" s="1">
        <f ca="1">INDEX(Table_Process_Details[Total '[Eutrophication (kg posphate equiv.) per kg API'] of Unique Inputs (WATER)], MATCH(Table_Process_Details[[#This Row],[Unique Inputs Sorted by '[Eutrophication (kg posphate equiv.) per kg API']]],Table_Process_Details[Unique Process Inputs],0))</f>
        <v>0</v>
      </c>
      <c r="HJ5" s="1">
        <f ca="1">INDEX(Table_Process_Details[Total '[Eutrophication (kg posphate equiv.) per kg API'] of Unique Inputs (ENZ&amp;PLNT)], MATCH(Table_Process_Details[[#This Row],[Unique Inputs Sorted by '[Eutrophication (kg posphate equiv.) per kg API']]],Table_Process_Details[Unique Process Inputs],0))</f>
        <v>0</v>
      </c>
      <c r="HK5" s="1">
        <f ca="1">INDEX(Table_Process_Details[Total '[Eutrophication (kg posphate equiv.) per kg API'] of Unique Inputs (OTHER)], MATCH(Table_Process_Details[[#This Row],[Unique Inputs Sorted by '[Eutrophication (kg posphate equiv.) per kg API']]],Table_Process_Details[Unique Process Inputs],0))</f>
        <v>0</v>
      </c>
      <c r="HL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
        <f ca="1">SUMIFS(Table_Process_Details[RV Water (kg) per kg API],Table_Process_Details[Display Name],Table_Process_Details[[#This Row],[Unique Process Inputs]],Table_Process_Details[Input or Output],"Input")</f>
        <v>0</v>
      </c>
      <c r="HT5">
        <f ca="1">SUMIFS(Table_Process_Details[RV Water (kg) per kg API (REAGENT)],Table_Process_Details[Display Name],Table_Process_Details[[#This Row],[Unique Process Inputs]],Table_Process_Details[Input or Output],"Input")</f>
        <v>0</v>
      </c>
      <c r="HU5">
        <f ca="1">SUMIFS(Table_Process_Details[RV Water (kg) per kg API (METAL)],Table_Process_Details[Display Name],Table_Process_Details[[#This Row],[Unique Process Inputs]],Table_Process_Details[Input or Output],"Input")</f>
        <v>0</v>
      </c>
      <c r="HV5">
        <f ca="1">SUMIFS(Table_Process_Details[RV Water (kg) per kg API (SOLVENT)],Table_Process_Details[Display Name],Table_Process_Details[[#This Row],[Unique Process Inputs]],Table_Process_Details[Input or Output],"Input")</f>
        <v>0</v>
      </c>
      <c r="HW5">
        <f ca="1">SUMIFS(Table_Process_Details[RV Water (kg) per kg API (WATER)],Table_Process_Details[Display Name],Table_Process_Details[[#This Row],[Unique Process Inputs]],Table_Process_Details[Input or Output],"Input")</f>
        <v>0</v>
      </c>
      <c r="HX5">
        <f ca="1">SUMIFS(Table_Process_Details[RV Water (kg) per kg API (ENZ&amp;PLNT)],Table_Process_Details[Display Name],Table_Process_Details[[#This Row],[Unique Process Inputs]],Table_Process_Details[Input or Output],"Input")</f>
        <v>0</v>
      </c>
      <c r="HY5">
        <f ca="1">SUMIFS(Table_Process_Details[RV Water (kg) per kg API (OTHER)],Table_Process_Details[Display Name],Table_Process_Details[[#This Row],[Unique Process Inputs]],Table_Process_Details[Input or Output],"Input")</f>
        <v>0</v>
      </c>
      <c r="HZ5" s="22" t="str">
        <f ca="1">INDEX(Table_Process_Details[Unique Process Inputs],MATCH(Table_Process_Details[[#This Row],['[Water (kg) per kg API'] of Unique Inputs Sorted by '[Water (kg) per kg API']]],Table_Process_Details[Total '[Water (kg) per kg API'] of Unique Inputs],0))</f>
        <v>IPA</v>
      </c>
      <c r="IA5" s="22">
        <f ca="1">IF(LARGE(Table_Process_Details[Total '[Water (kg) per kg API'] of Unique Inputs],Table_Process_Details[[#This Row],[Table Row]])=0,NA(),LARGE(Table_Process_Details[Total '[Water (kg) per kg API'] of Unique Inputs],Table_Process_Details[[#This Row],[Table Row]]))</f>
        <v>346.3614</v>
      </c>
      <c r="IB5" s="1">
        <f ca="1">SUM(OFFSET(Table_Process_Details['[Water (kg) per kg API'] of Unique Inputs Sorted by '[Water (kg) per kg API']],0,0,Table_Process_Details[[#This Row],[Table Row]]))</f>
        <v>346.3614</v>
      </c>
      <c r="IC5" s="1" t="str">
        <f ca="1">"("&amp;TEXT(Table_Process_Details[[#This Row],['[Water (kg) per kg API'] of Unique Inputs Sorted by '[Water (kg) per kg API']]]/SUMIF(Table_Process_Details['[Water (kg) per kg API'] of Unique Inputs Sorted by '[Water (kg) per kg API']],"&lt;&gt;#N/A"),"0%")&amp;")"</f>
        <v>(39%)</v>
      </c>
      <c r="ID5" s="1">
        <f ca="1">INDEX(Table_Process_Details[Total '[Water (kg) per kg API'] of Unique Inputs (REAGENT)], MATCH(Table_Process_Details[[#This Row],[Unique Inputs Sorted by '[Water (kg) per kg API']]],Table_Process_Details[Unique Process Inputs],0))</f>
        <v>0</v>
      </c>
      <c r="IE5" s="1">
        <f ca="1">INDEX(Table_Process_Details[Total '[Water (kg) per kg API'] of Unique Inputs (METAL)], MATCH(Table_Process_Details[[#This Row],[Unique Inputs Sorted by '[Water (kg) per kg API']]],Table_Process_Details[Unique Process Inputs],0))</f>
        <v>0</v>
      </c>
      <c r="IF5" s="1">
        <f ca="1">INDEX(Table_Process_Details[Total '[Water (kg) per kg API'] of Unique Inputs (SOLVENT)], MATCH(Table_Process_Details[[#This Row],[Unique Inputs Sorted by '[Water (kg) per kg API']]],Table_Process_Details[Unique Process Inputs],0))</f>
        <v>346.3614</v>
      </c>
      <c r="IG5" s="1">
        <f ca="1">INDEX(Table_Process_Details[Total '[Water (kg) per kg API'] of Unique Inputs (WATER)], MATCH(Table_Process_Details[[#This Row],[Unique Inputs Sorted by '[Water (kg) per kg API']]],Table_Process_Details[Unique Process Inputs],0))</f>
        <v>0</v>
      </c>
      <c r="IH5" s="1">
        <f ca="1">INDEX(Table_Process_Details[Total '[Water (kg) per kg API'] of Unique Inputs (ENZ&amp;PLNT)], MATCH(Table_Process_Details[[#This Row],[Unique Inputs Sorted by '[Water (kg) per kg API']]],Table_Process_Details[Unique Process Inputs],0))</f>
        <v>0</v>
      </c>
      <c r="II5" s="1">
        <f ca="1">INDEX(Table_Process_Details[Total '[Water (kg) per kg API'] of Unique Inputs (OTHER)], MATCH(Table_Process_Details[[#This Row],[Unique Inputs Sorted by '[Water (kg) per kg API']]],Table_Process_Details[Unique Process Inputs],0))</f>
        <v>0</v>
      </c>
    </row>
    <row r="6" spans="1:250" customFormat="1" x14ac:dyDescent="0.25">
      <c r="A6" s="22" t="str">
        <f>A5</f>
        <v>1a) Virtual solution prep for (1): 5 wt% reagent A (organic) in acetonitrile</v>
      </c>
      <c r="B6" s="21" t="s">
        <v>4</v>
      </c>
      <c r="C6" s="21" t="s">
        <v>6</v>
      </c>
      <c r="D6" s="22" t="s">
        <v>52</v>
      </c>
      <c r="E6" s="22" t="s">
        <v>812</v>
      </c>
      <c r="F6" s="26">
        <v>95</v>
      </c>
      <c r="G6" s="26"/>
      <c r="H6" s="26" t="s">
        <v>867</v>
      </c>
      <c r="I6" s="26"/>
      <c r="J6" s="26" t="str">
        <f>INDEX(Process_Steps[Reference],MATCH(Table_Process_Details[[#This Row],[Step Name]],Process_Steps[Name],0))</f>
        <v>Reference Document  for Step 1</v>
      </c>
      <c r="K6" s="27" t="str">
        <f>INDEX(Process_Steps[Real or Virtual?],MATCH(Table_Process_Details[[#This Row],[Step Name]],Process_Steps[Name],0))</f>
        <v>Virtual</v>
      </c>
      <c r="L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75-05-8</v>
      </c>
      <c r="M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6" s="26">
        <f>INDEX(Table_Process_Details[Physical Mass (kg)],MATCH(1,INDEX(((Table_Process_Details[Step Name]=Table_Process_Details[[#This Row],[Step Name]])*(Table_Process_Details[Input or Output]="Output")),0),0))</f>
        <v>100</v>
      </c>
      <c r="O6" s="29">
        <f ca="1">INDEX(Process_Steps[Step Scale Factor for 1kg Packaged API],MATCH(Table_Process_Details[[#This Row],[Step Name]],Process_Steps[Name],0))</f>
        <v>5.5920820445784665E-4</v>
      </c>
      <c r="P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0.66666666666666674</v>
      </c>
      <c r="Q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19.666666666666668</v>
      </c>
      <c r="R6" s="26">
        <f ca="1">_xlfn.SWITCH(Run_Reset_PNG,"Reset",Table_Process_Details[[#This Row],[X Init]],"Run",Table_Process_Details[[#This Row],[X Moved]],"Freeze",Table_Process_Details[[#This Row],[X Mover]])</f>
        <v>4.5646615770377243</v>
      </c>
      <c r="S6" s="26">
        <f ca="1">_xlfn.SWITCH(Run_Reset_PNG,"Reset",Table_Process_Details[[#This Row],[Y Init]],"Run",Table_Process_Details[[#This Row],[Y Moved]],"Freeze",Table_Process_Details[[#This Row],[Y Mover]])</f>
        <v>37.362270478257805</v>
      </c>
      <c r="T6" s="26" cm="1">
        <f t="array" aca="1" ref="T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1.9391040703422524</v>
      </c>
      <c r="U6" s="26" cm="1">
        <f t="array" aca="1" ref="U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4.1538107954075913</v>
      </c>
      <c r="V6" s="26" cm="1">
        <f t="array" aca="1" ref="V6" ca="1">SUM(--(SQRT((Table_Process_Details[[#This Row],[X Mover]]-Table_Process_Details[X Mover])^2+(Table_Process_Details[[#This Row],[Y Mover]]-Table_Process_Details[Y Mover])^2)&lt;Collision_Distance))</f>
        <v>5</v>
      </c>
      <c r="W6" s="26" cm="1">
        <f t="array" aca="1" ref="W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-0.38092537864443371</v>
      </c>
      <c r="X6" s="26" cm="1">
        <f t="array" aca="1" ref="X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-0.67447166748633303</v>
      </c>
      <c r="Y6" s="26" cm="1">
        <f t="array" aca="1" ref="Y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6" s="26">
        <f>0</f>
        <v>0</v>
      </c>
      <c r="AA6" s="26">
        <f>0</f>
        <v>0</v>
      </c>
      <c r="AB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-2.2823307885188622</v>
      </c>
      <c r="AC6" s="26" cm="1">
        <f t="array" aca="1" ref="AC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-18.681135239128903</v>
      </c>
      <c r="AD6" s="26">
        <f>MIN(1,COUNTA(Table_Process_Details[[#This Row],[target x]]),COUNTA(Table_Process_Details[[#This Row],[target y]]))*COUNTA(Table_Process_Details[Step Name])</f>
        <v>98</v>
      </c>
      <c r="AE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4.5482679227829772</v>
      </c>
      <c r="AF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37.327937140882291</v>
      </c>
      <c r="AG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6" s="26" cm="1">
        <f t="array" aca="1" ref="AH6" ca="1">INDEX(Table_Process_Details[X Mover],MATCH(1,INDEX((Table_Process_Details[Input or Output]="Output")*(Table_Process_Details[Step Name]=Table_Process_Details[[#This Row],[Step Name]])*(Table_Process_Details[[#This Row],[Input or Output]]="Input"),0),0))</f>
        <v>2.3275130569467728</v>
      </c>
      <c r="AI6" s="26" cm="1">
        <f t="array" aca="1" ref="AI6" ca="1">INDEX(Table_Process_Details[Y Mover],MATCH(1,INDEX((Table_Process_Details[Input or Output]="Output")*(Table_Process_Details[Step Name]=Table_Process_Details[[#This Row],[Step Name]])*(Table_Process_Details[[#This Row],[Input or Output]]="Input"),0),0))</f>
        <v>33.401144815982704</v>
      </c>
      <c r="AJ6" s="26" t="e">
        <f ca="1">SQRT((Table_Process_Details[[#This Row],[X End (To Node Center)]]-Table_Process_Details[[#This Row],[X Guide]])^2+(Table_Process_Details[[#This Row],[Y End (to Node Center)]]-Table_Process_Details[[#This Row],[Y Guide]])^2)</f>
        <v>#N/A</v>
      </c>
      <c r="AK6" s="26" t="e" cm="1">
        <f t="array" ref="AK6">INDEX(Table_Process_Details[X Mover],MATCH(1,INDEX((Table_Process_Details[Step Name]=Table_Process_Details[[#This Row],[LCA Data Source Subclass]])*(Table_Process_Details[Input or Output]="Output"),0)*(Table_Process_Details[[#This Row],[Input or Output]]="Input"),0))</f>
        <v>#N/A</v>
      </c>
      <c r="AL6" s="26" cm="1">
        <f t="array" aca="1" ref="AL6" ca="1">INDEX(Table_Process_Details[X Mover],MATCH(1,INDEX(((Table_Process_Details[Table Row]=Table_Process_Details[[#This Row],[Table Row]])*(1)),0)*(Table_Process_Details[[#This Row],[Input or Output]]="Input"),0))</f>
        <v>4.5646615770377243</v>
      </c>
      <c r="AM6" s="26" t="e" cm="1">
        <f t="array" aca="1" ref="AM6" ca="1">(Table_Process_Details[[#This Row],[X End (To Node Center)]]*Table_Process_Details[[#This Row],[r0]]-Table_Process_Details[[#This Row],[X End (To Node Center)]]*Arrow_Offset+Table_Process_Details[[#This Row],[X Guide]]*Arrow_Offset)/Table_Process_Details[[#This Row],[r0]]</f>
        <v>#N/A</v>
      </c>
      <c r="AN6" s="26" t="e">
        <f>IF(NOT(Table_Process_Details[[#This Row],[Display As]]="None"),Table_Process_Details[[#This Row],[X Start Prefilter]],NA())</f>
        <v>#N/A</v>
      </c>
      <c r="AO6" s="26" t="e">
        <f>IF(NOT(Table_Process_Details[[#This Row],[Display As]]="None"),Table_Process_Details[[#This Row],[X Guide Prefilter]],NA())</f>
        <v>#N/A</v>
      </c>
      <c r="AP6" s="26" t="e">
        <f>IF(NOT(Table_Process_Details[[#This Row],[Display As]]="None"),Table_Process_Details[[#This Row],[X End (to Stop Radius) Prefilter]],NA())</f>
        <v>#N/A</v>
      </c>
      <c r="AQ6" s="26" t="e">
        <f>NA()</f>
        <v>#N/A</v>
      </c>
      <c r="AR6" s="26" t="e" cm="1">
        <f t="array" ref="AR6">INDEX(Table_Process_Details[Y Mover],MATCH(1,INDEX((Table_Process_Details[Step Name]=Table_Process_Details[[#This Row],[LCA Data Source Subclass]])*(Table_Process_Details[Input or Output]="Output"),0)*(Table_Process_Details[[#This Row],[Input or Output]]="Input"),0))</f>
        <v>#N/A</v>
      </c>
      <c r="AS6" s="26" cm="1">
        <f t="array" aca="1" ref="AS6" ca="1">INDEX(Table_Process_Details[Y Mover],MATCH(1,INDEX(((Table_Process_Details[Table Row]=Table_Process_Details[[#This Row],[Table Row]])*(1)),0)*(Table_Process_Details[[#This Row],[Input or Output]]="Input"),0))</f>
        <v>37.362270478257805</v>
      </c>
      <c r="AT6" s="26" t="e" cm="1">
        <f t="array" aca="1" ref="AT6" ca="1">(Table_Process_Details[[#This Row],[Y Guide]]*Arrow_Offset-Table_Process_Details[[#This Row],[Y End (to Node Center)]]*Arrow_Offset+Table_Process_Details[[#This Row],[Y End (to Node Center)]]*Table_Process_Details[[#This Row],[r0]])/Table_Process_Details[[#This Row],[r0]]</f>
        <v>#N/A</v>
      </c>
      <c r="AU6" s="26" t="e">
        <f>IF(NOT(Table_Process_Details[[#This Row],[Display As]]="None"),Table_Process_Details[[#This Row],[Y Start Prefilter]],NA())</f>
        <v>#N/A</v>
      </c>
      <c r="AV6" s="26" t="e">
        <f>IF(NOT(Table_Process_Details[[#This Row],[Display As]]="None"),Table_Process_Details[[#This Row],[Y Guide Prefilter]],NA())</f>
        <v>#N/A</v>
      </c>
      <c r="AW6" s="26" t="e">
        <f>IF(NOT(Table_Process_Details[[#This Row],[Display As]]="None"),Table_Process_Details[[#This Row],[Y End (to Stop Radius) Prefilter]],NA())</f>
        <v>#N/A</v>
      </c>
      <c r="AX6" s="26" t="e">
        <f>NA()</f>
        <v>#N/A</v>
      </c>
      <c r="AY6" s="26" t="e">
        <f>IF(Table_Process_Details[[#This Row],[Display As]]="Real Step",Table_Process_Details[[#This Row],[X Mover]],NA())</f>
        <v>#N/A</v>
      </c>
      <c r="AZ6" s="26" t="e">
        <f>IF(Table_Process_Details[[#This Row],[Display As]]="Real Step",Table_Process_Details[[#This Row],[Y Mover]],NA())</f>
        <v>#N/A</v>
      </c>
      <c r="BA6" s="26" t="e">
        <f>IF(Table_Process_Details[[#This Row],[Display As]]="Raw Material",Table_Process_Details[[#This Row],[X Mover]],NA())</f>
        <v>#N/A</v>
      </c>
      <c r="BB6" s="26" t="e">
        <f>IF(Table_Process_Details[[#This Row],[Display As]]="Raw Material",Table_Process_Details[[#This Row],[Y Mover]],NA())</f>
        <v>#N/A</v>
      </c>
      <c r="BC6" s="26" t="e">
        <f>IF(OR(Table_Process_Details[[#This Row],[Display As]]="Real Step",Table_Process_Details[[#This Row],[Display As]]="Raw Material"),Table_Process_Details[[#This Row],[X Mover]],NA())</f>
        <v>#N/A</v>
      </c>
      <c r="BD6" s="26" t="e">
        <f>IF(OR(Table_Process_Details[[#This Row],[Display As]]="Real Step",Table_Process_Details[[#This Row],[Display As]]="Raw Material"),Table_Process_Details[[#This Row],[Y Mover]],NA())</f>
        <v>#N/A</v>
      </c>
      <c r="BE6" s="22">
        <f>ROW()-ROW(Table_Process_Details[[#Headers],[Table Row]])</f>
        <v>2</v>
      </c>
      <c r="BF6" s="23" t="str" cm="1">
        <f t="array" aca="1" ref="BF6" ca="1">INDEX(Table_Process_Details[Display Name],MATCH(0,IF(Table_Process_Details[Input or Output]="Input",INDEX(COUNTIF(OFFSET(Table_Process_Details[[#Headers],[Unique Process Inputs]],0,0,Table_Process_Details[[#This Row],[Table Row]],1),Table_Process_Details[Display Name]),),""),0))</f>
        <v>acetonitrile</v>
      </c>
      <c r="BG6" s="23">
        <f ca="1">Table_Process_Details[[#This Row],[Physical Mass (kg)]]*Table_Process_Details[[#This Row],[Step Scale Factor for 1kg Packaged API]]</f>
        <v>5.312477942349543E-2</v>
      </c>
      <c r="BH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 s="23">
        <f ca="1">MATCH(Table_Process_Details[[#This Row],[LCA Data Source Class]],INDIRECT(Table_Process_Details[[#This Row],[Input or Output]]),0)</f>
        <v>2</v>
      </c>
      <c r="BJ6" s="23">
        <f ca="1">MATCH(Table_Process_Details[[#This Row],[LCA Data Source Subclass]],INDIRECT(Table_Process_Details[[#This Row],[LCA Data Source Class]]&amp;"[Name]"),0)</f>
        <v>16</v>
      </c>
      <c r="BK6" s="23">
        <f ca="1">IFERROR(INDEX(INDIRECT(Table_Process_Details[[#This Row],[LCA Data Source Class]]&amp;"[Mass Net (kg)]"),MATCH(Table_Process_Details[[#This Row],[LCA Data Source Subclass]],INDIRECT(Table_Process_Details[[#This Row],[LCA Data Source Class]]&amp;"[Name]"),0)),0)</f>
        <v>2.0349157</v>
      </c>
      <c r="BL6" s="23">
        <f ca="1">IFERROR(INDEX(INDIRECT(Table_Process_Details[[#This Row],[LCA Data Source Class]]&amp;"[Energy (MJ)]"),MATCH(Table_Process_Details[[#This Row],[LCA Data Source Subclass]],INDIRECT(Table_Process_Details[[#This Row],[LCA Data Source Class]]&amp;"[Name]"),0)),0)</f>
        <v>86.671193000000002</v>
      </c>
      <c r="BM6" s="23">
        <f ca="1">IFERROR(INDEX(INDIRECT(Table_Process_Details[[#This Row],[LCA Data Source Class]]&amp;"[GWP (kg CO2 equiv.)]"),MATCH(Table_Process_Details[[#This Row],[LCA Data Source Subclass]],INDIRECT(Table_Process_Details[[#This Row],[LCA Data Source Class]]&amp;"[Name]"),0)),0)</f>
        <v>3.0474101999999998</v>
      </c>
      <c r="BN6" s="23">
        <f ca="1">IFERROR(INDEX(INDIRECT(Table_Process_Details[[#This Row],[LCA Data Source Class]]&amp;"[Acidification (kg SO2 equiv.)]"),MATCH(Table_Process_Details[[#This Row],[LCA Data Source Subclass]],INDIRECT(Table_Process_Details[[#This Row],[LCA Data Source Class]]&amp;"[Name]"),0)),0)</f>
        <v>1.4095072E-2</v>
      </c>
      <c r="BO6" s="23">
        <f ca="1">IFERROR(INDEX(INDIRECT(Table_Process_Details[[#This Row],[LCA Data Source Class]]&amp;"[Eutrophication (kg posphate equiv.)]"),MATCH(Table_Process_Details[[#This Row],[LCA Data Source Subclass]],INDIRECT(Table_Process_Details[[#This Row],[LCA Data Source Class]]&amp;"[Name]"),0)),0)</f>
        <v>8.3054054000000002E-3</v>
      </c>
      <c r="BP6" s="23">
        <f ca="1">IFERROR(INDEX(INDIRECT(Table_Process_Details[[#This Row],[LCA Data Source Class]]&amp;"[Water (kg)]"),MATCH(Table_Process_Details[[#This Row],[LCA Data Source Subclass]],INDIRECT(Table_Process_Details[[#This Row],[LCA Data Source Class]]&amp;"[Name]"),0)),0)</f>
        <v>11.94215</v>
      </c>
      <c r="BQ6" s="27">
        <f ca="1">(Table_Process_Details[[#This Row],[Input or Output]]="Input")*(Table_Process_Details[[#This Row],[LCA Data Source Class]]&lt;&gt;"Process_Steps")*Table_Process_Details[[#This Row],[Scaled Physical Mass per kg API for All Inputs &amp; Outputs]]</f>
        <v>5.312477942349543E-2</v>
      </c>
      <c r="BR6" s="27">
        <f ca="1">(Table_Process_Details[[#This Row],[Material Class]]="REAGENT")*Table_Process_Details[[#This Row],[Physical Mass per kg API]]</f>
        <v>0</v>
      </c>
      <c r="BS6" s="27">
        <f ca="1">(Table_Process_Details[[#This Row],[Material Class]]="METAL")*Table_Process_Details[[#This Row],[Physical Mass per kg API]]</f>
        <v>0</v>
      </c>
      <c r="BT6" s="27">
        <f ca="1">(Table_Process_Details[[#This Row],[Material Class]]="SOLVENT")*Table_Process_Details[[#This Row],[Physical Mass per kg API]]</f>
        <v>5.312477942349543E-2</v>
      </c>
      <c r="BU6" s="27">
        <f ca="1">(Table_Process_Details[[#This Row],[Material Class]]="WATER")*Table_Process_Details[[#This Row],[Physical Mass per kg API]]</f>
        <v>0</v>
      </c>
      <c r="BV6" s="27">
        <f ca="1">(Table_Process_Details[[#This Row],[Material Class]]="ENZ&amp;PLNT")*Table_Process_Details[[#This Row],[Physical Mass per kg API]]</f>
        <v>0</v>
      </c>
      <c r="BW6" s="27">
        <f ca="1">(Table_Process_Details[[#This Row],[Material Class]]="OTHER")*Table_Process_Details[[#This Row],[Physical Mass per kg API]]</f>
        <v>0</v>
      </c>
      <c r="BX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 s="1">
        <f ca="1">SUMIFS(Table_Process_Details[RV Physical Mass per kg API],Table_Process_Details[Display Name],Table_Process_Details[[#This Row],[Unique Process Inputs]],Table_Process_Details[Input or Output],"Input")</f>
        <v>6.6048965490089193</v>
      </c>
      <c r="CF6" s="1">
        <f ca="1">SUMIFS(Table_Process_Details[RV Physical Mass per kg API (REAGENT)],Table_Process_Details[Display Name],Table_Process_Details[[#This Row],[Unique Process Inputs]],Table_Process_Details[Input or Output],"Input")</f>
        <v>0</v>
      </c>
      <c r="CG6" s="1">
        <f ca="1">SUMIFS(Table_Process_Details[RV Physical Mass per kg API (METAL)],Table_Process_Details[Display Name],Table_Process_Details[[#This Row],[Unique Process Inputs]],Table_Process_Details[Input or Output],"Input")</f>
        <v>0</v>
      </c>
      <c r="CH6" s="1">
        <f ca="1">SUMIFS(Table_Process_Details[RV Physical Mass per kg API (SOLVENT)],Table_Process_Details[Display Name],Table_Process_Details[[#This Row],[Unique Process Inputs]],Table_Process_Details[Input or Output],"Input")</f>
        <v>6.6048965490089193</v>
      </c>
      <c r="CI6" s="1">
        <f ca="1">SUMIFS(Table_Process_Details[RV Physical Mass per kg API (WATER)],Table_Process_Details[Display Name],Table_Process_Details[[#This Row],[Unique Process Inputs]],Table_Process_Details[Input or Output],"Input")</f>
        <v>0</v>
      </c>
      <c r="CJ6" s="1">
        <f ca="1">SUMIFS(Table_Process_Details[RV Physical Mass per kg API (ENZ&amp;PLNT)],Table_Process_Details[Display Name],Table_Process_Details[[#This Row],[Unique Process Inputs]],Table_Process_Details[Input or Output],"Input")</f>
        <v>0</v>
      </c>
      <c r="CK6" s="1">
        <f ca="1">SUMIFS(Table_Process_Details[RV Physical Mass per kg API (OTHER)],Table_Process_Details[Display Name],Table_Process_Details[[#This Row],[Unique Process Inputs]],Table_Process_Details[Input or Output],"Input")</f>
        <v>0</v>
      </c>
      <c r="CL6" s="22" t="str">
        <f ca="1">INDEX(Table_Process_Details[Unique Process Inputs],MATCH(Table_Process_Details[[#This Row],['[Physical Mass per kg API'] of Unique Inputs Sorted by '[Physical Mass per kg API']]],Table_Process_Details[Total '[Physical Mass per kg API'] of Unique Inputs],0))</f>
        <v>IPA</v>
      </c>
      <c r="CM6" s="22">
        <f ca="1">IF(LARGE(Table_Process_Details[Total '[Physical Mass per kg API'] of Unique Inputs],Table_Process_Details[[#This Row],[Table Row]])=0,NA(),LARGE(Table_Process_Details[Total '[Physical Mass per kg API'] of Unique Inputs],Table_Process_Details[[#This Row],[Table Row]]))</f>
        <v>20</v>
      </c>
      <c r="CN6" s="22">
        <f ca="1">SUM(OFFSET(Table_Process_Details['[Physical Mass per kg API'] of Unique Inputs Sorted by '[Physical Mass per kg API']],0,0,Table_Process_Details[[#This Row],[Table Row]]))</f>
        <v>60.226791975356207</v>
      </c>
      <c r="CO6" s="22" t="str">
        <f ca="1">"("&amp;TEXT(Table_Process_Details[[#This Row],['[Physical Mass per kg API'] of Unique Inputs Sorted by '[Physical Mass per kg API']]]/SUMIF(Table_Process_Details['[Physical Mass per kg API'] of Unique Inputs Sorted by '[Physical Mass per kg API']],"&lt;&gt;#N/A"),"0%")&amp;")"</f>
        <v>(14%)</v>
      </c>
      <c r="CP6" s="22">
        <f ca="1">INDEX(Table_Process_Details[Total '[Physical Mass per kg API'] of Unique Inputs (REAGENT)],MATCH(Table_Process_Details[[#This Row],[Unique Inputs Sorted by '[Physical Mass per kg API']]],Table_Process_Details[Unique Process Inputs],0))</f>
        <v>0</v>
      </c>
      <c r="CQ6" s="22">
        <f ca="1">INDEX(Table_Process_Details[Total '[Physical Mass per kg API'] of Unique Inputs (METAL)],MATCH(Table_Process_Details[[#This Row],[Unique Inputs Sorted by '[Physical Mass per kg API']]],Table_Process_Details[Unique Process Inputs],0))</f>
        <v>0</v>
      </c>
      <c r="CR6" s="22">
        <f ca="1">INDEX(Table_Process_Details[Total '[Physical Mass per kg API'] of Unique Inputs (SOLVENT)],MATCH(Table_Process_Details[[#This Row],[Unique Inputs Sorted by '[Physical Mass per kg API']]],Table_Process_Details[Unique Process Inputs],0))</f>
        <v>20</v>
      </c>
      <c r="CS6" s="22">
        <f ca="1">INDEX(Table_Process_Details[Total '[Physical Mass per kg API'] of Unique Inputs (WATER)],MATCH(Table_Process_Details[[#This Row],[Unique Inputs Sorted by '[Physical Mass per kg API']]],Table_Process_Details[Unique Process Inputs],0))</f>
        <v>0</v>
      </c>
      <c r="CT6" s="22">
        <f ca="1">INDEX(Table_Process_Details[Total '[Physical Mass per kg API'] of Unique Inputs (ENZ&amp;PLNT)],MATCH(Table_Process_Details[[#This Row],[Unique Inputs Sorted by '[Physical Mass per kg API']]],Table_Process_Details[Unique Process Inputs],0))</f>
        <v>0</v>
      </c>
      <c r="CU6" s="22">
        <f ca="1">INDEX(Table_Process_Details[Total '[Physical Mass per kg API'] of Unique Inputs (OTHER)],MATCH(Table_Process_Details[[#This Row],[Unique Inputs Sorted by '[Physical Mass per kg API']]],Table_Process_Details[Unique Process Inputs],0))</f>
        <v>0</v>
      </c>
      <c r="CV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 s="22">
        <f ca="1">SUMIFS(Table_Process_Details[RV Mass Net (kg) per kg API],Table_Process_Details[Display Name],Table_Process_Details[[#This Row],[Unique Process Inputs]],Table_Process_Details[Input or Output],"Input")</f>
        <v>13.440407684454071</v>
      </c>
      <c r="DD6" s="22">
        <f ca="1">SUMIFS(Table_Process_Details[RV Mass Net (kg) per kg API (REAGENT)],Table_Process_Details[Display Name],Table_Process_Details[[#This Row],[Unique Process Inputs]],Table_Process_Details[Input or Output],"Input")</f>
        <v>0</v>
      </c>
      <c r="DE6" s="22">
        <f ca="1">SUMIFS(Table_Process_Details[RV Mass Net (kg) per kg API (METAL)],Table_Process_Details[Display Name],Table_Process_Details[[#This Row],[Unique Process Inputs]],Table_Process_Details[Input or Output],"Input")</f>
        <v>0</v>
      </c>
      <c r="DF6" s="22">
        <f ca="1">SUMIFS(Table_Process_Details[RV Mass Net (kg) per kg API (SOLVENT)],Table_Process_Details[Display Name],Table_Process_Details[[#This Row],[Unique Process Inputs]],Table_Process_Details[Input or Output],"Input")</f>
        <v>13.440407684454071</v>
      </c>
      <c r="DG6" s="22">
        <f ca="1">SUMIFS(Table_Process_Details[RV Mass Net (kg) per kg API (WATER)],Table_Process_Details[Display Name],Table_Process_Details[[#This Row],[Unique Process Inputs]],Table_Process_Details[Input or Output],"Input")</f>
        <v>0</v>
      </c>
      <c r="DH6" s="22">
        <f ca="1">SUMIFS(Table_Process_Details[RV Mass Net (kg) per kg API (ENZ&amp;PLNT)],Table_Process_Details[Display Name],Table_Process_Details[[#This Row],[Unique Process Inputs]],Table_Process_Details[Input or Output],"Input")</f>
        <v>0</v>
      </c>
      <c r="DI6" s="22">
        <f ca="1">SUMIFS(Table_Process_Details[RV Mass Net (kg) per kg API (OTHER)],Table_Process_Details[Display Name],Table_Process_Details[[#This Row],[Unique Process Inputs]],Table_Process_Details[Input or Output],"Input")</f>
        <v>0</v>
      </c>
      <c r="DJ6" s="22" t="str">
        <f ca="1">INDEX(Table_Process_Details[Unique Process Inputs],MATCH(Table_Process_Details[[#This Row],['[Mass Net (kg) per kg API'] of Unique Inputs Sorted by '[Mass Net (kg) per kg API']]],Table_Process_Details[Total '[Mass Net (kg) per kg API'] of Unique Inputs],0))</f>
        <v>DMF</v>
      </c>
      <c r="DK6" s="22">
        <f ca="1">IF(LARGE(Table_Process_Details[Total '[Mass Net (kg) per kg API'] of Unique Inputs],Table_Process_Details[[#This Row],[Table Row]])=0,NA(),LARGE(Table_Process_Details[Total '[Mass Net (kg) per kg API'] of Unique Inputs],Table_Process_Details[[#This Row],[Table Row]]))</f>
        <v>17.542697124668418</v>
      </c>
      <c r="DL6" s="22">
        <f ca="1">SUM(OFFSET(Table_Process_Details['[Mass Net (kg) per kg API'] of Unique Inputs Sorted by '[Mass Net (kg) per kg API']],0,0,Table_Process_Details[[#This Row],[Table Row]]))</f>
        <v>46.414575124668417</v>
      </c>
      <c r="DM6" s="22" t="str">
        <f ca="1">"("&amp;TEXT(Table_Process_Details[[#This Row],['[Mass Net (kg) per kg API'] of Unique Inputs Sorted by '[Mass Net (kg) per kg API']]]/SUMIF(Table_Process_Details['[Mass Net (kg) per kg API'] of Unique Inputs Sorted by '[Mass Net (kg) per kg API']],"&lt;&gt;#N/A"),"0%")&amp;")"</f>
        <v>(14%)</v>
      </c>
      <c r="DN6" s="22">
        <f ca="1">INDEX(Table_Process_Details[Total '[Mass Net (kg) per kg API'] of Unique Inputs (REAGENT)], MATCH(Table_Process_Details[[#This Row],[Unique Inputs Sorted by '[Mass Net (kg) per kg API']]],Table_Process_Details[Unique Process Inputs],0))</f>
        <v>0</v>
      </c>
      <c r="DO6" s="22">
        <f ca="1">INDEX(Table_Process_Details[Total '[Mass Net (kg) per kg API'] of Unique Inputs (METAL)], MATCH(Table_Process_Details[[#This Row],[Unique Inputs Sorted by '[Mass Net (kg) per kg API']]],Table_Process_Details[Unique Process Inputs],0))</f>
        <v>0</v>
      </c>
      <c r="DP6" s="22">
        <f ca="1">INDEX(Table_Process_Details[Total '[Mass Net (kg) per kg API'] of Unique Inputs (SOLVENT)], MATCH(Table_Process_Details[[#This Row],[Unique Inputs Sorted by '[Mass Net (kg) per kg API']]],Table_Process_Details[Unique Process Inputs],0))</f>
        <v>17.542697124668418</v>
      </c>
      <c r="DQ6" s="22">
        <f ca="1">INDEX(Table_Process_Details[Total '[Mass Net (kg) per kg API'] of Unique Inputs (WATER)], MATCH(Table_Process_Details[[#This Row],[Unique Inputs Sorted by '[Mass Net (kg) per kg API']]],Table_Process_Details[Unique Process Inputs],0))</f>
        <v>0</v>
      </c>
      <c r="DR6" s="22">
        <f ca="1">INDEX(Table_Process_Details[Total '[Mass Net (kg) per kg API'] of Unique Inputs (ENZ&amp;PLNT)], MATCH(Table_Process_Details[[#This Row],[Unique Inputs Sorted by '[Mass Net (kg) per kg API']]],Table_Process_Details[Unique Process Inputs],0))</f>
        <v>0</v>
      </c>
      <c r="DS6" s="22">
        <f ca="1">INDEX(Table_Process_Details[Total '[Mass Net (kg) per kg API'] of Unique Inputs (OTHER)], MATCH(Table_Process_Details[[#This Row],[Unique Inputs Sorted by '[Mass Net (kg) per kg API']]],Table_Process_Details[Unique Process Inputs],0))</f>
        <v>0</v>
      </c>
      <c r="DT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 s="1">
        <f ca="1">SUMIFS(Table_Process_Details[RV Energy (MJ) per kg API],Table_Process_Details[Display Name],Table_Process_Details[[#This Row],[Unique Process Inputs]],Table_Process_Details[Input or Output],"Input")</f>
        <v>572.45426354418601</v>
      </c>
      <c r="EB6" s="1">
        <f ca="1">SUMIFS(Table_Process_Details[RV Energy (MJ) per kg API (REAGENT)],Table_Process_Details[Display Name],Table_Process_Details[[#This Row],[Unique Process Inputs]],Table_Process_Details[Input or Output],"Input")</f>
        <v>0</v>
      </c>
      <c r="EC6" s="1">
        <f ca="1">SUMIFS(Table_Process_Details[RV Energy (MJ) per kg API (METAL)],Table_Process_Details[Display Name],Table_Process_Details[[#This Row],[Unique Process Inputs]],Table_Process_Details[Input or Output],"Input")</f>
        <v>0</v>
      </c>
      <c r="ED6" s="1">
        <f ca="1">SUMIFS(Table_Process_Details[RV Energy (MJ) per kg API (SOLVENT)],Table_Process_Details[Display Name],Table_Process_Details[[#This Row],[Unique Process Inputs]],Table_Process_Details[Input or Output],"Input")</f>
        <v>572.45426354418601</v>
      </c>
      <c r="EE6" s="1">
        <f ca="1">SUMIFS(Table_Process_Details[RV Energy (MJ) per kg API (WATER)],Table_Process_Details[Display Name],Table_Process_Details[[#This Row],[Unique Process Inputs]],Table_Process_Details[Input or Output],"Input")</f>
        <v>0</v>
      </c>
      <c r="EF6" s="1">
        <f ca="1">SUMIFS(Table_Process_Details[RV Energy (MJ) per kg API (ENZ&amp;PLNT)],Table_Process_Details[Display Name],Table_Process_Details[[#This Row],[Unique Process Inputs]],Table_Process_Details[Input or Output],"Input")</f>
        <v>0</v>
      </c>
      <c r="EG6" s="1">
        <f ca="1">SUMIFS(Table_Process_Details[RV Energy (MJ) per kg API (OTHER)],Table_Process_Details[Display Name],Table_Process_Details[[#This Row],[Unique Process Inputs]],Table_Process_Details[Input or Output],"Input")</f>
        <v>0</v>
      </c>
      <c r="EH6" s="1" t="str">
        <f ca="1">INDEX(Table_Process_Details[Unique Process Inputs],MATCH(Table_Process_Details[[#This Row],['[Energy (MJ) per kg API'] of Unique Inputs Sorted by '[Energy (MJ) per kg API']]],Table_Process_Details[Total '[Energy (MJ) per kg API'] of Unique Inputs],0))</f>
        <v>toluene</v>
      </c>
      <c r="EI6" s="22">
        <f ca="1">IF(LARGE(Table_Process_Details[Total '[Energy (MJ) per kg API'] of Unique Inputs],Table_Process_Details[[#This Row],[Table Row]])=0,NA(),LARGE(Table_Process_Details[Total '[Energy (MJ) per kg API'] of Unique Inputs],Table_Process_Details[[#This Row],[Table Row]]))</f>
        <v>729.02893842556523</v>
      </c>
      <c r="EJ6" s="22">
        <f ca="1">SUM(OFFSET(Table_Process_Details['[Energy (MJ) per kg API'] of Unique Inputs Sorted by '[Energy (MJ) per kg API']],0,0,Table_Process_Details[[#This Row],[Table Row]]))</f>
        <v>1984.0375984255652</v>
      </c>
      <c r="EK6" s="22" t="str">
        <f ca="1">"("&amp;TEXT(Table_Process_Details[[#This Row],['[Energy (MJ) per kg API'] of Unique Inputs Sorted by '[Energy (MJ) per kg API']]]/SUMIF(Table_Process_Details['[Energy (MJ) per kg API'] of Unique Inputs Sorted by '[Energy (MJ) per kg API']],"&lt;&gt;#N/A"),"0%")&amp;")"</f>
        <v>(14%)</v>
      </c>
      <c r="EL6" s="22">
        <f ca="1">INDEX(Table_Process_Details[Total '[Energy (MJ) per kg API'] of Unique Inputs (REAGENT)], MATCH(Table_Process_Details[[#This Row],[Unique Inputs Sorted by '[Energy (MJ) per kg API']]],Table_Process_Details[Unique Process Inputs],0))</f>
        <v>0</v>
      </c>
      <c r="EM6" s="22">
        <f ca="1">INDEX(Table_Process_Details[Total '[Energy (MJ) per kg API'] of Unique Inputs (METAL)], MATCH(Table_Process_Details[[#This Row],[Unique Inputs Sorted by '[Energy (MJ) per kg API']]],Table_Process_Details[Unique Process Inputs],0))</f>
        <v>0</v>
      </c>
      <c r="EN6" s="22">
        <f ca="1">INDEX(Table_Process_Details[Total '[Energy (MJ) per kg API'] of Unique Inputs (SOLVENT)], MATCH(Table_Process_Details[[#This Row],[Unique Inputs Sorted by '[Energy (MJ) per kg API']]],Table_Process_Details[Unique Process Inputs],0))</f>
        <v>729.02893842556523</v>
      </c>
      <c r="EO6" s="22">
        <f ca="1">INDEX(Table_Process_Details[Total '[Energy (MJ) per kg API'] of Unique Inputs (WATER)], MATCH(Table_Process_Details[[#This Row],[Unique Inputs Sorted by '[Energy (MJ) per kg API']]],Table_Process_Details[Unique Process Inputs],0))</f>
        <v>0</v>
      </c>
      <c r="EP6" s="22">
        <f ca="1">INDEX(Table_Process_Details[Total '[Energy (MJ) per kg API'] of Unique Inputs (ENZ&amp;PLNT)], MATCH(Table_Process_Details[[#This Row],[Unique Inputs Sorted by '[Energy (MJ) per kg API']]],Table_Process_Details[Unique Process Inputs],0))</f>
        <v>0</v>
      </c>
      <c r="EQ6" s="22">
        <f ca="1">INDEX(Table_Process_Details[Total '[Energy (MJ) per kg API'] of Unique Inputs (OTHER)], MATCH(Table_Process_Details[[#This Row],[Unique Inputs Sorted by '[Energy (MJ) per kg API']]],Table_Process_Details[Unique Process Inputs],0))</f>
        <v>0</v>
      </c>
      <c r="ER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 s="22">
        <f ca="1">SUMIFS(Table_Process_Details[RV GWP (kg CO2 equiv.) per kg API],Table_Process_Details[Display Name],Table_Process_Details[[#This Row],[Unique Process Inputs]],Table_Process_Details[Input or Output],"Input")</f>
        <v>20.127829113394579</v>
      </c>
      <c r="EZ6" s="1">
        <f ca="1">SUMIFS(Table_Process_Details[RV GWP (kg CO2 equiv.) per kg API (REAGENT)],Table_Process_Details[Display Name],Table_Process_Details[[#This Row],[Unique Process Inputs]],Table_Process_Details[Input or Output],"Input")</f>
        <v>0</v>
      </c>
      <c r="FA6" s="1">
        <f ca="1">SUMIFS(Table_Process_Details[RV GWP (kg CO2 equiv.) per kg API (METAL)],Table_Process_Details[Display Name],Table_Process_Details[[#This Row],[Unique Process Inputs]],Table_Process_Details[Input or Output],"Input")</f>
        <v>0</v>
      </c>
      <c r="FB6" s="1">
        <f ca="1">SUMIFS(Table_Process_Details[RV GWP (kg CO2 equiv.) per kg API (SOLVENT)],Table_Process_Details[Display Name],Table_Process_Details[[#This Row],[Unique Process Inputs]],Table_Process_Details[Input or Output],"Input")</f>
        <v>20.127829113394579</v>
      </c>
      <c r="FC6" s="1">
        <f ca="1">SUMIFS(Table_Process_Details[RV GWP (kg CO2 equiv.) per kg API (WATER)],Table_Process_Details[Display Name],Table_Process_Details[[#This Row],[Unique Process Inputs]],Table_Process_Details[Input or Output],"Input")</f>
        <v>0</v>
      </c>
      <c r="FD6" s="1">
        <f ca="1">SUMIFS(Table_Process_Details[RV GWP (kg CO2 equiv.) per kg API (ENZ&amp;PLNT)],Table_Process_Details[Display Name],Table_Process_Details[[#This Row],[Unique Process Inputs]],Table_Process_Details[Input or Output],"Input")</f>
        <v>0</v>
      </c>
      <c r="FE6" s="1">
        <f ca="1">SUMIFS(Table_Process_Details[RV GWP (kg CO2 equiv.) per kg API (OTHER)],Table_Process_Details[Display Name],Table_Process_Details[[#This Row],[Unique Process Inputs]],Table_Process_Details[Input or Output],"Input")</f>
        <v>0</v>
      </c>
      <c r="FF6" s="22" t="str">
        <f ca="1">INDEX(Table_Process_Details[Unique Process Inputs],MATCH(Table_Process_Details[[#This Row],['[GWP (kg CO2 equiv.) per kg API'] of Unique Inputs Sorted by '[GWP (kg CO2 equiv.) per kg API']]],Table_Process_Details[Total '[GWP (kg CO2 equiv.) per kg API'] of Unique Inputs],0))</f>
        <v>acetonitrile</v>
      </c>
      <c r="FG6" s="22">
        <f ca="1">IF(LARGE(Table_Process_Details[Total '[GWP (kg CO2 equiv.) per kg API'] of Unique Inputs],Table_Process_Details[[#This Row],[Table Row]])=0,NA(),LARGE(Table_Process_Details[Total '[GWP (kg CO2 equiv.) per kg API'] of Unique Inputs],Table_Process_Details[[#This Row],[Table Row]]))</f>
        <v>20.127829113394579</v>
      </c>
      <c r="FH6" s="22">
        <f ca="1">SUM(OFFSET(Table_Process_Details['[GWP (kg CO2 equiv.) per kg API'] of Unique Inputs Sorted by '[GWP (kg CO2 equiv.) per kg API']],0,0,Table_Process_Details[[#This Row],[Table Row]]))</f>
        <v>57.091423113394583</v>
      </c>
      <c r="FI6" s="22" t="str">
        <f ca="1">"("&amp;TEXT(Table_Process_Details[[#This Row],['[GWP (kg CO2 equiv.) per kg API'] of Unique Inputs Sorted by '[GWP (kg CO2 equiv.) per kg API']]]/SUMIF(Table_Process_Details['[GWP (kg CO2 equiv.) per kg API'] of Unique Inputs Sorted by '[GWP (kg CO2 equiv.) per kg API']],"&lt;&gt;#N/A"),"0%")&amp;")"</f>
        <v>(13%)</v>
      </c>
      <c r="FJ6" s="22">
        <f ca="1">INDEX(Table_Process_Details[Total '[GWP (kg CO2 equiv.) per kg API'] of Unique Inputs (REAGENT)], MATCH(Table_Process_Details[[#This Row],[Unique Inputs Sorted by '[GWP (kg CO2 equiv.) per kg API']]],Table_Process_Details[Unique Process Inputs],0))</f>
        <v>0</v>
      </c>
      <c r="FK6" s="22">
        <f ca="1">INDEX(Table_Process_Details[Total '[GWP (kg CO2 equiv.) per kg API'] of Unique Inputs (METAL)], MATCH(Table_Process_Details[[#This Row],[Unique Inputs Sorted by '[GWP (kg CO2 equiv.) per kg API']]],Table_Process_Details[Unique Process Inputs],0))</f>
        <v>0</v>
      </c>
      <c r="FL6" s="22">
        <f ca="1">INDEX(Table_Process_Details[Total '[GWP (kg CO2 equiv.) per kg API'] of Unique Inputs (SOLVENT)], MATCH(Table_Process_Details[[#This Row],[Unique Inputs Sorted by '[GWP (kg CO2 equiv.) per kg API']]],Table_Process_Details[Unique Process Inputs],0))</f>
        <v>20.127829113394579</v>
      </c>
      <c r="FM6" s="22">
        <f ca="1">INDEX(Table_Process_Details[Total '[GWP (kg CO2 equiv.) per kg API'] of Unique Inputs (WATER)], MATCH(Table_Process_Details[[#This Row],[Unique Inputs Sorted by '[GWP (kg CO2 equiv.) per kg API']]],Table_Process_Details[Unique Process Inputs],0))</f>
        <v>0</v>
      </c>
      <c r="FN6" s="22">
        <f ca="1">INDEX(Table_Process_Details[Total '[GWP (kg CO2 equiv.) per kg API'] of Unique Inputs (ENZ&amp;PLNT)], MATCH(Table_Process_Details[[#This Row],[Unique Inputs Sorted by '[GWP (kg CO2 equiv.) per kg API']]],Table_Process_Details[Unique Process Inputs],0))</f>
        <v>0</v>
      </c>
      <c r="FO6" s="22">
        <f ca="1">INDEX(Table_Process_Details[Total '[GWP (kg CO2 equiv.) per kg API'] of Unique Inputs (OTHER)], MATCH(Table_Process_Details[[#This Row],[Unique Inputs Sorted by '[GWP (kg CO2 equiv.) per kg API']]],Table_Process_Details[Unique Process Inputs],0))</f>
        <v>0</v>
      </c>
      <c r="FP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 s="22">
        <f ca="1">SUMIFS(Table_Process_Details[RV Acidification (kg SO2 equiv.) per kg API],Table_Process_Details[Display Name],Table_Process_Details[[#This Row],[Unique Process Inputs]],Table_Process_Details[Input or Output],"Input")</f>
        <v>9.309649241083226E-2</v>
      </c>
      <c r="FX6" s="1">
        <f ca="1">SUMIFS(Table_Process_Details[RV Acidification (kg SO2 equiv.) per kg API (REAGENT)],Table_Process_Details[Display Name],Table_Process_Details[[#This Row],[Unique Process Inputs]],Table_Process_Details[Input or Output],"Input")</f>
        <v>0</v>
      </c>
      <c r="FY6" s="1">
        <f ca="1">SUMIFS(Table_Process_Details[RV Acidification (kg SO2 equiv.) per kg API (METAL)],Table_Process_Details[Display Name],Table_Process_Details[[#This Row],[Unique Process Inputs]],Table_Process_Details[Input or Output],"Input")</f>
        <v>0</v>
      </c>
      <c r="FZ6" s="1">
        <f ca="1">SUMIFS(Table_Process_Details[RV Acidification (kg SO2 equiv.) per kg API (SOLVENT)],Table_Process_Details[Display Name],Table_Process_Details[[#This Row],[Unique Process Inputs]],Table_Process_Details[Input or Output],"Input")</f>
        <v>9.309649241083226E-2</v>
      </c>
      <c r="GA6" s="1">
        <f ca="1">SUMIFS(Table_Process_Details[RV Acidification (kg SO2 equiv.) per kg API (WATER)],Table_Process_Details[Display Name],Table_Process_Details[[#This Row],[Unique Process Inputs]],Table_Process_Details[Input or Output],"Input")</f>
        <v>0</v>
      </c>
      <c r="GB6" s="1">
        <f ca="1">SUMIFS(Table_Process_Details[RV Acidification (kg SO2 equiv.) per kg API (ENZ&amp;PLNT)],Table_Process_Details[Display Name],Table_Process_Details[[#This Row],[Unique Process Inputs]],Table_Process_Details[Input or Output],"Input")</f>
        <v>0</v>
      </c>
      <c r="GC6" s="1">
        <f ca="1">SUMIFS(Table_Process_Details[RV Acidification (kg SO2 equiv.) per kg API (OTHER)],Table_Process_Details[Display Name],Table_Process_Details[[#This Row],[Unique Process Inputs]],Table_Process_Details[Input or Output],"Input")</f>
        <v>0</v>
      </c>
      <c r="GD6"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acetonitrile</v>
      </c>
      <c r="GE6" s="22">
        <f ca="1">IF(LARGE(Table_Process_Details[Total '[Acidification (kg SO2 equiv.) per kg API'] of Unique Inputs],Table_Process_Details[[#This Row],[Table Row]])=0,NA(),LARGE(Table_Process_Details[Total '[Acidification (kg SO2 equiv.) per kg API'] of Unique Inputs],Table_Process_Details[[#This Row],[Table Row]]))</f>
        <v>9.309649241083226E-2</v>
      </c>
      <c r="GF6" s="22">
        <f ca="1">SUM(OFFSET(Table_Process_Details['[Acidification (kg SO2 equiv.) per kg API'] of Unique Inputs Sorted by '[Acidification (kg SO2 equiv.) per kg API']],0,0,Table_Process_Details[[#This Row],[Table Row]]))</f>
        <v>0.24797001241083225</v>
      </c>
      <c r="GG6"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(14%)</v>
      </c>
      <c r="GH6" s="22">
        <f ca="1">INDEX(Table_Process_Details[Total '[Acidification (kg SO2 equiv.) per kg API'] of Unique Inputs (REAGENT)], MATCH(Table_Process_Details[[#This Row],[Unique Inputs Sorted by '[Acidification (kg SO2 equiv.) per kg API']]],Table_Process_Details[Unique Process Inputs],0))</f>
        <v>0</v>
      </c>
      <c r="GI6" s="22">
        <f ca="1">INDEX(Table_Process_Details[Total '[Acidification (kg SO2 equiv.) per kg API'] of Unique Inputs (METAL)], MATCH(Table_Process_Details[[#This Row],[Unique Inputs Sorted by '[Acidification (kg SO2 equiv.) per kg API']]],Table_Process_Details[Unique Process Inputs],0))</f>
        <v>0</v>
      </c>
      <c r="GJ6" s="22">
        <f ca="1">INDEX(Table_Process_Details[Total '[Acidification (kg SO2 equiv.) per kg API'] of Unique Inputs (SOLVENT)], MATCH(Table_Process_Details[[#This Row],[Unique Inputs Sorted by '[Acidification (kg SO2 equiv.) per kg API']]],Table_Process_Details[Unique Process Inputs],0))</f>
        <v>9.309649241083226E-2</v>
      </c>
      <c r="GK6" s="22">
        <f ca="1">INDEX(Table_Process_Details[Total '[Acidification (kg SO2 equiv.) per kg API'] of Unique Inputs (WATER)], MATCH(Table_Process_Details[[#This Row],[Unique Inputs Sorted by '[Acidification (kg SO2 equiv.) per kg API']]],Table_Process_Details[Unique Process Inputs],0))</f>
        <v>0</v>
      </c>
      <c r="GL6" s="22">
        <f ca="1">INDEX(Table_Process_Details[Total '[Acidification (kg SO2 equiv.) per kg API'] of Unique Inputs (ENZ&amp;PLNT)], MATCH(Table_Process_Details[[#This Row],[Unique Inputs Sorted by '[Acidification (kg SO2 equiv.) per kg API']]],Table_Process_Details[Unique Process Inputs],0))</f>
        <v>0</v>
      </c>
      <c r="GM6" s="22">
        <f ca="1">INDEX(Table_Process_Details[Total '[Acidification (kg SO2 equiv.) per kg API'] of Unique Inputs (OTHER)], MATCH(Table_Process_Details[[#This Row],[Unique Inputs Sorted by '[Acidification (kg SO2 equiv.) per kg API']]],Table_Process_Details[Unique Process Inputs],0))</f>
        <v>0</v>
      </c>
      <c r="GN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 s="22">
        <f ca="1">SUMIFS(Table_Process_Details[RV Eutrophication (kg phosphate equiv.) per kg API],Table_Process_Details[Display Name],Table_Process_Details[[#This Row],[Unique Process Inputs]],Table_Process_Details[Input or Output],"Input")</f>
        <v>5.4856343464580043E-2</v>
      </c>
      <c r="GV6" s="1">
        <f ca="1">SUMIFS(Table_Process_Details[RV Eutrophication (kg phosphate equiv.) per kg API (REAGENT)],Table_Process_Details[Display Name],Table_Process_Details[[#This Row],[Unique Process Inputs]],Table_Process_Details[Input or Output],"Input")</f>
        <v>0</v>
      </c>
      <c r="GW6" s="1">
        <f ca="1">SUMIFS(Table_Process_Details[RV Eutrophication (kg phosphate equiv.) per kg API (METAL)],Table_Process_Details[Display Name],Table_Process_Details[[#This Row],[Unique Process Inputs]],Table_Process_Details[Input or Output],"Input")</f>
        <v>0</v>
      </c>
      <c r="GX6" s="1">
        <f ca="1">SUMIFS(Table_Process_Details[RV Eutrophication (kg phosphate equiv.) per kg API (SOLVENT)],Table_Process_Details[Display Name],Table_Process_Details[[#This Row],[Unique Process Inputs]],Table_Process_Details[Input or Output],"Input")</f>
        <v>5.4856343464580043E-2</v>
      </c>
      <c r="GY6" s="1">
        <f ca="1">SUMIFS(Table_Process_Details[RV Eutrophication (kg phosphate equiv.) per kg API (WATER)],Table_Process_Details[Display Name],Table_Process_Details[[#This Row],[Unique Process Inputs]],Table_Process_Details[Input or Output],"Input")</f>
        <v>0</v>
      </c>
      <c r="GZ6" s="1">
        <f ca="1">SUMIFS(Table_Process_Details[RV Eutrophication (kg phosphate equiv.) per kg API (ENZ&amp;PLNT)],Table_Process_Details[Display Name],Table_Process_Details[[#This Row],[Unique Process Inputs]],Table_Process_Details[Input or Output],"Input")</f>
        <v>0</v>
      </c>
      <c r="HA6" s="1">
        <f ca="1">SUMIFS(Table_Process_Details[RV Eutrophication (kg phosphate equiv.) per kg API (OTHER)],Table_Process_Details[Display Name],Table_Process_Details[[#This Row],[Unique Process Inputs]],Table_Process_Details[Input or Output],"Input")</f>
        <v>0</v>
      </c>
      <c r="HB6"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25 wt% reagent I (organic) in DMF</v>
      </c>
      <c r="HC6" s="22">
        <f ca="1">IF(LARGE(Table_Process_Details[Total '[Eutrophication (kg posphate equiv.) per kg API'] of Unique Inputs],Table_Process_Details[[#This Row],[Table Row]])=0,NA(),LARGE(Table_Process_Details[Total '[Eutrophication (kg posphate equiv.) per kg API'] of Unique Inputs],Table_Process_Details[[#This Row],[Table Row]]))</f>
        <v>0.15169492326440598</v>
      </c>
      <c r="HD6" s="22">
        <f ca="1">SUM(OFFSET(Table_Process_Details['[Eutrophication (kg posphate equiv.) per kg API'] of Unique Inputs Sorted by '[Eutrophication (kg posphate equiv.) per kg API']],0,0,Table_Process_Details[[#This Row],[Table Row]]))</f>
        <v>1.0898798035706065</v>
      </c>
      <c r="HE6"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(11%)</v>
      </c>
      <c r="HF6" s="1">
        <f ca="1">INDEX(Table_Process_Details[Total '[Eutrophication (kg posphate equiv.) per kg API'] of Unique Inputs (REAGENT)], MATCH(Table_Process_Details[[#This Row],[Unique Inputs Sorted by '[Eutrophication (kg posphate equiv.) per kg API']]],Table_Process_Details[Unique Process Inputs],0))</f>
        <v>4.9475795316098626E-3</v>
      </c>
      <c r="HG6" s="1">
        <f ca="1">INDEX(Table_Process_Details[Total '[Eutrophication (kg posphate equiv.) per kg API'] of Unique Inputs (METAL)], MATCH(Table_Process_Details[[#This Row],[Unique Inputs Sorted by '[Eutrophication (kg posphate equiv.) per kg API']]],Table_Process_Details[Unique Process Inputs],0))</f>
        <v>0</v>
      </c>
      <c r="HH6" s="1">
        <f ca="1">INDEX(Table_Process_Details[Total '[Eutrophication (kg posphate equiv.) per kg API'] of Unique Inputs (SOLVENT)], MATCH(Table_Process_Details[[#This Row],[Unique Inputs Sorted by '[Eutrophication (kg posphate equiv.) per kg API']]],Table_Process_Details[Unique Process Inputs],0))</f>
        <v>0.14674734373279613</v>
      </c>
      <c r="HI6" s="1">
        <f ca="1">INDEX(Table_Process_Details[Total '[Eutrophication (kg posphate equiv.) per kg API'] of Unique Inputs (WATER)], MATCH(Table_Process_Details[[#This Row],[Unique Inputs Sorted by '[Eutrophication (kg posphate equiv.) per kg API']]],Table_Process_Details[Unique Process Inputs],0))</f>
        <v>0</v>
      </c>
      <c r="HJ6" s="1">
        <f ca="1">INDEX(Table_Process_Details[Total '[Eutrophication (kg posphate equiv.) per kg API'] of Unique Inputs (ENZ&amp;PLNT)], MATCH(Table_Process_Details[[#This Row],[Unique Inputs Sorted by '[Eutrophication (kg posphate equiv.) per kg API']]],Table_Process_Details[Unique Process Inputs],0))</f>
        <v>0</v>
      </c>
      <c r="HK6" s="1">
        <f ca="1">INDEX(Table_Process_Details[Total '[Eutrophication (kg posphate equiv.) per kg API'] of Unique Inputs (OTHER)], MATCH(Table_Process_Details[[#This Row],[Unique Inputs Sorted by '[Eutrophication (kg posphate equiv.) per kg API']]],Table_Process_Details[Unique Process Inputs],0))</f>
        <v>0</v>
      </c>
      <c r="HL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 s="1">
        <f ca="1">SUMIFS(Table_Process_Details[RV Water (kg) per kg API],Table_Process_Details[Display Name],Table_Process_Details[[#This Row],[Unique Process Inputs]],Table_Process_Details[Input or Output],"Input")</f>
        <v>78.876665322746874</v>
      </c>
      <c r="HT6" s="1">
        <f ca="1">SUMIFS(Table_Process_Details[RV Water (kg) per kg API (REAGENT)],Table_Process_Details[Display Name],Table_Process_Details[[#This Row],[Unique Process Inputs]],Table_Process_Details[Input or Output],"Input")</f>
        <v>0</v>
      </c>
      <c r="HU6" s="1">
        <f ca="1">SUMIFS(Table_Process_Details[RV Water (kg) per kg API (METAL)],Table_Process_Details[Display Name],Table_Process_Details[[#This Row],[Unique Process Inputs]],Table_Process_Details[Input or Output],"Input")</f>
        <v>0</v>
      </c>
      <c r="HV6" s="1">
        <f ca="1">SUMIFS(Table_Process_Details[RV Water (kg) per kg API (SOLVENT)],Table_Process_Details[Display Name],Table_Process_Details[[#This Row],[Unique Process Inputs]],Table_Process_Details[Input or Output],"Input")</f>
        <v>78.876665322746874</v>
      </c>
      <c r="HW6" s="1">
        <f ca="1">SUMIFS(Table_Process_Details[RV Water (kg) per kg API (WATER)],Table_Process_Details[Display Name],Table_Process_Details[[#This Row],[Unique Process Inputs]],Table_Process_Details[Input or Output],"Input")</f>
        <v>0</v>
      </c>
      <c r="HX6" s="1">
        <f ca="1">SUMIFS(Table_Process_Details[RV Water (kg) per kg API (ENZ&amp;PLNT)],Table_Process_Details[Display Name],Table_Process_Details[[#This Row],[Unique Process Inputs]],Table_Process_Details[Input or Output],"Input")</f>
        <v>0</v>
      </c>
      <c r="HY6" s="1">
        <f ca="1">SUMIFS(Table_Process_Details[RV Water (kg) per kg API (OTHER)],Table_Process_Details[Display Name],Table_Process_Details[[#This Row],[Unique Process Inputs]],Table_Process_Details[Input or Output],"Input")</f>
        <v>0</v>
      </c>
      <c r="HZ6" s="22" t="str">
        <f ca="1">INDEX(Table_Process_Details[Unique Process Inputs],MATCH(Table_Process_Details[[#This Row],['[Water (kg) per kg API'] of Unique Inputs Sorted by '[Water (kg) per kg API']]],Table_Process_Details[Total '[Water (kg) per kg API'] of Unique Inputs],0))</f>
        <v>DMF</v>
      </c>
      <c r="IA6" s="22">
        <f ca="1">IF(LARGE(Table_Process_Details[Total '[Water (kg) per kg API'] of Unique Inputs],Table_Process_Details[[#This Row],[Table Row]])=0,NA(),LARGE(Table_Process_Details[Total '[Water (kg) per kg API'] of Unique Inputs],Table_Process_Details[[#This Row],[Table Row]]))</f>
        <v>102.0169318081451</v>
      </c>
      <c r="IB6" s="1">
        <f ca="1">SUM(OFFSET(Table_Process_Details['[Water (kg) per kg API'] of Unique Inputs Sorted by '[Water (kg) per kg API']],0,0,Table_Process_Details[[#This Row],[Table Row]]))</f>
        <v>448.37833180814511</v>
      </c>
      <c r="IC6" s="1" t="str">
        <f ca="1">"("&amp;TEXT(Table_Process_Details[[#This Row],['[Water (kg) per kg API'] of Unique Inputs Sorted by '[Water (kg) per kg API']]]/SUMIF(Table_Process_Details['[Water (kg) per kg API'] of Unique Inputs Sorted by '[Water (kg) per kg API']],"&lt;&gt;#N/A"),"0%")&amp;")"</f>
        <v>(11%)</v>
      </c>
      <c r="ID6" s="1">
        <f ca="1">INDEX(Table_Process_Details[Total '[Water (kg) per kg API'] of Unique Inputs (REAGENT)], MATCH(Table_Process_Details[[#This Row],[Unique Inputs Sorted by '[Water (kg) per kg API']]],Table_Process_Details[Unique Process Inputs],0))</f>
        <v>0</v>
      </c>
      <c r="IE6" s="1">
        <f ca="1">INDEX(Table_Process_Details[Total '[Water (kg) per kg API'] of Unique Inputs (METAL)], MATCH(Table_Process_Details[[#This Row],[Unique Inputs Sorted by '[Water (kg) per kg API']]],Table_Process_Details[Unique Process Inputs],0))</f>
        <v>0</v>
      </c>
      <c r="IF6" s="1">
        <f ca="1">INDEX(Table_Process_Details[Total '[Water (kg) per kg API'] of Unique Inputs (SOLVENT)], MATCH(Table_Process_Details[[#This Row],[Unique Inputs Sorted by '[Water (kg) per kg API']]],Table_Process_Details[Unique Process Inputs],0))</f>
        <v>102.0169318081451</v>
      </c>
      <c r="IG6" s="1">
        <f ca="1">INDEX(Table_Process_Details[Total '[Water (kg) per kg API'] of Unique Inputs (WATER)], MATCH(Table_Process_Details[[#This Row],[Unique Inputs Sorted by '[Water (kg) per kg API']]],Table_Process_Details[Unique Process Inputs],0))</f>
        <v>0</v>
      </c>
      <c r="IH6" s="1">
        <f ca="1">INDEX(Table_Process_Details[Total '[Water (kg) per kg API'] of Unique Inputs (ENZ&amp;PLNT)], MATCH(Table_Process_Details[[#This Row],[Unique Inputs Sorted by '[Water (kg) per kg API']]],Table_Process_Details[Unique Process Inputs],0))</f>
        <v>0</v>
      </c>
      <c r="II6" s="1">
        <f ca="1">INDEX(Table_Process_Details[Total '[Water (kg) per kg API'] of Unique Inputs (OTHER)], MATCH(Table_Process_Details[[#This Row],[Unique Inputs Sorted by '[Water (kg) per kg API']]],Table_Process_Details[Unique Process Inputs],0))</f>
        <v>0</v>
      </c>
    </row>
    <row r="7" spans="1:250" s="119" customFormat="1" x14ac:dyDescent="0.25">
      <c r="A7" s="126" t="str">
        <f>A6</f>
        <v>1a) Virtual solution prep for (1): 5 wt% reagent A (organic) in acetonitrile</v>
      </c>
      <c r="B7" s="127" t="s">
        <v>5</v>
      </c>
      <c r="C7" s="127" t="s">
        <v>155</v>
      </c>
      <c r="D7" s="126" t="s">
        <v>155</v>
      </c>
      <c r="E7" s="126" t="str">
        <f>Process_Steps[[#This Row],[Product Display Name]]</f>
        <v>5 wt% reagent A (organic) in acetonitrile</v>
      </c>
      <c r="F7" s="165">
        <f>F6+F5</f>
        <v>100</v>
      </c>
      <c r="G7" s="128" t="s">
        <v>856</v>
      </c>
      <c r="H7" s="165" t="str">
        <f ca="1">"Actual mass is rescaled to "&amp;TEXT(Table_Process_Details[[#This Row],[Scaled Physical Mass per kg API for All Inputs &amp; Outputs]],"0.000")&amp;"kg/kg API by the step scaling iterator"</f>
        <v>Actual mass is rescaled to 0.056kg/kg API by the step scaling iterator</v>
      </c>
      <c r="I7" s="128"/>
      <c r="J7" s="128" t="str">
        <f>INDEX(Process_Steps[Reference],MATCH(Table_Process_Details[[#This Row],[Step Name]],Process_Steps[Name],0))</f>
        <v>Reference Document  for Step 1</v>
      </c>
      <c r="K7" s="129" t="str">
        <f>INDEX(Process_Steps[Real or Virtual?],MATCH(Table_Process_Details[[#This Row],[Step Name]],Process_Steps[Name],0))</f>
        <v>Virtual</v>
      </c>
      <c r="L7"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7"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7" s="128">
        <f>INDEX(Table_Process_Details[Physical Mass (kg)],MATCH(1,INDEX(((Table_Process_Details[Step Name]=Table_Process_Details[[#This Row],[Step Name]])*(Table_Process_Details[Input or Output]="Output")),0),0))</f>
        <v>100</v>
      </c>
      <c r="O7" s="130">
        <f ca="1">INDEX(Process_Steps[Step Scale Factor for 1kg Packaged API],MATCH(Table_Process_Details[[#This Row],[Step Name]],Process_Steps[Name],0))</f>
        <v>5.5920820445784665E-4</v>
      </c>
      <c r="P7"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v>
      </c>
      <c r="Q7"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20</v>
      </c>
      <c r="R7" s="128">
        <f ca="1">_xlfn.SWITCH(Run_Reset_PNG,"Reset",Table_Process_Details[[#This Row],[X Init]],"Run",Table_Process_Details[[#This Row],[X Moved]],"Freeze",Table_Process_Details[[#This Row],[X Mover]])</f>
        <v>2.3275130569467728</v>
      </c>
      <c r="S7" s="128">
        <f ca="1">_xlfn.SWITCH(Run_Reset_PNG,"Reset",Table_Process_Details[[#This Row],[Y Init]],"Run",Table_Process_Details[[#This Row],[Y Moved]],"Freeze",Table_Process_Details[[#This Row],[Y Mover]])</f>
        <v>33.401144815982704</v>
      </c>
      <c r="T7" s="128" cm="1">
        <f t="array" aca="1" ref="T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0.58569139558389716</v>
      </c>
      <c r="U7" s="128" cm="1">
        <f t="array" aca="1" ref="U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1.9672051229687511</v>
      </c>
      <c r="V7" s="128" cm="1">
        <f t="array" aca="1" ref="V7" ca="1">SUM(--(SQRT((Table_Process_Details[[#This Row],[X Mover]]-Table_Process_Details[X Mover])^2+(Table_Process_Details[[#This Row],[Y Mover]]-Table_Process_Details[Y Mover])^2)&lt;Collision_Distance))</f>
        <v>10</v>
      </c>
      <c r="W7" s="128" cm="1">
        <f t="array" aca="1" ref="W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-0.17322226131964413</v>
      </c>
      <c r="X7" s="128" cm="1">
        <f t="array" aca="1" ref="X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-0.15669558086567992</v>
      </c>
      <c r="Y7" s="128" cm="1">
        <f t="array" aca="1" ref="Y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7" s="128">
        <f>0</f>
        <v>0</v>
      </c>
      <c r="AA7" s="128">
        <f>0</f>
        <v>0</v>
      </c>
      <c r="AB7"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-1.1637565284733864</v>
      </c>
      <c r="AC7" s="128" cm="1">
        <f t="array" aca="1" ref="AC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-16.700572407991352</v>
      </c>
      <c r="AD7" s="128">
        <f>MIN(1,COUNTA(Table_Process_Details[[#This Row],[target x]]),COUNTA(Table_Process_Details[[#This Row],[target y]]))*COUNTA(Table_Process_Details[Step Name])</f>
        <v>98</v>
      </c>
      <c r="AE7"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2.3164663761148723</v>
      </c>
      <c r="AF7"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33.375219463827847</v>
      </c>
      <c r="AG7"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 s="128" t="e" cm="1">
        <f t="array" ref="AH7">INDEX(Table_Process_Details[X Mover],MATCH(1,INDEX((Table_Process_Details[Input or Output]="Output")*(Table_Process_Details[Step Name]=Table_Process_Details[[#This Row],[Step Name]])*(Table_Process_Details[[#This Row],[Input or Output]]="Input"),0),0))</f>
        <v>#N/A</v>
      </c>
      <c r="AI7" s="128" t="e" cm="1">
        <f t="array" ref="AI7">INDEX(Table_Process_Details[Y Mover],MATCH(1,INDEX((Table_Process_Details[Input or Output]="Output")*(Table_Process_Details[Step Name]=Table_Process_Details[[#This Row],[Step Name]])*(Table_Process_Details[[#This Row],[Input or Output]]="Input"),0),0))</f>
        <v>#N/A</v>
      </c>
      <c r="AJ7" s="128" t="e">
        <f>SQRT((Table_Process_Details[[#This Row],[X End (To Node Center)]]-Table_Process_Details[[#This Row],[X Guide]])^2+(Table_Process_Details[[#This Row],[Y End (to Node Center)]]-Table_Process_Details[[#This Row],[Y Guide]])^2)</f>
        <v>#N/A</v>
      </c>
      <c r="AK7" s="128" t="e" cm="1">
        <f t="array" ref="AK7">INDEX(Table_Process_Details[X Mover],MATCH(1,INDEX((Table_Process_Details[Step Name]=Table_Process_Details[[#This Row],[LCA Data Source Subclass]])*(Table_Process_Details[Input or Output]="Output"),0)*(Table_Process_Details[[#This Row],[Input or Output]]="Input"),0))</f>
        <v>#N/A</v>
      </c>
      <c r="AL7" s="128" t="e" cm="1">
        <f t="array" ref="AL7">INDEX(Table_Process_Details[X Mover],MATCH(1,INDEX(((Table_Process_Details[Table Row]=Table_Process_Details[[#This Row],[Table Row]])*(1)),0)*(Table_Process_Details[[#This Row],[Input or Output]]="Input"),0))</f>
        <v>#N/A</v>
      </c>
      <c r="AM7" s="128" t="e" cm="1">
        <f t="array" ref="AM7">(Table_Process_Details[[#This Row],[X End (To Node Center)]]*Table_Process_Details[[#This Row],[r0]]-Table_Process_Details[[#This Row],[X End (To Node Center)]]*Arrow_Offset+Table_Process_Details[[#This Row],[X Guide]]*Arrow_Offset)/Table_Process_Details[[#This Row],[r0]]</f>
        <v>#N/A</v>
      </c>
      <c r="AN7" s="128" t="e">
        <f>IF(NOT(Table_Process_Details[[#This Row],[Display As]]="None"),Table_Process_Details[[#This Row],[X Start Prefilter]],NA())</f>
        <v>#N/A</v>
      </c>
      <c r="AO7" s="128" t="e">
        <f>IF(NOT(Table_Process_Details[[#This Row],[Display As]]="None"),Table_Process_Details[[#This Row],[X Guide Prefilter]],NA())</f>
        <v>#N/A</v>
      </c>
      <c r="AP7" s="128" t="e">
        <f>IF(NOT(Table_Process_Details[[#This Row],[Display As]]="None"),Table_Process_Details[[#This Row],[X End (to Stop Radius) Prefilter]],NA())</f>
        <v>#N/A</v>
      </c>
      <c r="AQ7" s="128" t="e">
        <f>NA()</f>
        <v>#N/A</v>
      </c>
      <c r="AR7" s="128" t="e" cm="1">
        <f t="array" ref="AR7">INDEX(Table_Process_Details[Y Mover],MATCH(1,INDEX((Table_Process_Details[Step Name]=Table_Process_Details[[#This Row],[LCA Data Source Subclass]])*(Table_Process_Details[Input or Output]="Output"),0)*(Table_Process_Details[[#This Row],[Input or Output]]="Input"),0))</f>
        <v>#N/A</v>
      </c>
      <c r="AS7" s="128" t="e" cm="1">
        <f t="array" ref="AS7">INDEX(Table_Process_Details[Y Mover],MATCH(1,INDEX(((Table_Process_Details[Table Row]=Table_Process_Details[[#This Row],[Table Row]])*(1)),0)*(Table_Process_Details[[#This Row],[Input or Output]]="Input"),0))</f>
        <v>#N/A</v>
      </c>
      <c r="AT7" s="128" t="e" cm="1">
        <f t="array" ref="AT7">(Table_Process_Details[[#This Row],[Y Guide]]*Arrow_Offset-Table_Process_Details[[#This Row],[Y End (to Node Center)]]*Arrow_Offset+Table_Process_Details[[#This Row],[Y End (to Node Center)]]*Table_Process_Details[[#This Row],[r0]])/Table_Process_Details[[#This Row],[r0]]</f>
        <v>#N/A</v>
      </c>
      <c r="AU7" s="128" t="e">
        <f>IF(NOT(Table_Process_Details[[#This Row],[Display As]]="None"),Table_Process_Details[[#This Row],[Y Start Prefilter]],NA())</f>
        <v>#N/A</v>
      </c>
      <c r="AV7" s="128" t="e">
        <f>IF(NOT(Table_Process_Details[[#This Row],[Display As]]="None"),Table_Process_Details[[#This Row],[Y Guide Prefilter]],NA())</f>
        <v>#N/A</v>
      </c>
      <c r="AW7" s="128" t="e">
        <f>IF(NOT(Table_Process_Details[[#This Row],[Display As]]="None"),Table_Process_Details[[#This Row],[Y End (to Stop Radius) Prefilter]],NA())</f>
        <v>#N/A</v>
      </c>
      <c r="AX7" s="128" t="e">
        <f>NA()</f>
        <v>#N/A</v>
      </c>
      <c r="AY7" s="128" t="e">
        <f>IF(Table_Process_Details[[#This Row],[Display As]]="Real Step",Table_Process_Details[[#This Row],[X Mover]],NA())</f>
        <v>#N/A</v>
      </c>
      <c r="AZ7" s="128" t="e">
        <f>IF(Table_Process_Details[[#This Row],[Display As]]="Real Step",Table_Process_Details[[#This Row],[Y Mover]],NA())</f>
        <v>#N/A</v>
      </c>
      <c r="BA7" s="128">
        <f ca="1">IF(Table_Process_Details[[#This Row],[Display As]]="Raw Material",Table_Process_Details[[#This Row],[X Mover]],NA())</f>
        <v>2.3275130569467728</v>
      </c>
      <c r="BB7" s="128">
        <f ca="1">IF(Table_Process_Details[[#This Row],[Display As]]="Raw Material",Table_Process_Details[[#This Row],[Y Mover]],NA())</f>
        <v>33.401144815982704</v>
      </c>
      <c r="BC7" s="128">
        <f ca="1">IF(OR(Table_Process_Details[[#This Row],[Display As]]="Real Step",Table_Process_Details[[#This Row],[Display As]]="Raw Material"),Table_Process_Details[[#This Row],[X Mover]],NA())</f>
        <v>2.3275130569467728</v>
      </c>
      <c r="BD7" s="128">
        <f ca="1">IF(OR(Table_Process_Details[[#This Row],[Display As]]="Real Step",Table_Process_Details[[#This Row],[Display As]]="Raw Material"),Table_Process_Details[[#This Row],[Y Mover]],NA())</f>
        <v>33.401144815982704</v>
      </c>
      <c r="BE7" s="126">
        <f>ROW()-ROW(Table_Process_Details[[#Headers],[Table Row]])</f>
        <v>3</v>
      </c>
      <c r="BF7" s="122" t="str" cm="1">
        <f t="array" aca="1" ref="BF7" ca="1">INDEX(Table_Process_Details[Display Name],MATCH(0,IF(Table_Process_Details[Input or Output]="Input",INDEX(COUNTIF(OFFSET(Table_Process_Details[[#Headers],[Unique Process Inputs]],0,0,Table_Process_Details[[#This Row],[Table Row]],1),Table_Process_Details[Display Name]),),""),0))</f>
        <v>reagent B (inorganic)</v>
      </c>
      <c r="BG7" s="122">
        <f ca="1">Table_Process_Details[[#This Row],[Physical Mass (kg)]]*Table_Process_Details[[#This Row],[Step Scale Factor for 1kg Packaged API]]</f>
        <v>5.5920820445784662E-2</v>
      </c>
      <c r="BH7"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 s="122">
        <f ca="1">MATCH(Table_Process_Details[[#This Row],[LCA Data Source Class]],INDIRECT(Table_Process_Details[[#This Row],[Input or Output]]),0)</f>
        <v>1</v>
      </c>
      <c r="BJ7" s="122">
        <f ca="1">MATCH(Table_Process_Details[[#This Row],[LCA Data Source Subclass]],INDIRECT(Table_Process_Details[[#This Row],[LCA Data Source Class]]&amp;"[Name]"),0)</f>
        <v>1</v>
      </c>
      <c r="BK7" s="122">
        <f ca="1">IFERROR(INDEX(INDIRECT(Table_Process_Details[[#This Row],[LCA Data Source Class]]&amp;"[Mass Net (kg)]"),MATCH(Table_Process_Details[[#This Row],[LCA Data Source Subclass]],INDIRECT(Table_Process_Details[[#This Row],[LCA Data Source Class]]&amp;"[Name]"),0)),0)</f>
        <v>0</v>
      </c>
      <c r="BL7" s="122">
        <f ca="1">IFERROR(INDEX(INDIRECT(Table_Process_Details[[#This Row],[LCA Data Source Class]]&amp;"[Energy (MJ)]"),MATCH(Table_Process_Details[[#This Row],[LCA Data Source Subclass]],INDIRECT(Table_Process_Details[[#This Row],[LCA Data Source Class]]&amp;"[Name]"),0)),0)</f>
        <v>0</v>
      </c>
      <c r="BM7" s="122">
        <f ca="1">IFERROR(INDEX(INDIRECT(Table_Process_Details[[#This Row],[LCA Data Source Class]]&amp;"[GWP (kg CO2 equiv.)]"),MATCH(Table_Process_Details[[#This Row],[LCA Data Source Subclass]],INDIRECT(Table_Process_Details[[#This Row],[LCA Data Source Class]]&amp;"[Name]"),0)),0)</f>
        <v>0</v>
      </c>
      <c r="BN7" s="122">
        <f ca="1">IFERROR(INDEX(INDIRECT(Table_Process_Details[[#This Row],[LCA Data Source Class]]&amp;"[Acidification (kg SO2 equiv.)]"),MATCH(Table_Process_Details[[#This Row],[LCA Data Source Subclass]],INDIRECT(Table_Process_Details[[#This Row],[LCA Data Source Class]]&amp;"[Name]"),0)),0)</f>
        <v>0</v>
      </c>
      <c r="BO7" s="122">
        <f ca="1">IFERROR(INDEX(INDIRECT(Table_Process_Details[[#This Row],[LCA Data Source Class]]&amp;"[Eutrophication (kg posphate equiv.)]"),MATCH(Table_Process_Details[[#This Row],[LCA Data Source Subclass]],INDIRECT(Table_Process_Details[[#This Row],[LCA Data Source Class]]&amp;"[Name]"),0)),0)</f>
        <v>0</v>
      </c>
      <c r="BP7" s="122">
        <f ca="1">IFERROR(INDEX(INDIRECT(Table_Process_Details[[#This Row],[LCA Data Source Class]]&amp;"[Water (kg)]"),MATCH(Table_Process_Details[[#This Row],[LCA Data Source Subclass]],INDIRECT(Table_Process_Details[[#This Row],[LCA Data Source Class]]&amp;"[Name]"),0)),0)</f>
        <v>0</v>
      </c>
      <c r="BQ7" s="129">
        <f ca="1">(Table_Process_Details[[#This Row],[Input or Output]]="Input")*(Table_Process_Details[[#This Row],[LCA Data Source Class]]&lt;&gt;"Process_Steps")*Table_Process_Details[[#This Row],[Scaled Physical Mass per kg API for All Inputs &amp; Outputs]]</f>
        <v>0</v>
      </c>
      <c r="BR7" s="129">
        <f ca="1">(Table_Process_Details[[#This Row],[Material Class]]="REAGENT")*Table_Process_Details[[#This Row],[Physical Mass per kg API]]</f>
        <v>0</v>
      </c>
      <c r="BS7" s="129">
        <f ca="1">(Table_Process_Details[[#This Row],[Material Class]]="METAL")*Table_Process_Details[[#This Row],[Physical Mass per kg API]]</f>
        <v>0</v>
      </c>
      <c r="BT7" s="129">
        <f ca="1">(Table_Process_Details[[#This Row],[Material Class]]="SOLVENT")*Table_Process_Details[[#This Row],[Physical Mass per kg API]]</f>
        <v>0</v>
      </c>
      <c r="BU7" s="129">
        <f ca="1">(Table_Process_Details[[#This Row],[Material Class]]="WATER")*Table_Process_Details[[#This Row],[Physical Mass per kg API]]</f>
        <v>0</v>
      </c>
      <c r="BV7" s="129">
        <f ca="1">(Table_Process_Details[[#This Row],[Material Class]]="ENZ&amp;PLNT")*Table_Process_Details[[#This Row],[Physical Mass per kg API]]</f>
        <v>0</v>
      </c>
      <c r="BW7" s="129">
        <f ca="1">(Table_Process_Details[[#This Row],[Material Class]]="OTHER")*Table_Process_Details[[#This Row],[Physical Mass per kg API]]</f>
        <v>0</v>
      </c>
      <c r="BX7"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 s="131">
        <f ca="1">SUMIFS(Table_Process_Details[RV Physical Mass per kg API],Table_Process_Details[Display Name],Table_Process_Details[[#This Row],[Unique Process Inputs]],Table_Process_Details[Input or Output],"Input")</f>
        <v>0</v>
      </c>
      <c r="CF7" s="131">
        <f ca="1">SUMIFS(Table_Process_Details[RV Physical Mass per kg API (REAGENT)],Table_Process_Details[Display Name],Table_Process_Details[[#This Row],[Unique Process Inputs]],Table_Process_Details[Input or Output],"Input")</f>
        <v>0</v>
      </c>
      <c r="CG7" s="131">
        <f ca="1">SUMIFS(Table_Process_Details[RV Physical Mass per kg API (METAL)],Table_Process_Details[Display Name],Table_Process_Details[[#This Row],[Unique Process Inputs]],Table_Process_Details[Input or Output],"Input")</f>
        <v>0</v>
      </c>
      <c r="CH7" s="131">
        <f ca="1">SUMIFS(Table_Process_Details[RV Physical Mass per kg API (SOLVENT)],Table_Process_Details[Display Name],Table_Process_Details[[#This Row],[Unique Process Inputs]],Table_Process_Details[Input or Output],"Input")</f>
        <v>0</v>
      </c>
      <c r="CI7" s="131">
        <f ca="1">SUMIFS(Table_Process_Details[RV Physical Mass per kg API (WATER)],Table_Process_Details[Display Name],Table_Process_Details[[#This Row],[Unique Process Inputs]],Table_Process_Details[Input or Output],"Input")</f>
        <v>0</v>
      </c>
      <c r="CJ7" s="131">
        <f ca="1">SUMIFS(Table_Process_Details[RV Physical Mass per kg API (ENZ&amp;PLNT)],Table_Process_Details[Display Name],Table_Process_Details[[#This Row],[Unique Process Inputs]],Table_Process_Details[Input or Output],"Input")</f>
        <v>0</v>
      </c>
      <c r="CK7" s="131">
        <f ca="1">SUMIFS(Table_Process_Details[RV Physical Mass per kg API (OTHER)],Table_Process_Details[Display Name],Table_Process_Details[[#This Row],[Unique Process Inputs]],Table_Process_Details[Input or Output],"Input")</f>
        <v>0</v>
      </c>
      <c r="CL7" s="126" t="str">
        <f ca="1">INDEX(Table_Process_Details[Unique Process Inputs],MATCH(Table_Process_Details[[#This Row],['[Physical Mass per kg API'] of Unique Inputs Sorted by '[Physical Mass per kg API']]],Table_Process_Details[Total '[Physical Mass per kg API'] of Unique Inputs],0))</f>
        <v>methanol</v>
      </c>
      <c r="CM7" s="126">
        <f ca="1">IF(LARGE(Table_Process_Details[Total '[Physical Mass per kg API'] of Unique Inputs],Table_Process_Details[[#This Row],[Table Row]])=0,NA(),LARGE(Table_Process_Details[Total '[Physical Mass per kg API'] of Unique Inputs],Table_Process_Details[[#This Row],[Table Row]]))</f>
        <v>16.069901025556863</v>
      </c>
      <c r="CN7" s="126">
        <f ca="1">SUM(OFFSET(Table_Process_Details['[Physical Mass per kg API'] of Unique Inputs Sorted by '[Physical Mass per kg API']],0,0,Table_Process_Details[[#This Row],[Table Row]]))</f>
        <v>76.296693000913066</v>
      </c>
      <c r="CO7" s="126" t="str">
        <f ca="1">"("&amp;TEXT(Table_Process_Details[[#This Row],['[Physical Mass per kg API'] of Unique Inputs Sorted by '[Physical Mass per kg API']]]/SUMIF(Table_Process_Details['[Physical Mass per kg API'] of Unique Inputs Sorted by '[Physical Mass per kg API']],"&lt;&gt;#N/A"),"0%")&amp;")"</f>
        <v>(11%)</v>
      </c>
      <c r="CP7" s="126">
        <f ca="1">INDEX(Table_Process_Details[Total '[Physical Mass per kg API'] of Unique Inputs (REAGENT)],MATCH(Table_Process_Details[[#This Row],[Unique Inputs Sorted by '[Physical Mass per kg API']]],Table_Process_Details[Unique Process Inputs],0))</f>
        <v>0</v>
      </c>
      <c r="CQ7" s="126">
        <f ca="1">INDEX(Table_Process_Details[Total '[Physical Mass per kg API'] of Unique Inputs (METAL)],MATCH(Table_Process_Details[[#This Row],[Unique Inputs Sorted by '[Physical Mass per kg API']]],Table_Process_Details[Unique Process Inputs],0))</f>
        <v>0</v>
      </c>
      <c r="CR7" s="126">
        <f ca="1">INDEX(Table_Process_Details[Total '[Physical Mass per kg API'] of Unique Inputs (SOLVENT)],MATCH(Table_Process_Details[[#This Row],[Unique Inputs Sorted by '[Physical Mass per kg API']]],Table_Process_Details[Unique Process Inputs],0))</f>
        <v>16.069901025556863</v>
      </c>
      <c r="CS7" s="126">
        <f ca="1">INDEX(Table_Process_Details[Total '[Physical Mass per kg API'] of Unique Inputs (WATER)],MATCH(Table_Process_Details[[#This Row],[Unique Inputs Sorted by '[Physical Mass per kg API']]],Table_Process_Details[Unique Process Inputs],0))</f>
        <v>0</v>
      </c>
      <c r="CT7" s="126">
        <f ca="1">INDEX(Table_Process_Details[Total '[Physical Mass per kg API'] of Unique Inputs (ENZ&amp;PLNT)],MATCH(Table_Process_Details[[#This Row],[Unique Inputs Sorted by '[Physical Mass per kg API']]],Table_Process_Details[Unique Process Inputs],0))</f>
        <v>0</v>
      </c>
      <c r="CU7" s="126">
        <f ca="1">INDEX(Table_Process_Details[Total '[Physical Mass per kg API'] of Unique Inputs (OTHER)],MATCH(Table_Process_Details[[#This Row],[Unique Inputs Sorted by '[Physical Mass per kg API']]],Table_Process_Details[Unique Process Inputs],0))</f>
        <v>0</v>
      </c>
      <c r="CV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 s="126">
        <f ca="1">SUMIFS(Table_Process_Details[RV Mass Net (kg) per kg API],Table_Process_Details[Display Name],Table_Process_Details[[#This Row],[Unique Process Inputs]],Table_Process_Details[Input or Output],"Input")</f>
        <v>0</v>
      </c>
      <c r="DD7" s="126">
        <f ca="1">SUMIFS(Table_Process_Details[RV Mass Net (kg) per kg API (REAGENT)],Table_Process_Details[Display Name],Table_Process_Details[[#This Row],[Unique Process Inputs]],Table_Process_Details[Input or Output],"Input")</f>
        <v>0</v>
      </c>
      <c r="DE7" s="126">
        <f ca="1">SUMIFS(Table_Process_Details[RV Mass Net (kg) per kg API (METAL)],Table_Process_Details[Display Name],Table_Process_Details[[#This Row],[Unique Process Inputs]],Table_Process_Details[Input or Output],"Input")</f>
        <v>0</v>
      </c>
      <c r="DF7" s="126">
        <f ca="1">SUMIFS(Table_Process_Details[RV Mass Net (kg) per kg API (SOLVENT)],Table_Process_Details[Display Name],Table_Process_Details[[#This Row],[Unique Process Inputs]],Table_Process_Details[Input or Output],"Input")</f>
        <v>0</v>
      </c>
      <c r="DG7" s="126">
        <f ca="1">SUMIFS(Table_Process_Details[RV Mass Net (kg) per kg API (WATER)],Table_Process_Details[Display Name],Table_Process_Details[[#This Row],[Unique Process Inputs]],Table_Process_Details[Input or Output],"Input")</f>
        <v>0</v>
      </c>
      <c r="DH7" s="126">
        <f ca="1">SUMIFS(Table_Process_Details[RV Mass Net (kg) per kg API (ENZ&amp;PLNT)],Table_Process_Details[Display Name],Table_Process_Details[[#This Row],[Unique Process Inputs]],Table_Process_Details[Input or Output],"Input")</f>
        <v>0</v>
      </c>
      <c r="DI7" s="126">
        <f ca="1">SUMIFS(Table_Process_Details[RV Mass Net (kg) per kg API (OTHER)],Table_Process_Details[Display Name],Table_Process_Details[[#This Row],[Unique Process Inputs]],Table_Process_Details[Input or Output],"Input")</f>
        <v>0</v>
      </c>
      <c r="DJ7" s="126" t="str">
        <f ca="1">INDEX(Table_Process_Details[Unique Process Inputs],MATCH(Table_Process_Details[[#This Row],['[Mass Net (kg) per kg API'] of Unique Inputs Sorted by '[Mass Net (kg) per kg API']]],Table_Process_Details[Total '[Mass Net (kg) per kg API'] of Unique Inputs],0))</f>
        <v>toluene</v>
      </c>
      <c r="DK7" s="126">
        <f ca="1">IF(LARGE(Table_Process_Details[Total '[Mass Net (kg) per kg API'] of Unique Inputs],Table_Process_Details[[#This Row],[Table Row]])=0,NA(),LARGE(Table_Process_Details[Total '[Mass Net (kg) per kg API'] of Unique Inputs],Table_Process_Details[[#This Row],[Table Row]]))</f>
        <v>14.519963152711345</v>
      </c>
      <c r="DL7" s="126">
        <f ca="1">SUM(OFFSET(Table_Process_Details['[Mass Net (kg) per kg API'] of Unique Inputs Sorted by '[Mass Net (kg) per kg API']],0,0,Table_Process_Details[[#This Row],[Table Row]]))</f>
        <v>60.934538277379758</v>
      </c>
      <c r="DM7" s="126" t="str">
        <f ca="1">"("&amp;TEXT(Table_Process_Details[[#This Row],['[Mass Net (kg) per kg API'] of Unique Inputs Sorted by '[Mass Net (kg) per kg API']]]/SUMIF(Table_Process_Details['[Mass Net (kg) per kg API'] of Unique Inputs Sorted by '[Mass Net (kg) per kg API']],"&lt;&gt;#N/A"),"0%")&amp;")"</f>
        <v>(11%)</v>
      </c>
      <c r="DN7" s="126">
        <f ca="1">INDEX(Table_Process_Details[Total '[Mass Net (kg) per kg API'] of Unique Inputs (REAGENT)], MATCH(Table_Process_Details[[#This Row],[Unique Inputs Sorted by '[Mass Net (kg) per kg API']]],Table_Process_Details[Unique Process Inputs],0))</f>
        <v>0</v>
      </c>
      <c r="DO7" s="126">
        <f ca="1">INDEX(Table_Process_Details[Total '[Mass Net (kg) per kg API'] of Unique Inputs (METAL)], MATCH(Table_Process_Details[[#This Row],[Unique Inputs Sorted by '[Mass Net (kg) per kg API']]],Table_Process_Details[Unique Process Inputs],0))</f>
        <v>0</v>
      </c>
      <c r="DP7" s="126">
        <f ca="1">INDEX(Table_Process_Details[Total '[Mass Net (kg) per kg API'] of Unique Inputs (SOLVENT)], MATCH(Table_Process_Details[[#This Row],[Unique Inputs Sorted by '[Mass Net (kg) per kg API']]],Table_Process_Details[Unique Process Inputs],0))</f>
        <v>14.519963152711345</v>
      </c>
      <c r="DQ7" s="126">
        <f ca="1">INDEX(Table_Process_Details[Total '[Mass Net (kg) per kg API'] of Unique Inputs (WATER)], MATCH(Table_Process_Details[[#This Row],[Unique Inputs Sorted by '[Mass Net (kg) per kg API']]],Table_Process_Details[Unique Process Inputs],0))</f>
        <v>0</v>
      </c>
      <c r="DR7" s="126">
        <f ca="1">INDEX(Table_Process_Details[Total '[Mass Net (kg) per kg API'] of Unique Inputs (ENZ&amp;PLNT)], MATCH(Table_Process_Details[[#This Row],[Unique Inputs Sorted by '[Mass Net (kg) per kg API']]],Table_Process_Details[Unique Process Inputs],0))</f>
        <v>0</v>
      </c>
      <c r="DS7" s="126">
        <f ca="1">INDEX(Table_Process_Details[Total '[Mass Net (kg) per kg API'] of Unique Inputs (OTHER)], MATCH(Table_Process_Details[[#This Row],[Unique Inputs Sorted by '[Mass Net (kg) per kg API']]],Table_Process_Details[Unique Process Inputs],0))</f>
        <v>0</v>
      </c>
      <c r="DT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 s="131">
        <f ca="1">SUMIFS(Table_Process_Details[RV Energy (MJ) per kg API],Table_Process_Details[Display Name],Table_Process_Details[[#This Row],[Unique Process Inputs]],Table_Process_Details[Input or Output],"Input")</f>
        <v>0</v>
      </c>
      <c r="EB7" s="131">
        <f ca="1">SUMIFS(Table_Process_Details[RV Energy (MJ) per kg API (REAGENT)],Table_Process_Details[Display Name],Table_Process_Details[[#This Row],[Unique Process Inputs]],Table_Process_Details[Input or Output],"Input")</f>
        <v>0</v>
      </c>
      <c r="EC7" s="131">
        <f ca="1">SUMIFS(Table_Process_Details[RV Energy (MJ) per kg API (METAL)],Table_Process_Details[Display Name],Table_Process_Details[[#This Row],[Unique Process Inputs]],Table_Process_Details[Input or Output],"Input")</f>
        <v>0</v>
      </c>
      <c r="ED7" s="131">
        <f ca="1">SUMIFS(Table_Process_Details[RV Energy (MJ) per kg API (SOLVENT)],Table_Process_Details[Display Name],Table_Process_Details[[#This Row],[Unique Process Inputs]],Table_Process_Details[Input or Output],"Input")</f>
        <v>0</v>
      </c>
      <c r="EE7" s="131">
        <f ca="1">SUMIFS(Table_Process_Details[RV Energy (MJ) per kg API (WATER)],Table_Process_Details[Display Name],Table_Process_Details[[#This Row],[Unique Process Inputs]],Table_Process_Details[Input or Output],"Input")</f>
        <v>0</v>
      </c>
      <c r="EF7" s="131">
        <f ca="1">SUMIFS(Table_Process_Details[RV Energy (MJ) per kg API (ENZ&amp;PLNT)],Table_Process_Details[Display Name],Table_Process_Details[[#This Row],[Unique Process Inputs]],Table_Process_Details[Input or Output],"Input")</f>
        <v>0</v>
      </c>
      <c r="EG7" s="131">
        <f ca="1">SUMIFS(Table_Process_Details[RV Energy (MJ) per kg API (OTHER)],Table_Process_Details[Display Name],Table_Process_Details[[#This Row],[Unique Process Inputs]],Table_Process_Details[Input or Output],"Input")</f>
        <v>0</v>
      </c>
      <c r="EH7" s="131" t="str">
        <f ca="1">INDEX(Table_Process_Details[Unique Process Inputs],MATCH(Table_Process_Details[[#This Row],['[Energy (MJ) per kg API'] of Unique Inputs Sorted by '[Energy (MJ) per kg API']]],Table_Process_Details[Total '[Energy (MJ) per kg API'] of Unique Inputs],0))</f>
        <v>DMF</v>
      </c>
      <c r="EI7" s="126">
        <f ca="1">IF(LARGE(Table_Process_Details[Total '[Energy (MJ) per kg API'] of Unique Inputs],Table_Process_Details[[#This Row],[Table Row]])=0,NA(),LARGE(Table_Process_Details[Total '[Energy (MJ) per kg API'] of Unique Inputs],Table_Process_Details[[#This Row],[Table Row]]))</f>
        <v>608.12952450173657</v>
      </c>
      <c r="EJ7" s="126">
        <f ca="1">SUM(OFFSET(Table_Process_Details['[Energy (MJ) per kg API'] of Unique Inputs Sorted by '[Energy (MJ) per kg API']],0,0,Table_Process_Details[[#This Row],[Table Row]]))</f>
        <v>2592.1671229273015</v>
      </c>
      <c r="EK7" s="126" t="str">
        <f ca="1">"("&amp;TEXT(Table_Process_Details[[#This Row],['[Energy (MJ) per kg API'] of Unique Inputs Sorted by '[Energy (MJ) per kg API']]]/SUMIF(Table_Process_Details['[Energy (MJ) per kg API'] of Unique Inputs Sorted by '[Energy (MJ) per kg API']],"&lt;&gt;#N/A"),"0%")&amp;")"</f>
        <v>(12%)</v>
      </c>
      <c r="EL7" s="126">
        <f ca="1">INDEX(Table_Process_Details[Total '[Energy (MJ) per kg API'] of Unique Inputs (REAGENT)], MATCH(Table_Process_Details[[#This Row],[Unique Inputs Sorted by '[Energy (MJ) per kg API']]],Table_Process_Details[Unique Process Inputs],0))</f>
        <v>0</v>
      </c>
      <c r="EM7" s="126">
        <f ca="1">INDEX(Table_Process_Details[Total '[Energy (MJ) per kg API'] of Unique Inputs (METAL)], MATCH(Table_Process_Details[[#This Row],[Unique Inputs Sorted by '[Energy (MJ) per kg API']]],Table_Process_Details[Unique Process Inputs],0))</f>
        <v>0</v>
      </c>
      <c r="EN7" s="126">
        <f ca="1">INDEX(Table_Process_Details[Total '[Energy (MJ) per kg API'] of Unique Inputs (SOLVENT)], MATCH(Table_Process_Details[[#This Row],[Unique Inputs Sorted by '[Energy (MJ) per kg API']]],Table_Process_Details[Unique Process Inputs],0))</f>
        <v>608.12952450173657</v>
      </c>
      <c r="EO7" s="126">
        <f ca="1">INDEX(Table_Process_Details[Total '[Energy (MJ) per kg API'] of Unique Inputs (WATER)], MATCH(Table_Process_Details[[#This Row],[Unique Inputs Sorted by '[Energy (MJ) per kg API']]],Table_Process_Details[Unique Process Inputs],0))</f>
        <v>0</v>
      </c>
      <c r="EP7" s="126">
        <f ca="1">INDEX(Table_Process_Details[Total '[Energy (MJ) per kg API'] of Unique Inputs (ENZ&amp;PLNT)], MATCH(Table_Process_Details[[#This Row],[Unique Inputs Sorted by '[Energy (MJ) per kg API']]],Table_Process_Details[Unique Process Inputs],0))</f>
        <v>0</v>
      </c>
      <c r="EQ7" s="126">
        <f ca="1">INDEX(Table_Process_Details[Total '[Energy (MJ) per kg API'] of Unique Inputs (OTHER)], MATCH(Table_Process_Details[[#This Row],[Unique Inputs Sorted by '[Energy (MJ) per kg API']]],Table_Process_Details[Unique Process Inputs],0))</f>
        <v>0</v>
      </c>
      <c r="ER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 s="126">
        <f ca="1">SUMIFS(Table_Process_Details[RV GWP (kg CO2 equiv.) per kg API],Table_Process_Details[Display Name],Table_Process_Details[[#This Row],[Unique Process Inputs]],Table_Process_Details[Input or Output],"Input")</f>
        <v>0</v>
      </c>
      <c r="EZ7" s="131">
        <f ca="1">SUMIFS(Table_Process_Details[RV GWP (kg CO2 equiv.) per kg API (REAGENT)],Table_Process_Details[Display Name],Table_Process_Details[[#This Row],[Unique Process Inputs]],Table_Process_Details[Input or Output],"Input")</f>
        <v>0</v>
      </c>
      <c r="FA7" s="131">
        <f ca="1">SUMIFS(Table_Process_Details[RV GWP (kg CO2 equiv.) per kg API (METAL)],Table_Process_Details[Display Name],Table_Process_Details[[#This Row],[Unique Process Inputs]],Table_Process_Details[Input or Output],"Input")</f>
        <v>0</v>
      </c>
      <c r="FB7" s="131">
        <f ca="1">SUMIFS(Table_Process_Details[RV GWP (kg CO2 equiv.) per kg API (SOLVENT)],Table_Process_Details[Display Name],Table_Process_Details[[#This Row],[Unique Process Inputs]],Table_Process_Details[Input or Output],"Input")</f>
        <v>0</v>
      </c>
      <c r="FC7" s="131">
        <f ca="1">SUMIFS(Table_Process_Details[RV GWP (kg CO2 equiv.) per kg API (WATER)],Table_Process_Details[Display Name],Table_Process_Details[[#This Row],[Unique Process Inputs]],Table_Process_Details[Input or Output],"Input")</f>
        <v>0</v>
      </c>
      <c r="FD7" s="131">
        <f ca="1">SUMIFS(Table_Process_Details[RV GWP (kg CO2 equiv.) per kg API (ENZ&amp;PLNT)],Table_Process_Details[Display Name],Table_Process_Details[[#This Row],[Unique Process Inputs]],Table_Process_Details[Input or Output],"Input")</f>
        <v>0</v>
      </c>
      <c r="FE7" s="131">
        <f ca="1">SUMIFS(Table_Process_Details[RV GWP (kg CO2 equiv.) per kg API (OTHER)],Table_Process_Details[Display Name],Table_Process_Details[[#This Row],[Unique Process Inputs]],Table_Process_Details[Input or Output],"Input")</f>
        <v>0</v>
      </c>
      <c r="FF7" s="126" t="str">
        <f ca="1">INDEX(Table_Process_Details[Unique Process Inputs],MATCH(Table_Process_Details[[#This Row],['[GWP (kg CO2 equiv.) per kg API'] of Unique Inputs Sorted by '[GWP (kg CO2 equiv.) per kg API']]],Table_Process_Details[Total '[GWP (kg CO2 equiv.) per kg API'] of Unique Inputs],0))</f>
        <v>DMF</v>
      </c>
      <c r="FG7" s="126">
        <f ca="1">IF(LARGE(Table_Process_Details[Total '[GWP (kg CO2 equiv.) per kg API'] of Unique Inputs],Table_Process_Details[[#This Row],[Table Row]])=0,NA(),LARGE(Table_Process_Details[Total '[GWP (kg CO2 equiv.) per kg API'] of Unique Inputs],Table_Process_Details[[#This Row],[Table Row]]))</f>
        <v>19.911060691270269</v>
      </c>
      <c r="FH7" s="126">
        <f ca="1">SUM(OFFSET(Table_Process_Details['[GWP (kg CO2 equiv.) per kg API'] of Unique Inputs Sorted by '[GWP (kg CO2 equiv.) per kg API']],0,0,Table_Process_Details[[#This Row],[Table Row]]))</f>
        <v>77.002483804664848</v>
      </c>
      <c r="FI7" s="126" t="str">
        <f ca="1">"("&amp;TEXT(Table_Process_Details[[#This Row],['[GWP (kg CO2 equiv.) per kg API'] of Unique Inputs Sorted by '[GWP (kg CO2 equiv.) per kg API']]]/SUMIF(Table_Process_Details['[GWP (kg CO2 equiv.) per kg API'] of Unique Inputs Sorted by '[GWP (kg CO2 equiv.) per kg API']],"&lt;&gt;#N/A"),"0%")&amp;")"</f>
        <v>(13%)</v>
      </c>
      <c r="FJ7" s="126">
        <f ca="1">INDEX(Table_Process_Details[Total '[GWP (kg CO2 equiv.) per kg API'] of Unique Inputs (REAGENT)], MATCH(Table_Process_Details[[#This Row],[Unique Inputs Sorted by '[GWP (kg CO2 equiv.) per kg API']]],Table_Process_Details[Unique Process Inputs],0))</f>
        <v>0</v>
      </c>
      <c r="FK7" s="126">
        <f ca="1">INDEX(Table_Process_Details[Total '[GWP (kg CO2 equiv.) per kg API'] of Unique Inputs (METAL)], MATCH(Table_Process_Details[[#This Row],[Unique Inputs Sorted by '[GWP (kg CO2 equiv.) per kg API']]],Table_Process_Details[Unique Process Inputs],0))</f>
        <v>0</v>
      </c>
      <c r="FL7" s="126">
        <f ca="1">INDEX(Table_Process_Details[Total '[GWP (kg CO2 equiv.) per kg API'] of Unique Inputs (SOLVENT)], MATCH(Table_Process_Details[[#This Row],[Unique Inputs Sorted by '[GWP (kg CO2 equiv.) per kg API']]],Table_Process_Details[Unique Process Inputs],0))</f>
        <v>19.911060691270269</v>
      </c>
      <c r="FM7" s="126">
        <f ca="1">INDEX(Table_Process_Details[Total '[GWP (kg CO2 equiv.) per kg API'] of Unique Inputs (WATER)], MATCH(Table_Process_Details[[#This Row],[Unique Inputs Sorted by '[GWP (kg CO2 equiv.) per kg API']]],Table_Process_Details[Unique Process Inputs],0))</f>
        <v>0</v>
      </c>
      <c r="FN7" s="126">
        <f ca="1">INDEX(Table_Process_Details[Total '[GWP (kg CO2 equiv.) per kg API'] of Unique Inputs (ENZ&amp;PLNT)], MATCH(Table_Process_Details[[#This Row],[Unique Inputs Sorted by '[GWP (kg CO2 equiv.) per kg API']]],Table_Process_Details[Unique Process Inputs],0))</f>
        <v>0</v>
      </c>
      <c r="FO7" s="126">
        <f ca="1">INDEX(Table_Process_Details[Total '[GWP (kg CO2 equiv.) per kg API'] of Unique Inputs (OTHER)], MATCH(Table_Process_Details[[#This Row],[Unique Inputs Sorted by '[GWP (kg CO2 equiv.) per kg API']]],Table_Process_Details[Unique Process Inputs],0))</f>
        <v>0</v>
      </c>
      <c r="FP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 s="126">
        <f ca="1">SUMIFS(Table_Process_Details[RV Acidification (kg SO2 equiv.) per kg API],Table_Process_Details[Display Name],Table_Process_Details[[#This Row],[Unique Process Inputs]],Table_Process_Details[Input or Output],"Input")</f>
        <v>0</v>
      </c>
      <c r="FX7" s="131">
        <f ca="1">SUMIFS(Table_Process_Details[RV Acidification (kg SO2 equiv.) per kg API (REAGENT)],Table_Process_Details[Display Name],Table_Process_Details[[#This Row],[Unique Process Inputs]],Table_Process_Details[Input or Output],"Input")</f>
        <v>0</v>
      </c>
      <c r="FY7" s="131">
        <f ca="1">SUMIFS(Table_Process_Details[RV Acidification (kg SO2 equiv.) per kg API (METAL)],Table_Process_Details[Display Name],Table_Process_Details[[#This Row],[Unique Process Inputs]],Table_Process_Details[Input or Output],"Input")</f>
        <v>0</v>
      </c>
      <c r="FZ7" s="131">
        <f ca="1">SUMIFS(Table_Process_Details[RV Acidification (kg SO2 equiv.) per kg API (SOLVENT)],Table_Process_Details[Display Name],Table_Process_Details[[#This Row],[Unique Process Inputs]],Table_Process_Details[Input or Output],"Input")</f>
        <v>0</v>
      </c>
      <c r="GA7" s="131">
        <f ca="1">SUMIFS(Table_Process_Details[RV Acidification (kg SO2 equiv.) per kg API (WATER)],Table_Process_Details[Display Name],Table_Process_Details[[#This Row],[Unique Process Inputs]],Table_Process_Details[Input or Output],"Input")</f>
        <v>0</v>
      </c>
      <c r="GB7" s="131">
        <f ca="1">SUMIFS(Table_Process_Details[RV Acidification (kg SO2 equiv.) per kg API (ENZ&amp;PLNT)],Table_Process_Details[Display Name],Table_Process_Details[[#This Row],[Unique Process Inputs]],Table_Process_Details[Input or Output],"Input")</f>
        <v>0</v>
      </c>
      <c r="GC7" s="131">
        <f ca="1">SUMIFS(Table_Process_Details[RV Acidification (kg SO2 equiv.) per kg API (OTHER)],Table_Process_Details[Display Name],Table_Process_Details[[#This Row],[Unique Process Inputs]],Table_Process_Details[Input or Output],"Input")</f>
        <v>0</v>
      </c>
      <c r="GD7"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DMF</v>
      </c>
      <c r="GE7" s="126">
        <f ca="1">IF(LARGE(Table_Process_Details[Total '[Acidification (kg SO2 equiv.) per kg API'] of Unique Inputs],Table_Process_Details[[#This Row],[Table Row]])=0,NA(),LARGE(Table_Process_Details[Total '[Acidification (kg SO2 equiv.) per kg API'] of Unique Inputs],Table_Process_Details[[#This Row],[Table Row]]))</f>
        <v>8.7992935738799488E-2</v>
      </c>
      <c r="GF7" s="126">
        <f ca="1">SUM(OFFSET(Table_Process_Details['[Acidification (kg SO2 equiv.) per kg API'] of Unique Inputs Sorted by '[Acidification (kg SO2 equiv.) per kg API']],0,0,Table_Process_Details[[#This Row],[Table Row]]))</f>
        <v>0.33596294814963173</v>
      </c>
      <c r="GG7"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(13%)</v>
      </c>
      <c r="GH7" s="126">
        <f ca="1">INDEX(Table_Process_Details[Total '[Acidification (kg SO2 equiv.) per kg API'] of Unique Inputs (REAGENT)], MATCH(Table_Process_Details[[#This Row],[Unique Inputs Sorted by '[Acidification (kg SO2 equiv.) per kg API']]],Table_Process_Details[Unique Process Inputs],0))</f>
        <v>0</v>
      </c>
      <c r="GI7" s="126">
        <f ca="1">INDEX(Table_Process_Details[Total '[Acidification (kg SO2 equiv.) per kg API'] of Unique Inputs (METAL)], MATCH(Table_Process_Details[[#This Row],[Unique Inputs Sorted by '[Acidification (kg SO2 equiv.) per kg API']]],Table_Process_Details[Unique Process Inputs],0))</f>
        <v>0</v>
      </c>
      <c r="GJ7" s="126">
        <f ca="1">INDEX(Table_Process_Details[Total '[Acidification (kg SO2 equiv.) per kg API'] of Unique Inputs (SOLVENT)], MATCH(Table_Process_Details[[#This Row],[Unique Inputs Sorted by '[Acidification (kg SO2 equiv.) per kg API']]],Table_Process_Details[Unique Process Inputs],0))</f>
        <v>8.7992935738799488E-2</v>
      </c>
      <c r="GK7" s="126">
        <f ca="1">INDEX(Table_Process_Details[Total '[Acidification (kg SO2 equiv.) per kg API'] of Unique Inputs (WATER)], MATCH(Table_Process_Details[[#This Row],[Unique Inputs Sorted by '[Acidification (kg SO2 equiv.) per kg API']]],Table_Process_Details[Unique Process Inputs],0))</f>
        <v>0</v>
      </c>
      <c r="GL7" s="126">
        <f ca="1">INDEX(Table_Process_Details[Total '[Acidification (kg SO2 equiv.) per kg API'] of Unique Inputs (ENZ&amp;PLNT)], MATCH(Table_Process_Details[[#This Row],[Unique Inputs Sorted by '[Acidification (kg SO2 equiv.) per kg API']]],Table_Process_Details[Unique Process Inputs],0))</f>
        <v>0</v>
      </c>
      <c r="GM7" s="126">
        <f ca="1">INDEX(Table_Process_Details[Total '[Acidification (kg SO2 equiv.) per kg API'] of Unique Inputs (OTHER)], MATCH(Table_Process_Details[[#This Row],[Unique Inputs Sorted by '[Acidification (kg SO2 equiv.) per kg API']]],Table_Process_Details[Unique Process Inputs],0))</f>
        <v>0</v>
      </c>
      <c r="GN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 s="126">
        <f ca="1">SUMIFS(Table_Process_Details[RV Eutrophication (kg phosphate equiv.) per kg API],Table_Process_Details[Display Name],Table_Process_Details[[#This Row],[Unique Process Inputs]],Table_Process_Details[Input or Output],"Input")</f>
        <v>0</v>
      </c>
      <c r="GV7" s="131">
        <f ca="1">SUMIFS(Table_Process_Details[RV Eutrophication (kg phosphate equiv.) per kg API (REAGENT)],Table_Process_Details[Display Name],Table_Process_Details[[#This Row],[Unique Process Inputs]],Table_Process_Details[Input or Output],"Input")</f>
        <v>0</v>
      </c>
      <c r="GW7" s="131">
        <f ca="1">SUMIFS(Table_Process_Details[RV Eutrophication (kg phosphate equiv.) per kg API (METAL)],Table_Process_Details[Display Name],Table_Process_Details[[#This Row],[Unique Process Inputs]],Table_Process_Details[Input or Output],"Input")</f>
        <v>0</v>
      </c>
      <c r="GX7" s="131">
        <f ca="1">SUMIFS(Table_Process_Details[RV Eutrophication (kg phosphate equiv.) per kg API (SOLVENT)],Table_Process_Details[Display Name],Table_Process_Details[[#This Row],[Unique Process Inputs]],Table_Process_Details[Input or Output],"Input")</f>
        <v>0</v>
      </c>
      <c r="GY7" s="131">
        <f ca="1">SUMIFS(Table_Process_Details[RV Eutrophication (kg phosphate equiv.) per kg API (WATER)],Table_Process_Details[Display Name],Table_Process_Details[[#This Row],[Unique Process Inputs]],Table_Process_Details[Input or Output],"Input")</f>
        <v>0</v>
      </c>
      <c r="GZ7" s="131">
        <f ca="1">SUMIFS(Table_Process_Details[RV Eutrophication (kg phosphate equiv.) per kg API (ENZ&amp;PLNT)],Table_Process_Details[Display Name],Table_Process_Details[[#This Row],[Unique Process Inputs]],Table_Process_Details[Input or Output],"Input")</f>
        <v>0</v>
      </c>
      <c r="HA7" s="131">
        <f ca="1">SUMIFS(Table_Process_Details[RV Eutrophication (kg phosphate equiv.) per kg API (OTHER)],Table_Process_Details[Display Name],Table_Process_Details[[#This Row],[Unique Process Inputs]],Table_Process_Details[Input or Output],"Input")</f>
        <v>0</v>
      </c>
      <c r="HB7"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IPA</v>
      </c>
      <c r="HC7" s="126">
        <f ca="1">IF(LARGE(Table_Process_Details[Total '[Eutrophication (kg posphate equiv.) per kg API'] of Unique Inputs],Table_Process_Details[[#This Row],[Table Row]])=0,NA(),LARGE(Table_Process_Details[Total '[Eutrophication (kg posphate equiv.) per kg API'] of Unique Inputs],Table_Process_Details[[#This Row],[Table Row]]))</f>
        <v>8.4418941999999997E-2</v>
      </c>
      <c r="HD7" s="126">
        <f ca="1">SUM(OFFSET(Table_Process_Details['[Eutrophication (kg posphate equiv.) per kg API'] of Unique Inputs Sorted by '[Eutrophication (kg posphate equiv.) per kg API']],0,0,Table_Process_Details[[#This Row],[Table Row]]))</f>
        <v>1.1742987455706064</v>
      </c>
      <c r="HE7"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(6%)</v>
      </c>
      <c r="HF7" s="131">
        <f ca="1">INDEX(Table_Process_Details[Total '[Eutrophication (kg posphate equiv.) per kg API'] of Unique Inputs (REAGENT)], MATCH(Table_Process_Details[[#This Row],[Unique Inputs Sorted by '[Eutrophication (kg posphate equiv.) per kg API']]],Table_Process_Details[Unique Process Inputs],0))</f>
        <v>0</v>
      </c>
      <c r="HG7" s="131">
        <f ca="1">INDEX(Table_Process_Details[Total '[Eutrophication (kg posphate equiv.) per kg API'] of Unique Inputs (METAL)], MATCH(Table_Process_Details[[#This Row],[Unique Inputs Sorted by '[Eutrophication (kg posphate equiv.) per kg API']]],Table_Process_Details[Unique Process Inputs],0))</f>
        <v>0</v>
      </c>
      <c r="HH7" s="131">
        <f ca="1">INDEX(Table_Process_Details[Total '[Eutrophication (kg posphate equiv.) per kg API'] of Unique Inputs (SOLVENT)], MATCH(Table_Process_Details[[#This Row],[Unique Inputs Sorted by '[Eutrophication (kg posphate equiv.) per kg API']]],Table_Process_Details[Unique Process Inputs],0))</f>
        <v>8.4418941999999997E-2</v>
      </c>
      <c r="HI7" s="131">
        <f ca="1">INDEX(Table_Process_Details[Total '[Eutrophication (kg posphate equiv.) per kg API'] of Unique Inputs (WATER)], MATCH(Table_Process_Details[[#This Row],[Unique Inputs Sorted by '[Eutrophication (kg posphate equiv.) per kg API']]],Table_Process_Details[Unique Process Inputs],0))</f>
        <v>0</v>
      </c>
      <c r="HJ7" s="131">
        <f ca="1">INDEX(Table_Process_Details[Total '[Eutrophication (kg posphate equiv.) per kg API'] of Unique Inputs (ENZ&amp;PLNT)], MATCH(Table_Process_Details[[#This Row],[Unique Inputs Sorted by '[Eutrophication (kg posphate equiv.) per kg API']]],Table_Process_Details[Unique Process Inputs],0))</f>
        <v>0</v>
      </c>
      <c r="HK7" s="131">
        <f ca="1">INDEX(Table_Process_Details[Total '[Eutrophication (kg posphate equiv.) per kg API'] of Unique Inputs (OTHER)], MATCH(Table_Process_Details[[#This Row],[Unique Inputs Sorted by '[Eutrophication (kg posphate equiv.) per kg API']]],Table_Process_Details[Unique Process Inputs],0))</f>
        <v>0</v>
      </c>
      <c r="HL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 s="131">
        <f ca="1">SUMIFS(Table_Process_Details[RV Water (kg) per kg API],Table_Process_Details[Display Name],Table_Process_Details[[#This Row],[Unique Process Inputs]],Table_Process_Details[Input or Output],"Input")</f>
        <v>0</v>
      </c>
      <c r="HT7" s="131">
        <f ca="1">SUMIFS(Table_Process_Details[RV Water (kg) per kg API (REAGENT)],Table_Process_Details[Display Name],Table_Process_Details[[#This Row],[Unique Process Inputs]],Table_Process_Details[Input or Output],"Input")</f>
        <v>0</v>
      </c>
      <c r="HU7" s="131">
        <f ca="1">SUMIFS(Table_Process_Details[RV Water (kg) per kg API (METAL)],Table_Process_Details[Display Name],Table_Process_Details[[#This Row],[Unique Process Inputs]],Table_Process_Details[Input or Output],"Input")</f>
        <v>0</v>
      </c>
      <c r="HV7" s="131">
        <f ca="1">SUMIFS(Table_Process_Details[RV Water (kg) per kg API (SOLVENT)],Table_Process_Details[Display Name],Table_Process_Details[[#This Row],[Unique Process Inputs]],Table_Process_Details[Input or Output],"Input")</f>
        <v>0</v>
      </c>
      <c r="HW7" s="131">
        <f ca="1">SUMIFS(Table_Process_Details[RV Water (kg) per kg API (WATER)],Table_Process_Details[Display Name],Table_Process_Details[[#This Row],[Unique Process Inputs]],Table_Process_Details[Input or Output],"Input")</f>
        <v>0</v>
      </c>
      <c r="HX7" s="131">
        <f ca="1">SUMIFS(Table_Process_Details[RV Water (kg) per kg API (ENZ&amp;PLNT)],Table_Process_Details[Display Name],Table_Process_Details[[#This Row],[Unique Process Inputs]],Table_Process_Details[Input or Output],"Input")</f>
        <v>0</v>
      </c>
      <c r="HY7" s="131">
        <f ca="1">SUMIFS(Table_Process_Details[RV Water (kg) per kg API (OTHER)],Table_Process_Details[Display Name],Table_Process_Details[[#This Row],[Unique Process Inputs]],Table_Process_Details[Input or Output],"Input")</f>
        <v>0</v>
      </c>
      <c r="HZ7" s="126" t="str">
        <f ca="1">INDEX(Table_Process_Details[Unique Process Inputs],MATCH(Table_Process_Details[[#This Row],['[Water (kg) per kg API'] of Unique Inputs Sorted by '[Water (kg) per kg API']]],Table_Process_Details[Total '[Water (kg) per kg API'] of Unique Inputs],0))</f>
        <v>reagent U (organic)</v>
      </c>
      <c r="IA7" s="126">
        <f ca="1">IF(LARGE(Table_Process_Details[Total '[Water (kg) per kg API'] of Unique Inputs],Table_Process_Details[[#This Row],[Table Row]])=0,NA(),LARGE(Table_Process_Details[Total '[Water (kg) per kg API'] of Unique Inputs],Table_Process_Details[[#This Row],[Table Row]]))</f>
        <v>80.906510542627544</v>
      </c>
      <c r="IB7" s="131">
        <f ca="1">SUM(OFFSET(Table_Process_Details['[Water (kg) per kg API'] of Unique Inputs Sorted by '[Water (kg) per kg API']],0,0,Table_Process_Details[[#This Row],[Table Row]]))</f>
        <v>529.28484235077269</v>
      </c>
      <c r="IC7" s="131" t="str">
        <f ca="1">"("&amp;TEXT(Table_Process_Details[[#This Row],['[Water (kg) per kg API'] of Unique Inputs Sorted by '[Water (kg) per kg API']]]/SUMIF(Table_Process_Details['[Water (kg) per kg API'] of Unique Inputs Sorted by '[Water (kg) per kg API']],"&lt;&gt;#N/A"),"0%")&amp;")"</f>
        <v>(9%)</v>
      </c>
      <c r="ID7" s="131">
        <f ca="1">INDEX(Table_Process_Details[Total '[Water (kg) per kg API'] of Unique Inputs (REAGENT)], MATCH(Table_Process_Details[[#This Row],[Unique Inputs Sorted by '[Water (kg) per kg API']]],Table_Process_Details[Unique Process Inputs],0))</f>
        <v>80.906510542627544</v>
      </c>
      <c r="IE7" s="131">
        <f ca="1">INDEX(Table_Process_Details[Total '[Water (kg) per kg API'] of Unique Inputs (METAL)], MATCH(Table_Process_Details[[#This Row],[Unique Inputs Sorted by '[Water (kg) per kg API']]],Table_Process_Details[Unique Process Inputs],0))</f>
        <v>0</v>
      </c>
      <c r="IF7" s="131">
        <f ca="1">INDEX(Table_Process_Details[Total '[Water (kg) per kg API'] of Unique Inputs (SOLVENT)], MATCH(Table_Process_Details[[#This Row],[Unique Inputs Sorted by '[Water (kg) per kg API']]],Table_Process_Details[Unique Process Inputs],0))</f>
        <v>0</v>
      </c>
      <c r="IG7" s="131">
        <f ca="1">INDEX(Table_Process_Details[Total '[Water (kg) per kg API'] of Unique Inputs (WATER)], MATCH(Table_Process_Details[[#This Row],[Unique Inputs Sorted by '[Water (kg) per kg API']]],Table_Process_Details[Unique Process Inputs],0))</f>
        <v>0</v>
      </c>
      <c r="IH7" s="131">
        <f ca="1">INDEX(Table_Process_Details[Total '[Water (kg) per kg API'] of Unique Inputs (ENZ&amp;PLNT)], MATCH(Table_Process_Details[[#This Row],[Unique Inputs Sorted by '[Water (kg) per kg API']]],Table_Process_Details[Unique Process Inputs],0))</f>
        <v>0</v>
      </c>
      <c r="II7" s="131">
        <f ca="1">INDEX(Table_Process_Details[Total '[Water (kg) per kg API'] of Unique Inputs (OTHER)], MATCH(Table_Process_Details[[#This Row],[Unique Inputs Sorted by '[Water (kg) per kg API']]],Table_Process_Details[Unique Process Inputs],0))</f>
        <v>0</v>
      </c>
    </row>
    <row r="8" spans="1:250" customFormat="1" x14ac:dyDescent="0.25">
      <c r="A8" s="22" t="str">
        <f>Process_Steps[[#This Row],[Name]]</f>
        <v>1b) Virtual solution prep for (1): 10 wt% reagent B (inorganic) in water</v>
      </c>
      <c r="B8" s="21" t="s">
        <v>4</v>
      </c>
      <c r="C8" s="21" t="s">
        <v>7</v>
      </c>
      <c r="D8" s="22" t="s">
        <v>158</v>
      </c>
      <c r="E8" s="22" t="s">
        <v>813</v>
      </c>
      <c r="F8" s="26">
        <v>10</v>
      </c>
      <c r="G8" s="26"/>
      <c r="H8" s="26"/>
      <c r="I8" s="26"/>
      <c r="J8" s="26" t="str">
        <f>INDEX(Process_Steps[Reference],MATCH(Table_Process_Details[[#This Row],[Step Name]],Process_Steps[Name],0))</f>
        <v>Reference Document  for Step 1</v>
      </c>
      <c r="K8" s="27" t="str">
        <f>INDEX(Process_Steps[Real or Virtual?],MATCH(Table_Process_Details[[#This Row],[Step Name]],Process_Steps[Name],0))</f>
        <v>Virtual</v>
      </c>
      <c r="L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8" s="26">
        <f>INDEX(Table_Process_Details[Physical Mass (kg)],MATCH(1,INDEX(((Table_Process_Details[Step Name]=Table_Process_Details[[#This Row],[Step Name]])*(Table_Process_Details[Input or Output]="Output")),0),0))</f>
        <v>100</v>
      </c>
      <c r="O8" s="29">
        <f ca="1">INDEX(Process_Steps[Step Scale Factor for 1kg Packaged API],MATCH(Table_Process_Details[[#This Row],[Step Name]],Process_Steps[Name],0))</f>
        <v>1.1184164089156933E-2</v>
      </c>
      <c r="P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1.3333333333333335</v>
      </c>
      <c r="Q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18.333333333333332</v>
      </c>
      <c r="R8" s="26">
        <f ca="1">_xlfn.SWITCH(Run_Reset_PNG,"Reset",Table_Process_Details[[#This Row],[X Init]],"Run",Table_Process_Details[[#This Row],[X Moved]],"Freeze",Table_Process_Details[[#This Row],[X Mover]])</f>
        <v>-14.407404467807662</v>
      </c>
      <c r="S8" s="26">
        <f ca="1">_xlfn.SWITCH(Run_Reset_PNG,"Reset",Table_Process_Details[[#This Row],[Y Init]],"Run",Table_Process_Details[[#This Row],[Y Moved]],"Freeze",Table_Process_Details[[#This Row],[Y Mover]])</f>
        <v>15.795775099337526</v>
      </c>
      <c r="T8" s="26" cm="1">
        <f t="array" aca="1" ref="T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-4.6484649275964669</v>
      </c>
      <c r="U8" s="26" cm="1">
        <f t="array" aca="1" ref="U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-3.1191039265128966</v>
      </c>
      <c r="V8" s="26" cm="1">
        <f t="array" aca="1" ref="V8" ca="1">SUM(--(SQRT((Table_Process_Details[[#This Row],[X Mover]]-Table_Process_Details[X Mover])^2+(Table_Process_Details[[#This Row],[Y Mover]]-Table_Process_Details[Y Mover])^2)&lt;Collision_Distance))</f>
        <v>7</v>
      </c>
      <c r="W8" s="26" cm="1">
        <f t="array" aca="1" ref="W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0.5429062413542054</v>
      </c>
      <c r="X8" s="26" cm="1">
        <f t="array" aca="1" ref="X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0.52313768750134371</v>
      </c>
      <c r="Y8" s="26" cm="1">
        <f t="array" aca="1" ref="Y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8" s="26">
        <f>0</f>
        <v>0</v>
      </c>
      <c r="AA8" s="26">
        <f>0</f>
        <v>0</v>
      </c>
      <c r="AB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7.2037022339038312</v>
      </c>
      <c r="AC8" s="26" cm="1">
        <f t="array" aca="1" ref="AC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-7.8978875496687628</v>
      </c>
      <c r="AD8" s="26">
        <f>MIN(1,COUNTA(Table_Process_Details[[#This Row],[target x]]),COUNTA(Table_Process_Details[[#This Row],[target y]]))*COUNTA(Table_Process_Details[Step Name])</f>
        <v>98</v>
      </c>
      <c r="AE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-14.455057479029444</v>
      </c>
      <c r="AF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15.792735822340406</v>
      </c>
      <c r="AG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8" s="26" cm="1">
        <f t="array" aca="1" ref="AH8" ca="1">INDEX(Table_Process_Details[X Mover],MATCH(1,INDEX((Table_Process_Details[Input or Output]="Output")*(Table_Process_Details[Step Name]=Table_Process_Details[[#This Row],[Step Name]])*(Table_Process_Details[[#This Row],[Input or Output]]="Input"),0),0))</f>
        <v>-11.161305606405291</v>
      </c>
      <c r="AI8" s="26" cm="1">
        <f t="array" aca="1" ref="AI8" ca="1">INDEX(Table_Process_Details[Y Mover],MATCH(1,INDEX((Table_Process_Details[Input or Output]="Output")*(Table_Process_Details[Step Name]=Table_Process_Details[[#This Row],[Step Name]])*(Table_Process_Details[[#This Row],[Input or Output]]="Input"),0),0))</f>
        <v>18.923675503501165</v>
      </c>
      <c r="AJ8" s="26" t="e">
        <f ca="1">SQRT((Table_Process_Details[[#This Row],[X End (To Node Center)]]-Table_Process_Details[[#This Row],[X Guide]])^2+(Table_Process_Details[[#This Row],[Y End (to Node Center)]]-Table_Process_Details[[#This Row],[Y Guide]])^2)</f>
        <v>#N/A</v>
      </c>
      <c r="AK8" s="26" t="e" cm="1">
        <f t="array" ref="AK8">INDEX(Table_Process_Details[X Mover],MATCH(1,INDEX((Table_Process_Details[Step Name]=Table_Process_Details[[#This Row],[LCA Data Source Subclass]])*(Table_Process_Details[Input or Output]="Output"),0)*(Table_Process_Details[[#This Row],[Input or Output]]="Input"),0))</f>
        <v>#N/A</v>
      </c>
      <c r="AL8" s="26" cm="1">
        <f t="array" aca="1" ref="AL8" ca="1">INDEX(Table_Process_Details[X Mover],MATCH(1,INDEX(((Table_Process_Details[Table Row]=Table_Process_Details[[#This Row],[Table Row]])*(1)),0)*(Table_Process_Details[[#This Row],[Input or Output]]="Input"),0))</f>
        <v>-14.407404467807662</v>
      </c>
      <c r="AM8" s="26" t="e" cm="1">
        <f t="array" aca="1" ref="AM8" ca="1">(Table_Process_Details[[#This Row],[X End (To Node Center)]]*Table_Process_Details[[#This Row],[r0]]-Table_Process_Details[[#This Row],[X End (To Node Center)]]*Arrow_Offset+Table_Process_Details[[#This Row],[X Guide]]*Arrow_Offset)/Table_Process_Details[[#This Row],[r0]]</f>
        <v>#N/A</v>
      </c>
      <c r="AN8" s="26" t="e">
        <f>IF(NOT(Table_Process_Details[[#This Row],[Display As]]="None"),Table_Process_Details[[#This Row],[X Start Prefilter]],NA())</f>
        <v>#N/A</v>
      </c>
      <c r="AO8" s="26" t="e">
        <f>IF(NOT(Table_Process_Details[[#This Row],[Display As]]="None"),Table_Process_Details[[#This Row],[X Guide Prefilter]],NA())</f>
        <v>#N/A</v>
      </c>
      <c r="AP8" s="26" t="e">
        <f>IF(NOT(Table_Process_Details[[#This Row],[Display As]]="None"),Table_Process_Details[[#This Row],[X End (to Stop Radius) Prefilter]],NA())</f>
        <v>#N/A</v>
      </c>
      <c r="AQ8" s="26" t="e">
        <f>NA()</f>
        <v>#N/A</v>
      </c>
      <c r="AR8" s="26" t="e" cm="1">
        <f t="array" ref="AR8">INDEX(Table_Process_Details[Y Mover],MATCH(1,INDEX((Table_Process_Details[Step Name]=Table_Process_Details[[#This Row],[LCA Data Source Subclass]])*(Table_Process_Details[Input or Output]="Output"),0)*(Table_Process_Details[[#This Row],[Input or Output]]="Input"),0))</f>
        <v>#N/A</v>
      </c>
      <c r="AS8" s="26" cm="1">
        <f t="array" aca="1" ref="AS8" ca="1">INDEX(Table_Process_Details[Y Mover],MATCH(1,INDEX(((Table_Process_Details[Table Row]=Table_Process_Details[[#This Row],[Table Row]])*(1)),0)*(Table_Process_Details[[#This Row],[Input or Output]]="Input"),0))</f>
        <v>15.795775099337526</v>
      </c>
      <c r="AT8" s="26" t="e" cm="1">
        <f t="array" aca="1" ref="AT8" ca="1">(Table_Process_Details[[#This Row],[Y Guide]]*Arrow_Offset-Table_Process_Details[[#This Row],[Y End (to Node Center)]]*Arrow_Offset+Table_Process_Details[[#This Row],[Y End (to Node Center)]]*Table_Process_Details[[#This Row],[r0]])/Table_Process_Details[[#This Row],[r0]]</f>
        <v>#N/A</v>
      </c>
      <c r="AU8" s="26" t="e">
        <f>IF(NOT(Table_Process_Details[[#This Row],[Display As]]="None"),Table_Process_Details[[#This Row],[Y Start Prefilter]],NA())</f>
        <v>#N/A</v>
      </c>
      <c r="AV8" s="26" t="e">
        <f>IF(NOT(Table_Process_Details[[#This Row],[Display As]]="None"),Table_Process_Details[[#This Row],[Y Guide Prefilter]],NA())</f>
        <v>#N/A</v>
      </c>
      <c r="AW8" s="26" t="e">
        <f>IF(NOT(Table_Process_Details[[#This Row],[Display As]]="None"),Table_Process_Details[[#This Row],[Y End (to Stop Radius) Prefilter]],NA())</f>
        <v>#N/A</v>
      </c>
      <c r="AX8" s="26" t="e">
        <f>NA()</f>
        <v>#N/A</v>
      </c>
      <c r="AY8" s="26" t="e">
        <f>IF(Table_Process_Details[[#This Row],[Display As]]="Real Step",Table_Process_Details[[#This Row],[X Mover]],NA())</f>
        <v>#N/A</v>
      </c>
      <c r="AZ8" s="26" t="e">
        <f>IF(Table_Process_Details[[#This Row],[Display As]]="Real Step",Table_Process_Details[[#This Row],[Y Mover]],NA())</f>
        <v>#N/A</v>
      </c>
      <c r="BA8" s="26" t="e">
        <f>IF(Table_Process_Details[[#This Row],[Display As]]="Raw Material",Table_Process_Details[[#This Row],[X Mover]],NA())</f>
        <v>#N/A</v>
      </c>
      <c r="BB8" s="26" t="e">
        <f>IF(Table_Process_Details[[#This Row],[Display As]]="Raw Material",Table_Process_Details[[#This Row],[Y Mover]],NA())</f>
        <v>#N/A</v>
      </c>
      <c r="BC8" s="26" t="e">
        <f>IF(OR(Table_Process_Details[[#This Row],[Display As]]="Real Step",Table_Process_Details[[#This Row],[Display As]]="Raw Material"),Table_Process_Details[[#This Row],[X Mover]],NA())</f>
        <v>#N/A</v>
      </c>
      <c r="BD8" s="26" t="e">
        <f>IF(OR(Table_Process_Details[[#This Row],[Display As]]="Real Step",Table_Process_Details[[#This Row],[Display As]]="Raw Material"),Table_Process_Details[[#This Row],[Y Mover]],NA())</f>
        <v>#N/A</v>
      </c>
      <c r="BE8" s="22">
        <f>ROW()-ROW(Table_Process_Details[[#Headers],[Table Row]])</f>
        <v>4</v>
      </c>
      <c r="BF8" s="23" t="str" cm="1">
        <f t="array" aca="1" ref="BF8" ca="1">INDEX(Table_Process_Details[Display Name],MATCH(0,IF(Table_Process_Details[Input or Output]="Input",INDEX(COUNTIF(OFFSET(Table_Process_Details[[#Headers],[Unique Process Inputs]],0,0,Table_Process_Details[[#This Row],[Table Row]],1),Table_Process_Details[Display Name]),),""),0))</f>
        <v>water</v>
      </c>
      <c r="BG8" s="23">
        <f ca="1">Table_Process_Details[[#This Row],[Physical Mass (kg)]]*Table_Process_Details[[#This Row],[Step Scale Factor for 1kg Packaged API]]</f>
        <v>0.11184164089156934</v>
      </c>
      <c r="BH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 s="23">
        <f ca="1">MATCH(Table_Process_Details[[#This Row],[LCA Data Source Class]],INDIRECT(Table_Process_Details[[#This Row],[Input or Output]]),0)</f>
        <v>6</v>
      </c>
      <c r="BJ8" s="23">
        <f ca="1">MATCH(Table_Process_Details[[#This Row],[LCA Data Source Subclass]],INDIRECT(Table_Process_Details[[#This Row],[LCA Data Source Class]]&amp;"[Name]"),0)</f>
        <v>1</v>
      </c>
      <c r="BK8" s="23">
        <f ca="1">IFERROR(INDEX(INDIRECT(Table_Process_Details[[#This Row],[LCA Data Source Class]]&amp;"[Mass Net (kg)]"),MATCH(Table_Process_Details[[#This Row],[LCA Data Source Subclass]],INDIRECT(Table_Process_Details[[#This Row],[LCA Data Source Class]]&amp;"[Name]"),0)),0)</f>
        <v>1.34</v>
      </c>
      <c r="BL8" s="23">
        <f ca="1">IFERROR(INDEX(INDIRECT(Table_Process_Details[[#This Row],[LCA Data Source Class]]&amp;"[Energy (MJ)]"),MATCH(Table_Process_Details[[#This Row],[LCA Data Source Subclass]],INDIRECT(Table_Process_Details[[#This Row],[LCA Data Source Class]]&amp;"[Name]"),0)),0)</f>
        <v>10.63</v>
      </c>
      <c r="BM8" s="23">
        <f ca="1">IFERROR(INDEX(INDIRECT(Table_Process_Details[[#This Row],[LCA Data Source Class]]&amp;"[GWP (kg CO2 equiv.)]"),MATCH(Table_Process_Details[[#This Row],[LCA Data Source Subclass]],INDIRECT(Table_Process_Details[[#This Row],[LCA Data Source Class]]&amp;"[Name]"),0)),0)</f>
        <v>1.3854</v>
      </c>
      <c r="BN8" s="23">
        <f ca="1">IFERROR(INDEX(INDIRECT(Table_Process_Details[[#This Row],[LCA Data Source Class]]&amp;"[Acidification (kg SO2 equiv.)]"),MATCH(Table_Process_Details[[#This Row],[LCA Data Source Subclass]],INDIRECT(Table_Process_Details[[#This Row],[LCA Data Source Class]]&amp;"[Name]"),0)),0)</f>
        <v>1.3899999999999999E-2</v>
      </c>
      <c r="BO8" s="23">
        <f ca="1">IFERROR(INDEX(INDIRECT(Table_Process_Details[[#This Row],[LCA Data Source Class]]&amp;"[Eutrophication (kg posphate equiv.)]"),MATCH(Table_Process_Details[[#This Row],[LCA Data Source Subclass]],INDIRECT(Table_Process_Details[[#This Row],[LCA Data Source Class]]&amp;"[Name]"),0)),0)</f>
        <v>6.9999999999999999E-4</v>
      </c>
      <c r="BP8" s="23">
        <f ca="1">IFERROR(INDEX(INDIRECT(Table_Process_Details[[#This Row],[LCA Data Source Class]]&amp;"[Water (kg)]"),MATCH(Table_Process_Details[[#This Row],[LCA Data Source Subclass]],INDIRECT(Table_Process_Details[[#This Row],[LCA Data Source Class]]&amp;"[Name]"),0)),0)</f>
        <v>0.69123000000000001</v>
      </c>
      <c r="BQ8" s="27">
        <f ca="1">(Table_Process_Details[[#This Row],[Input or Output]]="Input")*(Table_Process_Details[[#This Row],[LCA Data Source Class]]&lt;&gt;"Process_Steps")*Table_Process_Details[[#This Row],[Scaled Physical Mass per kg API for All Inputs &amp; Outputs]]</f>
        <v>0.11184164089156934</v>
      </c>
      <c r="BR8" s="27">
        <f ca="1">(Table_Process_Details[[#This Row],[Material Class]]="REAGENT")*Table_Process_Details[[#This Row],[Physical Mass per kg API]]</f>
        <v>0.11184164089156934</v>
      </c>
      <c r="BS8" s="27">
        <f ca="1">(Table_Process_Details[[#This Row],[Material Class]]="METAL")*Table_Process_Details[[#This Row],[Physical Mass per kg API]]</f>
        <v>0</v>
      </c>
      <c r="BT8" s="27">
        <f ca="1">(Table_Process_Details[[#This Row],[Material Class]]="SOLVENT")*Table_Process_Details[[#This Row],[Physical Mass per kg API]]</f>
        <v>0</v>
      </c>
      <c r="BU8" s="27">
        <f ca="1">(Table_Process_Details[[#This Row],[Material Class]]="WATER")*Table_Process_Details[[#This Row],[Physical Mass per kg API]]</f>
        <v>0</v>
      </c>
      <c r="BV8" s="27">
        <f ca="1">(Table_Process_Details[[#This Row],[Material Class]]="ENZ&amp;PLNT")*Table_Process_Details[[#This Row],[Physical Mass per kg API]]</f>
        <v>0</v>
      </c>
      <c r="BW8" s="27">
        <f ca="1">(Table_Process_Details[[#This Row],[Material Class]]="OTHER")*Table_Process_Details[[#This Row],[Physical Mass per kg API]]</f>
        <v>0</v>
      </c>
      <c r="BX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 s="1">
        <f ca="1">SUMIFS(Table_Process_Details[RV Physical Mass per kg API],Table_Process_Details[Display Name],Table_Process_Details[[#This Row],[Unique Process Inputs]],Table_Process_Details[Input or Output],"Input")</f>
        <v>40.226791975356207</v>
      </c>
      <c r="CF8" s="1">
        <f ca="1">SUMIFS(Table_Process_Details[RV Physical Mass per kg API (REAGENT)],Table_Process_Details[Display Name],Table_Process_Details[[#This Row],[Unique Process Inputs]],Table_Process_Details[Input or Output],"Input")</f>
        <v>0</v>
      </c>
      <c r="CG8" s="1">
        <f ca="1">SUMIFS(Table_Process_Details[RV Physical Mass per kg API (METAL)],Table_Process_Details[Display Name],Table_Process_Details[[#This Row],[Unique Process Inputs]],Table_Process_Details[Input or Output],"Input")</f>
        <v>0</v>
      </c>
      <c r="CH8" s="1">
        <f ca="1">SUMIFS(Table_Process_Details[RV Physical Mass per kg API (SOLVENT)],Table_Process_Details[Display Name],Table_Process_Details[[#This Row],[Unique Process Inputs]],Table_Process_Details[Input or Output],"Input")</f>
        <v>0</v>
      </c>
      <c r="CI8" s="1">
        <f ca="1">SUMIFS(Table_Process_Details[RV Physical Mass per kg API (WATER)],Table_Process_Details[Display Name],Table_Process_Details[[#This Row],[Unique Process Inputs]],Table_Process_Details[Input or Output],"Input")</f>
        <v>40.226791975356207</v>
      </c>
      <c r="CJ8" s="1">
        <f ca="1">SUMIFS(Table_Process_Details[RV Physical Mass per kg API (ENZ&amp;PLNT)],Table_Process_Details[Display Name],Table_Process_Details[[#This Row],[Unique Process Inputs]],Table_Process_Details[Input or Output],"Input")</f>
        <v>0</v>
      </c>
      <c r="CK8" s="1">
        <f ca="1">SUMIFS(Table_Process_Details[RV Physical Mass per kg API (OTHER)],Table_Process_Details[Display Name],Table_Process_Details[[#This Row],[Unique Process Inputs]],Table_Process_Details[Input or Output],"Input")</f>
        <v>0</v>
      </c>
      <c r="CL8" s="22" t="str">
        <f ca="1">INDEX(Table_Process_Details[Unique Process Inputs],MATCH(Table_Process_Details[[#This Row],['[Physical Mass per kg API'] of Unique Inputs Sorted by '[Physical Mass per kg API']]],Table_Process_Details[Total '[Physical Mass per kg API'] of Unique Inputs],0))</f>
        <v>toluene</v>
      </c>
      <c r="CM8" s="22">
        <f ca="1">IF(LARGE(Table_Process_Details[Total '[Physical Mass per kg API'] of Unique Inputs],Table_Process_Details[[#This Row],[Table Row]])=0,NA(),LARGE(Table_Process_Details[Total '[Physical Mass per kg API'] of Unique Inputs],Table_Process_Details[[#This Row],[Table Row]]))</f>
        <v>11.499788617755435</v>
      </c>
      <c r="CN8" s="22">
        <f ca="1">SUM(OFFSET(Table_Process_Details['[Physical Mass per kg API'] of Unique Inputs Sorted by '[Physical Mass per kg API']],0,0,Table_Process_Details[[#This Row],[Table Row]]))</f>
        <v>87.796481618668508</v>
      </c>
      <c r="CO8" s="22" t="str">
        <f ca="1">"("&amp;TEXT(Table_Process_Details[[#This Row],['[Physical Mass per kg API'] of Unique Inputs Sorted by '[Physical Mass per kg API']]]/SUMIF(Table_Process_Details['[Physical Mass per kg API'] of Unique Inputs Sorted by '[Physical Mass per kg API']],"&lt;&gt;#N/A"),"0%")&amp;")"</f>
        <v>(8%)</v>
      </c>
      <c r="CP8" s="22">
        <f ca="1">INDEX(Table_Process_Details[Total '[Physical Mass per kg API'] of Unique Inputs (REAGENT)],MATCH(Table_Process_Details[[#This Row],[Unique Inputs Sorted by '[Physical Mass per kg API']]],Table_Process_Details[Unique Process Inputs],0))</f>
        <v>0</v>
      </c>
      <c r="CQ8" s="22">
        <f ca="1">INDEX(Table_Process_Details[Total '[Physical Mass per kg API'] of Unique Inputs (METAL)],MATCH(Table_Process_Details[[#This Row],[Unique Inputs Sorted by '[Physical Mass per kg API']]],Table_Process_Details[Unique Process Inputs],0))</f>
        <v>0</v>
      </c>
      <c r="CR8" s="22">
        <f ca="1">INDEX(Table_Process_Details[Total '[Physical Mass per kg API'] of Unique Inputs (SOLVENT)],MATCH(Table_Process_Details[[#This Row],[Unique Inputs Sorted by '[Physical Mass per kg API']]],Table_Process_Details[Unique Process Inputs],0))</f>
        <v>11.499788617755435</v>
      </c>
      <c r="CS8" s="22">
        <f ca="1">INDEX(Table_Process_Details[Total '[Physical Mass per kg API'] of Unique Inputs (WATER)],MATCH(Table_Process_Details[[#This Row],[Unique Inputs Sorted by '[Physical Mass per kg API']]],Table_Process_Details[Unique Process Inputs],0))</f>
        <v>0</v>
      </c>
      <c r="CT8" s="22">
        <f ca="1">INDEX(Table_Process_Details[Total '[Physical Mass per kg API'] of Unique Inputs (ENZ&amp;PLNT)],MATCH(Table_Process_Details[[#This Row],[Unique Inputs Sorted by '[Physical Mass per kg API']]],Table_Process_Details[Unique Process Inputs],0))</f>
        <v>0</v>
      </c>
      <c r="CU8" s="22">
        <f ca="1">INDEX(Table_Process_Details[Total '[Physical Mass per kg API'] of Unique Inputs (OTHER)],MATCH(Table_Process_Details[[#This Row],[Unique Inputs Sorted by '[Physical Mass per kg API']]],Table_Process_Details[Unique Process Inputs],0))</f>
        <v>0</v>
      </c>
      <c r="CV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 s="22">
        <f ca="1">SUMIFS(Table_Process_Details[RV Mass Net (kg) per kg API],Table_Process_Details[Display Name],Table_Process_Details[[#This Row],[Unique Process Inputs]],Table_Process_Details[Input or Output],"Input")</f>
        <v>6.1557663890206053E-2</v>
      </c>
      <c r="DD8" s="22">
        <f ca="1">SUMIFS(Table_Process_Details[RV Mass Net (kg) per kg API (REAGENT)],Table_Process_Details[Display Name],Table_Process_Details[[#This Row],[Unique Process Inputs]],Table_Process_Details[Input or Output],"Input")</f>
        <v>0</v>
      </c>
      <c r="DE8" s="22">
        <f ca="1">SUMIFS(Table_Process_Details[RV Mass Net (kg) per kg API (METAL)],Table_Process_Details[Display Name],Table_Process_Details[[#This Row],[Unique Process Inputs]],Table_Process_Details[Input or Output],"Input")</f>
        <v>0</v>
      </c>
      <c r="DF8" s="22">
        <f ca="1">SUMIFS(Table_Process_Details[RV Mass Net (kg) per kg API (SOLVENT)],Table_Process_Details[Display Name],Table_Process_Details[[#This Row],[Unique Process Inputs]],Table_Process_Details[Input or Output],"Input")</f>
        <v>0</v>
      </c>
      <c r="DG8" s="22">
        <f ca="1">SUMIFS(Table_Process_Details[RV Mass Net (kg) per kg API (WATER)],Table_Process_Details[Display Name],Table_Process_Details[[#This Row],[Unique Process Inputs]],Table_Process_Details[Input or Output],"Input")</f>
        <v>6.1557663890206053E-2</v>
      </c>
      <c r="DH8" s="22">
        <f ca="1">SUMIFS(Table_Process_Details[RV Mass Net (kg) per kg API (ENZ&amp;PLNT)],Table_Process_Details[Display Name],Table_Process_Details[[#This Row],[Unique Process Inputs]],Table_Process_Details[Input or Output],"Input")</f>
        <v>0</v>
      </c>
      <c r="DI8" s="22">
        <f ca="1">SUMIFS(Table_Process_Details[RV Mass Net (kg) per kg API (OTHER)],Table_Process_Details[Display Name],Table_Process_Details[[#This Row],[Unique Process Inputs]],Table_Process_Details[Input or Output],"Input")</f>
        <v>0</v>
      </c>
      <c r="DJ8" s="22" t="str">
        <f ca="1">INDEX(Table_Process_Details[Unique Process Inputs],MATCH(Table_Process_Details[[#This Row],['[Mass Net (kg) per kg API'] of Unique Inputs Sorted by '[Mass Net (kg) per kg API']]],Table_Process_Details[Total '[Mass Net (kg) per kg API'] of Unique Inputs],0))</f>
        <v>acetonitrile</v>
      </c>
      <c r="DK8" s="22">
        <f ca="1">IF(LARGE(Table_Process_Details[Total '[Mass Net (kg) per kg API'] of Unique Inputs],Table_Process_Details[[#This Row],[Table Row]])=0,NA(),LARGE(Table_Process_Details[Total '[Mass Net (kg) per kg API'] of Unique Inputs],Table_Process_Details[[#This Row],[Table Row]]))</f>
        <v>13.440407684454071</v>
      </c>
      <c r="DL8" s="22">
        <f ca="1">SUM(OFFSET(Table_Process_Details['[Mass Net (kg) per kg API'] of Unique Inputs Sorted by '[Mass Net (kg) per kg API']],0,0,Table_Process_Details[[#This Row],[Table Row]]))</f>
        <v>74.374945961833831</v>
      </c>
      <c r="DM8" s="22" t="str">
        <f ca="1">"("&amp;TEXT(Table_Process_Details[[#This Row],['[Mass Net (kg) per kg API'] of Unique Inputs Sorted by '[Mass Net (kg) per kg API']]]/SUMIF(Table_Process_Details['[Mass Net (kg) per kg API'] of Unique Inputs Sorted by '[Mass Net (kg) per kg API']],"&lt;&gt;#N/A"),"0%")&amp;")"</f>
        <v>(11%)</v>
      </c>
      <c r="DN8" s="22">
        <f ca="1">INDEX(Table_Process_Details[Total '[Mass Net (kg) per kg API'] of Unique Inputs (REAGENT)], MATCH(Table_Process_Details[[#This Row],[Unique Inputs Sorted by '[Mass Net (kg) per kg API']]],Table_Process_Details[Unique Process Inputs],0))</f>
        <v>0</v>
      </c>
      <c r="DO8" s="22">
        <f ca="1">INDEX(Table_Process_Details[Total '[Mass Net (kg) per kg API'] of Unique Inputs (METAL)], MATCH(Table_Process_Details[[#This Row],[Unique Inputs Sorted by '[Mass Net (kg) per kg API']]],Table_Process_Details[Unique Process Inputs],0))</f>
        <v>0</v>
      </c>
      <c r="DP8" s="22">
        <f ca="1">INDEX(Table_Process_Details[Total '[Mass Net (kg) per kg API'] of Unique Inputs (SOLVENT)], MATCH(Table_Process_Details[[#This Row],[Unique Inputs Sorted by '[Mass Net (kg) per kg API']]],Table_Process_Details[Unique Process Inputs],0))</f>
        <v>13.440407684454071</v>
      </c>
      <c r="DQ8" s="22">
        <f ca="1">INDEX(Table_Process_Details[Total '[Mass Net (kg) per kg API'] of Unique Inputs (WATER)], MATCH(Table_Process_Details[[#This Row],[Unique Inputs Sorted by '[Mass Net (kg) per kg API']]],Table_Process_Details[Unique Process Inputs],0))</f>
        <v>0</v>
      </c>
      <c r="DR8" s="22">
        <f ca="1">INDEX(Table_Process_Details[Total '[Mass Net (kg) per kg API'] of Unique Inputs (ENZ&amp;PLNT)], MATCH(Table_Process_Details[[#This Row],[Unique Inputs Sorted by '[Mass Net (kg) per kg API']]],Table_Process_Details[Unique Process Inputs],0))</f>
        <v>0</v>
      </c>
      <c r="DS8" s="22">
        <f ca="1">INDEX(Table_Process_Details[Total '[Mass Net (kg) per kg API'] of Unique Inputs (OTHER)], MATCH(Table_Process_Details[[#This Row],[Unique Inputs Sorted by '[Mass Net (kg) per kg API']]],Table_Process_Details[Unique Process Inputs],0))</f>
        <v>0</v>
      </c>
      <c r="DT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 s="1">
        <f ca="1">SUMIFS(Table_Process_Details[RV Energy (MJ) per kg API],Table_Process_Details[Display Name],Table_Process_Details[[#This Row],[Unique Process Inputs]],Table_Process_Details[Input or Output],"Input")</f>
        <v>0.76664992501039797</v>
      </c>
      <c r="EB8" s="1">
        <f ca="1">SUMIFS(Table_Process_Details[RV Energy (MJ) per kg API (REAGENT)],Table_Process_Details[Display Name],Table_Process_Details[[#This Row],[Unique Process Inputs]],Table_Process_Details[Input or Output],"Input")</f>
        <v>0</v>
      </c>
      <c r="EC8" s="1">
        <f ca="1">SUMIFS(Table_Process_Details[RV Energy (MJ) per kg API (METAL)],Table_Process_Details[Display Name],Table_Process_Details[[#This Row],[Unique Process Inputs]],Table_Process_Details[Input or Output],"Input")</f>
        <v>0</v>
      </c>
      <c r="ED8" s="1">
        <f ca="1">SUMIFS(Table_Process_Details[RV Energy (MJ) per kg API (SOLVENT)],Table_Process_Details[Display Name],Table_Process_Details[[#This Row],[Unique Process Inputs]],Table_Process_Details[Input or Output],"Input")</f>
        <v>0</v>
      </c>
      <c r="EE8" s="1">
        <f ca="1">SUMIFS(Table_Process_Details[RV Energy (MJ) per kg API (WATER)],Table_Process_Details[Display Name],Table_Process_Details[[#This Row],[Unique Process Inputs]],Table_Process_Details[Input or Output],"Input")</f>
        <v>0.76664992501039797</v>
      </c>
      <c r="EF8" s="1">
        <f ca="1">SUMIFS(Table_Process_Details[RV Energy (MJ) per kg API (ENZ&amp;PLNT)],Table_Process_Details[Display Name],Table_Process_Details[[#This Row],[Unique Process Inputs]],Table_Process_Details[Input or Output],"Input")</f>
        <v>0</v>
      </c>
      <c r="EG8" s="1">
        <f ca="1">SUMIFS(Table_Process_Details[RV Energy (MJ) per kg API (OTHER)],Table_Process_Details[Display Name],Table_Process_Details[[#This Row],[Unique Process Inputs]],Table_Process_Details[Input or Output],"Input")</f>
        <v>0</v>
      </c>
      <c r="EH8" s="1" t="str">
        <f ca="1">INDEX(Table_Process_Details[Unique Process Inputs],MATCH(Table_Process_Details[[#This Row],['[Energy (MJ) per kg API'] of Unique Inputs Sorted by '[Energy (MJ) per kg API']]],Table_Process_Details[Total '[Energy (MJ) per kg API'] of Unique Inputs],0))</f>
        <v>methanol</v>
      </c>
      <c r="EI8" s="22">
        <f ca="1">IF(LARGE(Table_Process_Details[Total '[Energy (MJ) per kg API'] of Unique Inputs],Table_Process_Details[[#This Row],[Table Row]])=0,NA(),LARGE(Table_Process_Details[Total '[Energy (MJ) per kg API'] of Unique Inputs],Table_Process_Details[[#This Row],[Table Row]]))</f>
        <v>603.46212995964356</v>
      </c>
      <c r="EJ8" s="22">
        <f ca="1">SUM(OFFSET(Table_Process_Details['[Energy (MJ) per kg API'] of Unique Inputs Sorted by '[Energy (MJ) per kg API']],0,0,Table_Process_Details[[#This Row],[Table Row]]))</f>
        <v>3195.6292528869453</v>
      </c>
      <c r="EK8" s="22" t="str">
        <f ca="1">"("&amp;TEXT(Table_Process_Details[[#This Row],['[Energy (MJ) per kg API'] of Unique Inputs Sorted by '[Energy (MJ) per kg API']]]/SUMIF(Table_Process_Details['[Energy (MJ) per kg API'] of Unique Inputs Sorted by '[Energy (MJ) per kg API']],"&lt;&gt;#N/A"),"0%")&amp;")"</f>
        <v>(12%)</v>
      </c>
      <c r="EL8" s="22">
        <f ca="1">INDEX(Table_Process_Details[Total '[Energy (MJ) per kg API'] of Unique Inputs (REAGENT)], MATCH(Table_Process_Details[[#This Row],[Unique Inputs Sorted by '[Energy (MJ) per kg API']]],Table_Process_Details[Unique Process Inputs],0))</f>
        <v>0</v>
      </c>
      <c r="EM8" s="22">
        <f ca="1">INDEX(Table_Process_Details[Total '[Energy (MJ) per kg API'] of Unique Inputs (METAL)], MATCH(Table_Process_Details[[#This Row],[Unique Inputs Sorted by '[Energy (MJ) per kg API']]],Table_Process_Details[Unique Process Inputs],0))</f>
        <v>0</v>
      </c>
      <c r="EN8" s="22">
        <f ca="1">INDEX(Table_Process_Details[Total '[Energy (MJ) per kg API'] of Unique Inputs (SOLVENT)], MATCH(Table_Process_Details[[#This Row],[Unique Inputs Sorted by '[Energy (MJ) per kg API']]],Table_Process_Details[Unique Process Inputs],0))</f>
        <v>603.46212995964356</v>
      </c>
      <c r="EO8" s="22">
        <f ca="1">INDEX(Table_Process_Details[Total '[Energy (MJ) per kg API'] of Unique Inputs (WATER)], MATCH(Table_Process_Details[[#This Row],[Unique Inputs Sorted by '[Energy (MJ) per kg API']]],Table_Process_Details[Unique Process Inputs],0))</f>
        <v>0</v>
      </c>
      <c r="EP8" s="22">
        <f ca="1">INDEX(Table_Process_Details[Total '[Energy (MJ) per kg API'] of Unique Inputs (ENZ&amp;PLNT)], MATCH(Table_Process_Details[[#This Row],[Unique Inputs Sorted by '[Energy (MJ) per kg API']]],Table_Process_Details[Unique Process Inputs],0))</f>
        <v>0</v>
      </c>
      <c r="EQ8" s="22">
        <f ca="1">INDEX(Table_Process_Details[Total '[Energy (MJ) per kg API'] of Unique Inputs (OTHER)], MATCH(Table_Process_Details[[#This Row],[Unique Inputs Sorted by '[Energy (MJ) per kg API']]],Table_Process_Details[Unique Process Inputs],0))</f>
        <v>0</v>
      </c>
      <c r="ER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 s="22">
        <f ca="1">SUMIFS(Table_Process_Details[RV GWP (kg CO2 equiv.) per kg API],Table_Process_Details[Display Name],Table_Process_Details[[#This Row],[Unique Process Inputs]],Table_Process_Details[Input or Output],"Input")</f>
        <v>4.0860042134632263E-2</v>
      </c>
      <c r="EZ8" s="1">
        <f ca="1">SUMIFS(Table_Process_Details[RV GWP (kg CO2 equiv.) per kg API (REAGENT)],Table_Process_Details[Display Name],Table_Process_Details[[#This Row],[Unique Process Inputs]],Table_Process_Details[Input or Output],"Input")</f>
        <v>0</v>
      </c>
      <c r="FA8" s="1">
        <f ca="1">SUMIFS(Table_Process_Details[RV GWP (kg CO2 equiv.) per kg API (METAL)],Table_Process_Details[Display Name],Table_Process_Details[[#This Row],[Unique Process Inputs]],Table_Process_Details[Input or Output],"Input")</f>
        <v>0</v>
      </c>
      <c r="FB8" s="1">
        <f ca="1">SUMIFS(Table_Process_Details[RV GWP (kg CO2 equiv.) per kg API (SOLVENT)],Table_Process_Details[Display Name],Table_Process_Details[[#This Row],[Unique Process Inputs]],Table_Process_Details[Input or Output],"Input")</f>
        <v>0</v>
      </c>
      <c r="FC8" s="1">
        <f ca="1">SUMIFS(Table_Process_Details[RV GWP (kg CO2 equiv.) per kg API (WATER)],Table_Process_Details[Display Name],Table_Process_Details[[#This Row],[Unique Process Inputs]],Table_Process_Details[Input or Output],"Input")</f>
        <v>4.0860042134632263E-2</v>
      </c>
      <c r="FD8" s="1">
        <f ca="1">SUMIFS(Table_Process_Details[RV GWP (kg CO2 equiv.) per kg API (ENZ&amp;PLNT)],Table_Process_Details[Display Name],Table_Process_Details[[#This Row],[Unique Process Inputs]],Table_Process_Details[Input or Output],"Input")</f>
        <v>0</v>
      </c>
      <c r="FE8" s="1">
        <f ca="1">SUMIFS(Table_Process_Details[RV GWP (kg CO2 equiv.) per kg API (OTHER)],Table_Process_Details[Display Name],Table_Process_Details[[#This Row],[Unique Process Inputs]],Table_Process_Details[Input or Output],"Input")</f>
        <v>0</v>
      </c>
      <c r="FF8" s="22" t="str">
        <f ca="1">INDEX(Table_Process_Details[Unique Process Inputs],MATCH(Table_Process_Details[[#This Row],['[GWP (kg CO2 equiv.) per kg API'] of Unique Inputs Sorted by '[GWP (kg CO2 equiv.) per kg API']]],Table_Process_Details[Total '[GWP (kg CO2 equiv.) per kg API'] of Unique Inputs],0))</f>
        <v>toluene</v>
      </c>
      <c r="FG8" s="22">
        <f ca="1">IF(LARGE(Table_Process_Details[Total '[GWP (kg CO2 equiv.) per kg API'] of Unique Inputs],Table_Process_Details[[#This Row],[Table Row]])=0,NA(),LARGE(Table_Process_Details[Total '[GWP (kg CO2 equiv.) per kg API'] of Unique Inputs],Table_Process_Details[[#This Row],[Table Row]]))</f>
        <v>17.238893824951976</v>
      </c>
      <c r="FH8" s="22">
        <f ca="1">SUM(OFFSET(Table_Process_Details['[GWP (kg CO2 equiv.) per kg API'] of Unique Inputs Sorted by '[GWP (kg CO2 equiv.) per kg API']],0,0,Table_Process_Details[[#This Row],[Table Row]]))</f>
        <v>94.241377629616821</v>
      </c>
      <c r="FI8" s="22" t="str">
        <f ca="1">"("&amp;TEXT(Table_Process_Details[[#This Row],['[GWP (kg CO2 equiv.) per kg API'] of Unique Inputs Sorted by '[GWP (kg CO2 equiv.) per kg API']]]/SUMIF(Table_Process_Details['[GWP (kg CO2 equiv.) per kg API'] of Unique Inputs Sorted by '[GWP (kg CO2 equiv.) per kg API']],"&lt;&gt;#N/A"),"0%")&amp;")"</f>
        <v>(11%)</v>
      </c>
      <c r="FJ8" s="22">
        <f ca="1">INDEX(Table_Process_Details[Total '[GWP (kg CO2 equiv.) per kg API'] of Unique Inputs (REAGENT)], MATCH(Table_Process_Details[[#This Row],[Unique Inputs Sorted by '[GWP (kg CO2 equiv.) per kg API']]],Table_Process_Details[Unique Process Inputs],0))</f>
        <v>0</v>
      </c>
      <c r="FK8" s="22">
        <f ca="1">INDEX(Table_Process_Details[Total '[GWP (kg CO2 equiv.) per kg API'] of Unique Inputs (METAL)], MATCH(Table_Process_Details[[#This Row],[Unique Inputs Sorted by '[GWP (kg CO2 equiv.) per kg API']]],Table_Process_Details[Unique Process Inputs],0))</f>
        <v>0</v>
      </c>
      <c r="FL8" s="22">
        <f ca="1">INDEX(Table_Process_Details[Total '[GWP (kg CO2 equiv.) per kg API'] of Unique Inputs (SOLVENT)], MATCH(Table_Process_Details[[#This Row],[Unique Inputs Sorted by '[GWP (kg CO2 equiv.) per kg API']]],Table_Process_Details[Unique Process Inputs],0))</f>
        <v>17.238893824951976</v>
      </c>
      <c r="FM8" s="22">
        <f ca="1">INDEX(Table_Process_Details[Total '[GWP (kg CO2 equiv.) per kg API'] of Unique Inputs (WATER)], MATCH(Table_Process_Details[[#This Row],[Unique Inputs Sorted by '[GWP (kg CO2 equiv.) per kg API']]],Table_Process_Details[Unique Process Inputs],0))</f>
        <v>0</v>
      </c>
      <c r="FN8" s="22">
        <f ca="1">INDEX(Table_Process_Details[Total '[GWP (kg CO2 equiv.) per kg API'] of Unique Inputs (ENZ&amp;PLNT)], MATCH(Table_Process_Details[[#This Row],[Unique Inputs Sorted by '[GWP (kg CO2 equiv.) per kg API']]],Table_Process_Details[Unique Process Inputs],0))</f>
        <v>0</v>
      </c>
      <c r="FO8" s="22">
        <f ca="1">INDEX(Table_Process_Details[Total '[GWP (kg CO2 equiv.) per kg API'] of Unique Inputs (OTHER)], MATCH(Table_Process_Details[[#This Row],[Unique Inputs Sorted by '[GWP (kg CO2 equiv.) per kg API']]],Table_Process_Details[Unique Process Inputs],0))</f>
        <v>0</v>
      </c>
      <c r="FP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 s="22">
        <f ca="1">SUMIFS(Table_Process_Details[RV Acidification (kg SO2 equiv.) per kg API],Table_Process_Details[Display Name],Table_Process_Details[[#This Row],[Unique Process Inputs]],Table_Process_Details[Input or Output],"Input")</f>
        <v>1.5653994623062025E-4</v>
      </c>
      <c r="FX8" s="1">
        <f ca="1">SUMIFS(Table_Process_Details[RV Acidification (kg SO2 equiv.) per kg API (REAGENT)],Table_Process_Details[Display Name],Table_Process_Details[[#This Row],[Unique Process Inputs]],Table_Process_Details[Input or Output],"Input")</f>
        <v>0</v>
      </c>
      <c r="FY8" s="1">
        <f ca="1">SUMIFS(Table_Process_Details[RV Acidification (kg SO2 equiv.) per kg API (METAL)],Table_Process_Details[Display Name],Table_Process_Details[[#This Row],[Unique Process Inputs]],Table_Process_Details[Input or Output],"Input")</f>
        <v>0</v>
      </c>
      <c r="FZ8" s="1">
        <f ca="1">SUMIFS(Table_Process_Details[RV Acidification (kg SO2 equiv.) per kg API (SOLVENT)],Table_Process_Details[Display Name],Table_Process_Details[[#This Row],[Unique Process Inputs]],Table_Process_Details[Input or Output],"Input")</f>
        <v>0</v>
      </c>
      <c r="GA8" s="1">
        <f ca="1">SUMIFS(Table_Process_Details[RV Acidification (kg SO2 equiv.) per kg API (WATER)],Table_Process_Details[Display Name],Table_Process_Details[[#This Row],[Unique Process Inputs]],Table_Process_Details[Input or Output],"Input")</f>
        <v>1.5653994623062025E-4</v>
      </c>
      <c r="GB8" s="1">
        <f ca="1">SUMIFS(Table_Process_Details[RV Acidification (kg SO2 equiv.) per kg API (ENZ&amp;PLNT)],Table_Process_Details[Display Name],Table_Process_Details[[#This Row],[Unique Process Inputs]],Table_Process_Details[Input or Output],"Input")</f>
        <v>0</v>
      </c>
      <c r="GC8" s="1">
        <f ca="1">SUMIFS(Table_Process_Details[RV Acidification (kg SO2 equiv.) per kg API (OTHER)],Table_Process_Details[Display Name],Table_Process_Details[[#This Row],[Unique Process Inputs]],Table_Process_Details[Input or Output],"Input")</f>
        <v>0</v>
      </c>
      <c r="GD8"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U (organic)</v>
      </c>
      <c r="GE8" s="22">
        <f ca="1">IF(LARGE(Table_Process_Details[Total '[Acidification (kg SO2 equiv.) per kg API'] of Unique Inputs],Table_Process_Details[[#This Row],[Table Row]])=0,NA(),LARGE(Table_Process_Details[Total '[Acidification (kg SO2 equiv.) per kg API'] of Unique Inputs],Table_Process_Details[[#This Row],[Table Row]]))</f>
        <v>6.1789945367306684E-2</v>
      </c>
      <c r="GF8" s="22">
        <f ca="1">SUM(OFFSET(Table_Process_Details['[Acidification (kg SO2 equiv.) per kg API'] of Unique Inputs Sorted by '[Acidification (kg SO2 equiv.) per kg API']],0,0,Table_Process_Details[[#This Row],[Table Row]]))</f>
        <v>0.39775289351693843</v>
      </c>
      <c r="GG8"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(9%)</v>
      </c>
      <c r="GH8" s="22">
        <f ca="1">INDEX(Table_Process_Details[Total '[Acidification (kg SO2 equiv.) per kg API'] of Unique Inputs (REAGENT)], MATCH(Table_Process_Details[[#This Row],[Unique Inputs Sorted by '[Acidification (kg SO2 equiv.) per kg API']]],Table_Process_Details[Unique Process Inputs],0))</f>
        <v>6.1789945367306684E-2</v>
      </c>
      <c r="GI8" s="22">
        <f ca="1">INDEX(Table_Process_Details[Total '[Acidification (kg SO2 equiv.) per kg API'] of Unique Inputs (METAL)], MATCH(Table_Process_Details[[#This Row],[Unique Inputs Sorted by '[Acidification (kg SO2 equiv.) per kg API']]],Table_Process_Details[Unique Process Inputs],0))</f>
        <v>0</v>
      </c>
      <c r="GJ8" s="22">
        <f ca="1">INDEX(Table_Process_Details[Total '[Acidification (kg SO2 equiv.) per kg API'] of Unique Inputs (SOLVENT)], MATCH(Table_Process_Details[[#This Row],[Unique Inputs Sorted by '[Acidification (kg SO2 equiv.) per kg API']]],Table_Process_Details[Unique Process Inputs],0))</f>
        <v>0</v>
      </c>
      <c r="GK8" s="22">
        <f ca="1">INDEX(Table_Process_Details[Total '[Acidification (kg SO2 equiv.) per kg API'] of Unique Inputs (WATER)], MATCH(Table_Process_Details[[#This Row],[Unique Inputs Sorted by '[Acidification (kg SO2 equiv.) per kg API']]],Table_Process_Details[Unique Process Inputs],0))</f>
        <v>0</v>
      </c>
      <c r="GL8" s="22">
        <f ca="1">INDEX(Table_Process_Details[Total '[Acidification (kg SO2 equiv.) per kg API'] of Unique Inputs (ENZ&amp;PLNT)], MATCH(Table_Process_Details[[#This Row],[Unique Inputs Sorted by '[Acidification (kg SO2 equiv.) per kg API']]],Table_Process_Details[Unique Process Inputs],0))</f>
        <v>0</v>
      </c>
      <c r="GM8" s="22">
        <f ca="1">INDEX(Table_Process_Details[Total '[Acidification (kg SO2 equiv.) per kg API'] of Unique Inputs (OTHER)], MATCH(Table_Process_Details[[#This Row],[Unique Inputs Sorted by '[Acidification (kg SO2 equiv.) per kg API']]],Table_Process_Details[Unique Process Inputs],0))</f>
        <v>0</v>
      </c>
      <c r="GN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 s="22">
        <f ca="1">SUMIFS(Table_Process_Details[RV Eutrophication (kg phosphate equiv.) per kg API],Table_Process_Details[Display Name],Table_Process_Details[[#This Row],[Unique Process Inputs]],Table_Process_Details[Input or Output],"Input")</f>
        <v>9.3252518217436323E-5</v>
      </c>
      <c r="GV8" s="1">
        <f ca="1">SUMIFS(Table_Process_Details[RV Eutrophication (kg phosphate equiv.) per kg API (REAGENT)],Table_Process_Details[Display Name],Table_Process_Details[[#This Row],[Unique Process Inputs]],Table_Process_Details[Input or Output],"Input")</f>
        <v>0</v>
      </c>
      <c r="GW8" s="1">
        <f ca="1">SUMIFS(Table_Process_Details[RV Eutrophication (kg phosphate equiv.) per kg API (METAL)],Table_Process_Details[Display Name],Table_Process_Details[[#This Row],[Unique Process Inputs]],Table_Process_Details[Input or Output],"Input")</f>
        <v>0</v>
      </c>
      <c r="GX8" s="1">
        <f ca="1">SUMIFS(Table_Process_Details[RV Eutrophication (kg phosphate equiv.) per kg API (SOLVENT)],Table_Process_Details[Display Name],Table_Process_Details[[#This Row],[Unique Process Inputs]],Table_Process_Details[Input or Output],"Input")</f>
        <v>0</v>
      </c>
      <c r="GY8" s="1">
        <f ca="1">SUMIFS(Table_Process_Details[RV Eutrophication (kg phosphate equiv.) per kg API (WATER)],Table_Process_Details[Display Name],Table_Process_Details[[#This Row],[Unique Process Inputs]],Table_Process_Details[Input or Output],"Input")</f>
        <v>9.3252518217436323E-5</v>
      </c>
      <c r="GZ8" s="1">
        <f ca="1">SUMIFS(Table_Process_Details[RV Eutrophication (kg phosphate equiv.) per kg API (ENZ&amp;PLNT)],Table_Process_Details[Display Name],Table_Process_Details[[#This Row],[Unique Process Inputs]],Table_Process_Details[Input or Output],"Input")</f>
        <v>0</v>
      </c>
      <c r="HA8" s="1">
        <f ca="1">SUMIFS(Table_Process_Details[RV Eutrophication (kg phosphate equiv.) per kg API (OTHER)],Table_Process_Details[Display Name],Table_Process_Details[[#This Row],[Unique Process Inputs]],Table_Process_Details[Input or Output],"Input")</f>
        <v>0</v>
      </c>
      <c r="HB8"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acetonitrile</v>
      </c>
      <c r="HC8" s="22">
        <f ca="1">IF(LARGE(Table_Process_Details[Total '[Eutrophication (kg posphate equiv.) per kg API'] of Unique Inputs],Table_Process_Details[[#This Row],[Table Row]])=0,NA(),LARGE(Table_Process_Details[Total '[Eutrophication (kg posphate equiv.) per kg API'] of Unique Inputs],Table_Process_Details[[#This Row],[Table Row]]))</f>
        <v>5.4856343464580043E-2</v>
      </c>
      <c r="HD8" s="22">
        <f ca="1">SUM(OFFSET(Table_Process_Details['[Eutrophication (kg posphate equiv.) per kg API'] of Unique Inputs Sorted by '[Eutrophication (kg posphate equiv.) per kg API']],0,0,Table_Process_Details[[#This Row],[Table Row]]))</f>
        <v>1.2291550890351866</v>
      </c>
      <c r="HE8"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(4%)</v>
      </c>
      <c r="HF8" s="1">
        <f ca="1">INDEX(Table_Process_Details[Total '[Eutrophication (kg posphate equiv.) per kg API'] of Unique Inputs (REAGENT)], MATCH(Table_Process_Details[[#This Row],[Unique Inputs Sorted by '[Eutrophication (kg posphate equiv.) per kg API']]],Table_Process_Details[Unique Process Inputs],0))</f>
        <v>0</v>
      </c>
      <c r="HG8" s="1">
        <f ca="1">INDEX(Table_Process_Details[Total '[Eutrophication (kg posphate equiv.) per kg API'] of Unique Inputs (METAL)], MATCH(Table_Process_Details[[#This Row],[Unique Inputs Sorted by '[Eutrophication (kg posphate equiv.) per kg API']]],Table_Process_Details[Unique Process Inputs],0))</f>
        <v>0</v>
      </c>
      <c r="HH8" s="1">
        <f ca="1">INDEX(Table_Process_Details[Total '[Eutrophication (kg posphate equiv.) per kg API'] of Unique Inputs (SOLVENT)], MATCH(Table_Process_Details[[#This Row],[Unique Inputs Sorted by '[Eutrophication (kg posphate equiv.) per kg API']]],Table_Process_Details[Unique Process Inputs],0))</f>
        <v>5.4856343464580043E-2</v>
      </c>
      <c r="HI8" s="1">
        <f ca="1">INDEX(Table_Process_Details[Total '[Eutrophication (kg posphate equiv.) per kg API'] of Unique Inputs (WATER)], MATCH(Table_Process_Details[[#This Row],[Unique Inputs Sorted by '[Eutrophication (kg posphate equiv.) per kg API']]],Table_Process_Details[Unique Process Inputs],0))</f>
        <v>0</v>
      </c>
      <c r="HJ8" s="1">
        <f ca="1">INDEX(Table_Process_Details[Total '[Eutrophication (kg posphate equiv.) per kg API'] of Unique Inputs (ENZ&amp;PLNT)], MATCH(Table_Process_Details[[#This Row],[Unique Inputs Sorted by '[Eutrophication (kg posphate equiv.) per kg API']]],Table_Process_Details[Unique Process Inputs],0))</f>
        <v>0</v>
      </c>
      <c r="HK8" s="1">
        <f ca="1">INDEX(Table_Process_Details[Total '[Eutrophication (kg posphate equiv.) per kg API'] of Unique Inputs (OTHER)], MATCH(Table_Process_Details[[#This Row],[Unique Inputs Sorted by '[Eutrophication (kg posphate equiv.) per kg API']]],Table_Process_Details[Unique Process Inputs],0))</f>
        <v>0</v>
      </c>
      <c r="HL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 s="1">
        <f ca="1">SUMIFS(Table_Process_Details[RV Water (kg) per kg API],Table_Process_Details[Display Name],Table_Process_Details[[#This Row],[Unique Process Inputs]],Table_Process_Details[Input or Output],"Input")</f>
        <v>50.820481437953482</v>
      </c>
      <c r="HT8" s="1">
        <f ca="1">SUMIFS(Table_Process_Details[RV Water (kg) per kg API (REAGENT)],Table_Process_Details[Display Name],Table_Process_Details[[#This Row],[Unique Process Inputs]],Table_Process_Details[Input or Output],"Input")</f>
        <v>0</v>
      </c>
      <c r="HU8" s="1">
        <f ca="1">SUMIFS(Table_Process_Details[RV Water (kg) per kg API (METAL)],Table_Process_Details[Display Name],Table_Process_Details[[#This Row],[Unique Process Inputs]],Table_Process_Details[Input or Output],"Input")</f>
        <v>0</v>
      </c>
      <c r="HV8" s="1">
        <f ca="1">SUMIFS(Table_Process_Details[RV Water (kg) per kg API (SOLVENT)],Table_Process_Details[Display Name],Table_Process_Details[[#This Row],[Unique Process Inputs]],Table_Process_Details[Input or Output],"Input")</f>
        <v>0</v>
      </c>
      <c r="HW8" s="1">
        <f ca="1">SUMIFS(Table_Process_Details[RV Water (kg) per kg API (WATER)],Table_Process_Details[Display Name],Table_Process_Details[[#This Row],[Unique Process Inputs]],Table_Process_Details[Input or Output],"Input")</f>
        <v>50.820481437953482</v>
      </c>
      <c r="HX8" s="1">
        <f ca="1">SUMIFS(Table_Process_Details[RV Water (kg) per kg API (ENZ&amp;PLNT)],Table_Process_Details[Display Name],Table_Process_Details[[#This Row],[Unique Process Inputs]],Table_Process_Details[Input or Output],"Input")</f>
        <v>0</v>
      </c>
      <c r="HY8" s="1">
        <f ca="1">SUMIFS(Table_Process_Details[RV Water (kg) per kg API (OTHER)],Table_Process_Details[Display Name],Table_Process_Details[[#This Row],[Unique Process Inputs]],Table_Process_Details[Input or Output],"Input")</f>
        <v>0</v>
      </c>
      <c r="HZ8" s="22" t="str">
        <f ca="1">INDEX(Table_Process_Details[Unique Process Inputs],MATCH(Table_Process_Details[[#This Row],['[Water (kg) per kg API'] of Unique Inputs Sorted by '[Water (kg) per kg API']]],Table_Process_Details[Total '[Water (kg) per kg API'] of Unique Inputs],0))</f>
        <v>acetonitrile</v>
      </c>
      <c r="IA8" s="22">
        <f ca="1">IF(LARGE(Table_Process_Details[Total '[Water (kg) per kg API'] of Unique Inputs],Table_Process_Details[[#This Row],[Table Row]])=0,NA(),LARGE(Table_Process_Details[Total '[Water (kg) per kg API'] of Unique Inputs],Table_Process_Details[[#This Row],[Table Row]]))</f>
        <v>78.876665322746874</v>
      </c>
      <c r="IB8" s="1">
        <f ca="1">SUM(OFFSET(Table_Process_Details['[Water (kg) per kg API'] of Unique Inputs Sorted by '[Water (kg) per kg API']],0,0,Table_Process_Details[[#This Row],[Table Row]]))</f>
        <v>608.16150767351951</v>
      </c>
      <c r="IC8" s="1" t="str">
        <f ca="1">"("&amp;TEXT(Table_Process_Details[[#This Row],['[Water (kg) per kg API'] of Unique Inputs Sorted by '[Water (kg) per kg API']]]/SUMIF(Table_Process_Details['[Water (kg) per kg API'] of Unique Inputs Sorted by '[Water (kg) per kg API']],"&lt;&gt;#N/A"),"0%")&amp;")"</f>
        <v>(9%)</v>
      </c>
      <c r="ID8" s="1">
        <f ca="1">INDEX(Table_Process_Details[Total '[Water (kg) per kg API'] of Unique Inputs (REAGENT)], MATCH(Table_Process_Details[[#This Row],[Unique Inputs Sorted by '[Water (kg) per kg API']]],Table_Process_Details[Unique Process Inputs],0))</f>
        <v>0</v>
      </c>
      <c r="IE8" s="1">
        <f ca="1">INDEX(Table_Process_Details[Total '[Water (kg) per kg API'] of Unique Inputs (METAL)], MATCH(Table_Process_Details[[#This Row],[Unique Inputs Sorted by '[Water (kg) per kg API']]],Table_Process_Details[Unique Process Inputs],0))</f>
        <v>0</v>
      </c>
      <c r="IF8" s="1">
        <f ca="1">INDEX(Table_Process_Details[Total '[Water (kg) per kg API'] of Unique Inputs (SOLVENT)], MATCH(Table_Process_Details[[#This Row],[Unique Inputs Sorted by '[Water (kg) per kg API']]],Table_Process_Details[Unique Process Inputs],0))</f>
        <v>78.876665322746874</v>
      </c>
      <c r="IG8" s="1">
        <f ca="1">INDEX(Table_Process_Details[Total '[Water (kg) per kg API'] of Unique Inputs (WATER)], MATCH(Table_Process_Details[[#This Row],[Unique Inputs Sorted by '[Water (kg) per kg API']]],Table_Process_Details[Unique Process Inputs],0))</f>
        <v>0</v>
      </c>
      <c r="IH8" s="1">
        <f ca="1">INDEX(Table_Process_Details[Total '[Water (kg) per kg API'] of Unique Inputs (ENZ&amp;PLNT)], MATCH(Table_Process_Details[[#This Row],[Unique Inputs Sorted by '[Water (kg) per kg API']]],Table_Process_Details[Unique Process Inputs],0))</f>
        <v>0</v>
      </c>
      <c r="II8" s="1">
        <f ca="1">INDEX(Table_Process_Details[Total '[Water (kg) per kg API'] of Unique Inputs (OTHER)], MATCH(Table_Process_Details[[#This Row],[Unique Inputs Sorted by '[Water (kg) per kg API']]],Table_Process_Details[Unique Process Inputs],0))</f>
        <v>0</v>
      </c>
    </row>
    <row r="9" spans="1:250" customFormat="1" x14ac:dyDescent="0.25">
      <c r="A9" s="22" t="str">
        <f>A8</f>
        <v>1b) Virtual solution prep for (1): 10 wt% reagent B (inorganic) in water</v>
      </c>
      <c r="B9" s="21" t="s">
        <v>4</v>
      </c>
      <c r="C9" s="21" t="s">
        <v>6</v>
      </c>
      <c r="D9" s="22" t="s">
        <v>146</v>
      </c>
      <c r="E9" s="22" t="s">
        <v>814</v>
      </c>
      <c r="F9" s="26">
        <v>90</v>
      </c>
      <c r="G9" s="26"/>
      <c r="H9" s="26"/>
      <c r="I9" s="26"/>
      <c r="J9" s="26" t="str">
        <f>INDEX(Process_Steps[Reference],MATCH(Table_Process_Details[[#This Row],[Step Name]],Process_Steps[Name],0))</f>
        <v>Reference Document  for Step 1</v>
      </c>
      <c r="K9" s="27" t="str">
        <f>INDEX(Process_Steps[Real or Virtual?],MATCH(Table_Process_Details[[#This Row],[Step Name]],Process_Steps[Name],0))</f>
        <v>Virtual</v>
      </c>
      <c r="L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9" s="26">
        <f>INDEX(Table_Process_Details[Physical Mass (kg)],MATCH(1,INDEX(((Table_Process_Details[Step Name]=Table_Process_Details[[#This Row],[Step Name]])*(Table_Process_Details[Input or Output]="Output")),0),0))</f>
        <v>100</v>
      </c>
      <c r="O9" s="29">
        <f ca="1">INDEX(Process_Steps[Step Scale Factor for 1kg Packaged API],MATCH(Table_Process_Details[[#This Row],[Step Name]],Process_Steps[Name],0))</f>
        <v>1.1184164089156933E-2</v>
      </c>
      <c r="P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1.6666666666666667</v>
      </c>
      <c r="Q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18.666666666666668</v>
      </c>
      <c r="R9" s="26">
        <f ca="1">_xlfn.SWITCH(Run_Reset_PNG,"Reset",Table_Process_Details[[#This Row],[X Init]],"Run",Table_Process_Details[[#This Row],[X Moved]],"Freeze",Table_Process_Details[[#This Row],[X Mover]])</f>
        <v>-14.702940157012009</v>
      </c>
      <c r="S9" s="26">
        <f ca="1">_xlfn.SWITCH(Run_Reset_PNG,"Reset",Table_Process_Details[[#This Row],[Y Init]],"Run",Table_Process_Details[[#This Row],[Y Moved]],"Freeze",Table_Process_Details[[#This Row],[Y Mover]])</f>
        <v>20.896673852041115</v>
      </c>
      <c r="T9" s="26" cm="1">
        <f t="array" aca="1" ref="T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-4.0081567626996017</v>
      </c>
      <c r="U9" s="26" cm="1">
        <f t="array" aca="1" ref="U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2.5847032415143603</v>
      </c>
      <c r="V9" s="26" cm="1">
        <f t="array" aca="1" ref="V9" ca="1">SUM(--(SQRT((Table_Process_Details[[#This Row],[X Mover]]-Table_Process_Details[X Mover])^2+(Table_Process_Details[[#This Row],[Y Mover]]-Table_Process_Details[Y Mover])^2)&lt;Collision_Distance))</f>
        <v>7</v>
      </c>
      <c r="W9" s="26" cm="1">
        <f t="array" aca="1" ref="W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0.46043415790828202</v>
      </c>
      <c r="X9" s="26" cm="1">
        <f t="array" aca="1" ref="X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-0.25650185533930892</v>
      </c>
      <c r="Y9" s="26" cm="1">
        <f t="array" aca="1" ref="Y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 s="26">
        <f>0</f>
        <v>0</v>
      </c>
      <c r="AA9" s="26">
        <f>0</f>
        <v>0</v>
      </c>
      <c r="AB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7.3514700785060043</v>
      </c>
      <c r="AC9" s="26" cm="1">
        <f t="array" aca="1" ref="AC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-10.448336926020557</v>
      </c>
      <c r="AD9" s="26">
        <f>MIN(1,COUNTA(Table_Process_Details[[#This Row],[target x]]),COUNTA(Table_Process_Details[[#This Row],[target y]]))*COUNTA(Table_Process_Details[Step Name])</f>
        <v>98</v>
      </c>
      <c r="AE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-14.740084821545445</v>
      </c>
      <c r="AF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20.902799633999567</v>
      </c>
      <c r="AG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9" s="26" cm="1">
        <f t="array" aca="1" ref="AH9" ca="1">INDEX(Table_Process_Details[X Mover],MATCH(1,INDEX((Table_Process_Details[Input or Output]="Output")*(Table_Process_Details[Step Name]=Table_Process_Details[[#This Row],[Step Name]])*(Table_Process_Details[[#This Row],[Input or Output]]="Input"),0),0))</f>
        <v>-11.161305606405291</v>
      </c>
      <c r="AI9" s="26" cm="1">
        <f t="array" aca="1" ref="AI9" ca="1">INDEX(Table_Process_Details[Y Mover],MATCH(1,INDEX((Table_Process_Details[Input or Output]="Output")*(Table_Process_Details[Step Name]=Table_Process_Details[[#This Row],[Step Name]])*(Table_Process_Details[[#This Row],[Input or Output]]="Input"),0),0))</f>
        <v>18.923675503501165</v>
      </c>
      <c r="AJ9" s="26" t="e">
        <f ca="1">SQRT((Table_Process_Details[[#This Row],[X End (To Node Center)]]-Table_Process_Details[[#This Row],[X Guide]])^2+(Table_Process_Details[[#This Row],[Y End (to Node Center)]]-Table_Process_Details[[#This Row],[Y Guide]])^2)</f>
        <v>#N/A</v>
      </c>
      <c r="AK9" s="26" t="e" cm="1">
        <f t="array" ref="AK9">INDEX(Table_Process_Details[X Mover],MATCH(1,INDEX((Table_Process_Details[Step Name]=Table_Process_Details[[#This Row],[LCA Data Source Subclass]])*(Table_Process_Details[Input or Output]="Output"),0)*(Table_Process_Details[[#This Row],[Input or Output]]="Input"),0))</f>
        <v>#N/A</v>
      </c>
      <c r="AL9" s="26" cm="1">
        <f t="array" aca="1" ref="AL9" ca="1">INDEX(Table_Process_Details[X Mover],MATCH(1,INDEX(((Table_Process_Details[Table Row]=Table_Process_Details[[#This Row],[Table Row]])*(1)),0)*(Table_Process_Details[[#This Row],[Input or Output]]="Input"),0))</f>
        <v>-14.702940157012009</v>
      </c>
      <c r="AM9" s="26" t="e" cm="1">
        <f t="array" aca="1" ref="AM9" ca="1">(Table_Process_Details[[#This Row],[X End (To Node Center)]]*Table_Process_Details[[#This Row],[r0]]-Table_Process_Details[[#This Row],[X End (To Node Center)]]*Arrow_Offset+Table_Process_Details[[#This Row],[X Guide]]*Arrow_Offset)/Table_Process_Details[[#This Row],[r0]]</f>
        <v>#N/A</v>
      </c>
      <c r="AN9" s="26" t="e">
        <f>IF(NOT(Table_Process_Details[[#This Row],[Display As]]="None"),Table_Process_Details[[#This Row],[X Start Prefilter]],NA())</f>
        <v>#N/A</v>
      </c>
      <c r="AO9" s="26" t="e">
        <f>IF(NOT(Table_Process_Details[[#This Row],[Display As]]="None"),Table_Process_Details[[#This Row],[X Guide Prefilter]],NA())</f>
        <v>#N/A</v>
      </c>
      <c r="AP9" s="26" t="e">
        <f>IF(NOT(Table_Process_Details[[#This Row],[Display As]]="None"),Table_Process_Details[[#This Row],[X End (to Stop Radius) Prefilter]],NA())</f>
        <v>#N/A</v>
      </c>
      <c r="AQ9" s="26" t="e">
        <f>NA()</f>
        <v>#N/A</v>
      </c>
      <c r="AR9" s="26" t="e" cm="1">
        <f t="array" ref="AR9">INDEX(Table_Process_Details[Y Mover],MATCH(1,INDEX((Table_Process_Details[Step Name]=Table_Process_Details[[#This Row],[LCA Data Source Subclass]])*(Table_Process_Details[Input or Output]="Output"),0)*(Table_Process_Details[[#This Row],[Input or Output]]="Input"),0))</f>
        <v>#N/A</v>
      </c>
      <c r="AS9" s="26" cm="1">
        <f t="array" aca="1" ref="AS9" ca="1">INDEX(Table_Process_Details[Y Mover],MATCH(1,INDEX(((Table_Process_Details[Table Row]=Table_Process_Details[[#This Row],[Table Row]])*(1)),0)*(Table_Process_Details[[#This Row],[Input or Output]]="Input"),0))</f>
        <v>20.896673852041115</v>
      </c>
      <c r="AT9" s="26" t="e" cm="1">
        <f t="array" aca="1" ref="AT9" ca="1">(Table_Process_Details[[#This Row],[Y Guide]]*Arrow_Offset-Table_Process_Details[[#This Row],[Y End (to Node Center)]]*Arrow_Offset+Table_Process_Details[[#This Row],[Y End (to Node Center)]]*Table_Process_Details[[#This Row],[r0]])/Table_Process_Details[[#This Row],[r0]]</f>
        <v>#N/A</v>
      </c>
      <c r="AU9" s="26" t="e">
        <f>IF(NOT(Table_Process_Details[[#This Row],[Display As]]="None"),Table_Process_Details[[#This Row],[Y Start Prefilter]],NA())</f>
        <v>#N/A</v>
      </c>
      <c r="AV9" s="26" t="e">
        <f>IF(NOT(Table_Process_Details[[#This Row],[Display As]]="None"),Table_Process_Details[[#This Row],[Y Guide Prefilter]],NA())</f>
        <v>#N/A</v>
      </c>
      <c r="AW9" s="26" t="e">
        <f>IF(NOT(Table_Process_Details[[#This Row],[Display As]]="None"),Table_Process_Details[[#This Row],[Y End (to Stop Radius) Prefilter]],NA())</f>
        <v>#N/A</v>
      </c>
      <c r="AX9" s="26" t="e">
        <f>NA()</f>
        <v>#N/A</v>
      </c>
      <c r="AY9" s="26" t="e">
        <f>IF(Table_Process_Details[[#This Row],[Display As]]="Real Step",Table_Process_Details[[#This Row],[X Mover]],NA())</f>
        <v>#N/A</v>
      </c>
      <c r="AZ9" s="26" t="e">
        <f>IF(Table_Process_Details[[#This Row],[Display As]]="Real Step",Table_Process_Details[[#This Row],[Y Mover]],NA())</f>
        <v>#N/A</v>
      </c>
      <c r="BA9" s="26" t="e">
        <f>IF(Table_Process_Details[[#This Row],[Display As]]="Raw Material",Table_Process_Details[[#This Row],[X Mover]],NA())</f>
        <v>#N/A</v>
      </c>
      <c r="BB9" s="26" t="e">
        <f>IF(Table_Process_Details[[#This Row],[Display As]]="Raw Material",Table_Process_Details[[#This Row],[Y Mover]],NA())</f>
        <v>#N/A</v>
      </c>
      <c r="BC9" s="26" t="e">
        <f>IF(OR(Table_Process_Details[[#This Row],[Display As]]="Real Step",Table_Process_Details[[#This Row],[Display As]]="Raw Material"),Table_Process_Details[[#This Row],[X Mover]],NA())</f>
        <v>#N/A</v>
      </c>
      <c r="BD9" s="26" t="e">
        <f>IF(OR(Table_Process_Details[[#This Row],[Display As]]="Real Step",Table_Process_Details[[#This Row],[Display As]]="Raw Material"),Table_Process_Details[[#This Row],[Y Mover]],NA())</f>
        <v>#N/A</v>
      </c>
      <c r="BE9" s="22">
        <f>ROW()-ROW(Table_Process_Details[[#Headers],[Table Row]])</f>
        <v>5</v>
      </c>
      <c r="BF9" s="23" t="str" cm="1">
        <f t="array" aca="1" ref="BF9" ca="1">INDEX(Table_Process_Details[Display Name],MATCH(0,IF(Table_Process_Details[Input or Output]="Input",INDEX(COUNTIF(OFFSET(Table_Process_Details[[#Headers],[Unique Process Inputs]],0,0,Table_Process_Details[[#This Row],[Table Row]],1),Table_Process_Details[Display Name]),),""),0))</f>
        <v>reagent C (inorganic)</v>
      </c>
      <c r="BG9" s="23">
        <f ca="1">Table_Process_Details[[#This Row],[Physical Mass (kg)]]*Table_Process_Details[[#This Row],[Step Scale Factor for 1kg Packaged API]]</f>
        <v>1.0065747680241239</v>
      </c>
      <c r="BH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 s="23">
        <f ca="1">MATCH(Table_Process_Details[[#This Row],[LCA Data Source Class]],INDIRECT(Table_Process_Details[[#This Row],[Input or Output]]),0)</f>
        <v>2</v>
      </c>
      <c r="BJ9" s="23">
        <f ca="1">MATCH(Table_Process_Details[[#This Row],[LCA Data Source Subclass]],INDIRECT(Table_Process_Details[[#This Row],[LCA Data Source Class]]&amp;"[Name]"),0)</f>
        <v>64</v>
      </c>
      <c r="BK9" s="23">
        <f ca="1">IFERROR(INDEX(INDIRECT(Table_Process_Details[[#This Row],[LCA Data Source Class]]&amp;"[Mass Net (kg)]"),MATCH(Table_Process_Details[[#This Row],[LCA Data Source Subclass]],INDIRECT(Table_Process_Details[[#This Row],[LCA Data Source Class]]&amp;"[Name]"),0)),0)</f>
        <v>1.5302652999999999E-3</v>
      </c>
      <c r="BL9" s="23">
        <f ca="1">IFERROR(INDEX(INDIRECT(Table_Process_Details[[#This Row],[LCA Data Source Class]]&amp;"[Energy (MJ)]"),MATCH(Table_Process_Details[[#This Row],[LCA Data Source Subclass]],INDIRECT(Table_Process_Details[[#This Row],[LCA Data Source Class]]&amp;"[Name]"),0)),0)</f>
        <v>1.9058192000000002E-2</v>
      </c>
      <c r="BM9" s="23">
        <f ca="1">IFERROR(INDEX(INDIRECT(Table_Process_Details[[#This Row],[LCA Data Source Class]]&amp;"[GWP (kg CO2 equiv.)]"),MATCH(Table_Process_Details[[#This Row],[LCA Data Source Subclass]],INDIRECT(Table_Process_Details[[#This Row],[LCA Data Source Class]]&amp;"[Name]"),0)),0)</f>
        <v>1.015742E-3</v>
      </c>
      <c r="BN9" s="23">
        <f ca="1">IFERROR(INDEX(INDIRECT(Table_Process_Details[[#This Row],[LCA Data Source Class]]&amp;"[Acidification (kg SO2 equiv.)]"),MATCH(Table_Process_Details[[#This Row],[LCA Data Source Subclass]],INDIRECT(Table_Process_Details[[#This Row],[LCA Data Source Class]]&amp;"[Name]"),0)),0)</f>
        <v>3.8914349999999996E-6</v>
      </c>
      <c r="BO9" s="23">
        <f ca="1">IFERROR(INDEX(INDIRECT(Table_Process_Details[[#This Row],[LCA Data Source Class]]&amp;"[Eutrophication (kg posphate equiv.)]"),MATCH(Table_Process_Details[[#This Row],[LCA Data Source Subclass]],INDIRECT(Table_Process_Details[[#This Row],[LCA Data Source Class]]&amp;"[Name]"),0)),0)</f>
        <v>2.3181694000000001E-6</v>
      </c>
      <c r="BP9" s="23">
        <f ca="1">IFERROR(INDEX(INDIRECT(Table_Process_Details[[#This Row],[LCA Data Source Class]]&amp;"[Water (kg)]"),MATCH(Table_Process_Details[[#This Row],[LCA Data Source Subclass]],INDIRECT(Table_Process_Details[[#This Row],[LCA Data Source Class]]&amp;"[Name]"),0)),0)</f>
        <v>1.2633490999999999</v>
      </c>
      <c r="BQ9" s="27">
        <f ca="1">(Table_Process_Details[[#This Row],[Input or Output]]="Input")*(Table_Process_Details[[#This Row],[LCA Data Source Class]]&lt;&gt;"Process_Steps")*Table_Process_Details[[#This Row],[Scaled Physical Mass per kg API for All Inputs &amp; Outputs]]</f>
        <v>1.0065747680241239</v>
      </c>
      <c r="BR9" s="27">
        <f ca="1">(Table_Process_Details[[#This Row],[Material Class]]="REAGENT")*Table_Process_Details[[#This Row],[Physical Mass per kg API]]</f>
        <v>0</v>
      </c>
      <c r="BS9" s="27">
        <f ca="1">(Table_Process_Details[[#This Row],[Material Class]]="METAL")*Table_Process_Details[[#This Row],[Physical Mass per kg API]]</f>
        <v>0</v>
      </c>
      <c r="BT9" s="27">
        <f ca="1">(Table_Process_Details[[#This Row],[Material Class]]="SOLVENT")*Table_Process_Details[[#This Row],[Physical Mass per kg API]]</f>
        <v>0</v>
      </c>
      <c r="BU9" s="27">
        <f ca="1">(Table_Process_Details[[#This Row],[Material Class]]="WATER")*Table_Process_Details[[#This Row],[Physical Mass per kg API]]</f>
        <v>1.0065747680241239</v>
      </c>
      <c r="BV9" s="27">
        <f ca="1">(Table_Process_Details[[#This Row],[Material Class]]="ENZ&amp;PLNT")*Table_Process_Details[[#This Row],[Physical Mass per kg API]]</f>
        <v>0</v>
      </c>
      <c r="BW9" s="27">
        <f ca="1">(Table_Process_Details[[#This Row],[Material Class]]="OTHER")*Table_Process_Details[[#This Row],[Physical Mass per kg API]]</f>
        <v>0</v>
      </c>
      <c r="BX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 s="1">
        <f ca="1">SUMIFS(Table_Process_Details[RV Physical Mass per kg API],Table_Process_Details[Display Name],Table_Process_Details[[#This Row],[Unique Process Inputs]],Table_Process_Details[Input or Output],"Input")</f>
        <v>0</v>
      </c>
      <c r="CF9" s="1">
        <f ca="1">SUMIFS(Table_Process_Details[RV Physical Mass per kg API (REAGENT)],Table_Process_Details[Display Name],Table_Process_Details[[#This Row],[Unique Process Inputs]],Table_Process_Details[Input or Output],"Input")</f>
        <v>0</v>
      </c>
      <c r="CG9" s="1">
        <f ca="1">SUMIFS(Table_Process_Details[RV Physical Mass per kg API (METAL)],Table_Process_Details[Display Name],Table_Process_Details[[#This Row],[Unique Process Inputs]],Table_Process_Details[Input or Output],"Input")</f>
        <v>0</v>
      </c>
      <c r="CH9" s="1">
        <f ca="1">SUMIFS(Table_Process_Details[RV Physical Mass per kg API (SOLVENT)],Table_Process_Details[Display Name],Table_Process_Details[[#This Row],[Unique Process Inputs]],Table_Process_Details[Input or Output],"Input")</f>
        <v>0</v>
      </c>
      <c r="CI9" s="1">
        <f ca="1">SUMIFS(Table_Process_Details[RV Physical Mass per kg API (WATER)],Table_Process_Details[Display Name],Table_Process_Details[[#This Row],[Unique Process Inputs]],Table_Process_Details[Input or Output],"Input")</f>
        <v>0</v>
      </c>
      <c r="CJ9" s="1">
        <f ca="1">SUMIFS(Table_Process_Details[RV Physical Mass per kg API (ENZ&amp;PLNT)],Table_Process_Details[Display Name],Table_Process_Details[[#This Row],[Unique Process Inputs]],Table_Process_Details[Input or Output],"Input")</f>
        <v>0</v>
      </c>
      <c r="CK9" s="1">
        <f ca="1">SUMIFS(Table_Process_Details[RV Physical Mass per kg API (OTHER)],Table_Process_Details[Display Name],Table_Process_Details[[#This Row],[Unique Process Inputs]],Table_Process_Details[Input or Output],"Input")</f>
        <v>0</v>
      </c>
      <c r="CL9" s="22" t="str">
        <f ca="1">INDEX(Table_Process_Details[Unique Process Inputs],MATCH(Table_Process_Details[[#This Row],['[Physical Mass per kg API'] of Unique Inputs Sorted by '[Physical Mass per kg API']]],Table_Process_Details[Total '[Physical Mass per kg API'] of Unique Inputs],0))</f>
        <v>DMF</v>
      </c>
      <c r="CM9" s="22">
        <f ca="1">IF(LARGE(Table_Process_Details[Total '[Physical Mass per kg API'] of Unique Inputs],Table_Process_Details[[#This Row],[Table Row]])=0,NA(),LARGE(Table_Process_Details[Total '[Physical Mass per kg API'] of Unique Inputs],Table_Process_Details[[#This Row],[Table Row]]))</f>
        <v>10.559512832662099</v>
      </c>
      <c r="CN9" s="22">
        <f ca="1">SUM(OFFSET(Table_Process_Details['[Physical Mass per kg API'] of Unique Inputs Sorted by '[Physical Mass per kg API']],0,0,Table_Process_Details[[#This Row],[Table Row]]))</f>
        <v>98.355994451330602</v>
      </c>
      <c r="CO9" s="22" t="str">
        <f ca="1">"("&amp;TEXT(Table_Process_Details[[#This Row],['[Physical Mass per kg API'] of Unique Inputs Sorted by '[Physical Mass per kg API']]]/SUMIF(Table_Process_Details['[Physical Mass per kg API'] of Unique Inputs Sorted by '[Physical Mass per kg API']],"&lt;&gt;#N/A"),"0%")&amp;")"</f>
        <v>(7%)</v>
      </c>
      <c r="CP9" s="22">
        <f ca="1">INDEX(Table_Process_Details[Total '[Physical Mass per kg API'] of Unique Inputs (REAGENT)],MATCH(Table_Process_Details[[#This Row],[Unique Inputs Sorted by '[Physical Mass per kg API']]],Table_Process_Details[Unique Process Inputs],0))</f>
        <v>0</v>
      </c>
      <c r="CQ9" s="22">
        <f ca="1">INDEX(Table_Process_Details[Total '[Physical Mass per kg API'] of Unique Inputs (METAL)],MATCH(Table_Process_Details[[#This Row],[Unique Inputs Sorted by '[Physical Mass per kg API']]],Table_Process_Details[Unique Process Inputs],0))</f>
        <v>0</v>
      </c>
      <c r="CR9" s="22">
        <f ca="1">INDEX(Table_Process_Details[Total '[Physical Mass per kg API'] of Unique Inputs (SOLVENT)],MATCH(Table_Process_Details[[#This Row],[Unique Inputs Sorted by '[Physical Mass per kg API']]],Table_Process_Details[Unique Process Inputs],0))</f>
        <v>10.559512832662099</v>
      </c>
      <c r="CS9" s="22">
        <f ca="1">INDEX(Table_Process_Details[Total '[Physical Mass per kg API'] of Unique Inputs (WATER)],MATCH(Table_Process_Details[[#This Row],[Unique Inputs Sorted by '[Physical Mass per kg API']]],Table_Process_Details[Unique Process Inputs],0))</f>
        <v>0</v>
      </c>
      <c r="CT9" s="22">
        <f ca="1">INDEX(Table_Process_Details[Total '[Physical Mass per kg API'] of Unique Inputs (ENZ&amp;PLNT)],MATCH(Table_Process_Details[[#This Row],[Unique Inputs Sorted by '[Physical Mass per kg API']]],Table_Process_Details[Unique Process Inputs],0))</f>
        <v>0</v>
      </c>
      <c r="CU9" s="22">
        <f ca="1">INDEX(Table_Process_Details[Total '[Physical Mass per kg API'] of Unique Inputs (OTHER)],MATCH(Table_Process_Details[[#This Row],[Unique Inputs Sorted by '[Physical Mass per kg API']]],Table_Process_Details[Unique Process Inputs],0))</f>
        <v>0</v>
      </c>
      <c r="CV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 s="22">
        <f ca="1">SUMIFS(Table_Process_Details[RV Mass Net (kg) per kg API],Table_Process_Details[Display Name],Table_Process_Details[[#This Row],[Unique Process Inputs]],Table_Process_Details[Input or Output],"Input")</f>
        <v>0</v>
      </c>
      <c r="DD9" s="22">
        <f ca="1">SUMIFS(Table_Process_Details[RV Mass Net (kg) per kg API (REAGENT)],Table_Process_Details[Display Name],Table_Process_Details[[#This Row],[Unique Process Inputs]],Table_Process_Details[Input or Output],"Input")</f>
        <v>0</v>
      </c>
      <c r="DE9" s="22">
        <f ca="1">SUMIFS(Table_Process_Details[RV Mass Net (kg) per kg API (METAL)],Table_Process_Details[Display Name],Table_Process_Details[[#This Row],[Unique Process Inputs]],Table_Process_Details[Input or Output],"Input")</f>
        <v>0</v>
      </c>
      <c r="DF9" s="22">
        <f ca="1">SUMIFS(Table_Process_Details[RV Mass Net (kg) per kg API (SOLVENT)],Table_Process_Details[Display Name],Table_Process_Details[[#This Row],[Unique Process Inputs]],Table_Process_Details[Input or Output],"Input")</f>
        <v>0</v>
      </c>
      <c r="DG9" s="22">
        <f ca="1">SUMIFS(Table_Process_Details[RV Mass Net (kg) per kg API (WATER)],Table_Process_Details[Display Name],Table_Process_Details[[#This Row],[Unique Process Inputs]],Table_Process_Details[Input or Output],"Input")</f>
        <v>0</v>
      </c>
      <c r="DH9" s="22">
        <f ca="1">SUMIFS(Table_Process_Details[RV Mass Net (kg) per kg API (ENZ&amp;PLNT)],Table_Process_Details[Display Name],Table_Process_Details[[#This Row],[Unique Process Inputs]],Table_Process_Details[Input or Output],"Input")</f>
        <v>0</v>
      </c>
      <c r="DI9" s="22">
        <f ca="1">SUMIFS(Table_Process_Details[RV Mass Net (kg) per kg API (OTHER)],Table_Process_Details[Display Name],Table_Process_Details[[#This Row],[Unique Process Inputs]],Table_Process_Details[Input or Output],"Input")</f>
        <v>0</v>
      </c>
      <c r="DJ9" s="22" t="str">
        <f ca="1">INDEX(Table_Process_Details[Unique Process Inputs],MATCH(Table_Process_Details[[#This Row],['[Mass Net (kg) per kg API'] of Unique Inputs Sorted by '[Mass Net (kg) per kg API']]],Table_Process_Details[Total '[Mass Net (kg) per kg API'] of Unique Inputs],0))</f>
        <v>reagent U (organic)</v>
      </c>
      <c r="DK9" s="22">
        <f ca="1">IF(LARGE(Table_Process_Details[Total '[Mass Net (kg) per kg API'] of Unique Inputs],Table_Process_Details[[#This Row],[Table Row]])=0,NA(),LARGE(Table_Process_Details[Total '[Mass Net (kg) per kg API'] of Unique Inputs],Table_Process_Details[[#This Row],[Table Row]]))</f>
        <v>11.485341259420279</v>
      </c>
      <c r="DL9" s="22">
        <f ca="1">SUM(OFFSET(Table_Process_Details['[Mass Net (kg) per kg API'] of Unique Inputs Sorted by '[Mass Net (kg) per kg API']],0,0,Table_Process_Details[[#This Row],[Table Row]]))</f>
        <v>85.860287221254112</v>
      </c>
      <c r="DM9" s="22" t="str">
        <f ca="1">"("&amp;TEXT(Table_Process_Details[[#This Row],['[Mass Net (kg) per kg API'] of Unique Inputs Sorted by '[Mass Net (kg) per kg API']]]/SUMIF(Table_Process_Details['[Mass Net (kg) per kg API'] of Unique Inputs Sorted by '[Mass Net (kg) per kg API']],"&lt;&gt;#N/A"),"0%")&amp;")"</f>
        <v>(9%)</v>
      </c>
      <c r="DN9" s="22">
        <f ca="1">INDEX(Table_Process_Details[Total '[Mass Net (kg) per kg API'] of Unique Inputs (REAGENT)], MATCH(Table_Process_Details[[#This Row],[Unique Inputs Sorted by '[Mass Net (kg) per kg API']]],Table_Process_Details[Unique Process Inputs],0))</f>
        <v>11.485341259420279</v>
      </c>
      <c r="DO9" s="22">
        <f ca="1">INDEX(Table_Process_Details[Total '[Mass Net (kg) per kg API'] of Unique Inputs (METAL)], MATCH(Table_Process_Details[[#This Row],[Unique Inputs Sorted by '[Mass Net (kg) per kg API']]],Table_Process_Details[Unique Process Inputs],0))</f>
        <v>0</v>
      </c>
      <c r="DP9" s="22">
        <f ca="1">INDEX(Table_Process_Details[Total '[Mass Net (kg) per kg API'] of Unique Inputs (SOLVENT)], MATCH(Table_Process_Details[[#This Row],[Unique Inputs Sorted by '[Mass Net (kg) per kg API']]],Table_Process_Details[Unique Process Inputs],0))</f>
        <v>0</v>
      </c>
      <c r="DQ9" s="22">
        <f ca="1">INDEX(Table_Process_Details[Total '[Mass Net (kg) per kg API'] of Unique Inputs (WATER)], MATCH(Table_Process_Details[[#This Row],[Unique Inputs Sorted by '[Mass Net (kg) per kg API']]],Table_Process_Details[Unique Process Inputs],0))</f>
        <v>0</v>
      </c>
      <c r="DR9" s="22">
        <f ca="1">INDEX(Table_Process_Details[Total '[Mass Net (kg) per kg API'] of Unique Inputs (ENZ&amp;PLNT)], MATCH(Table_Process_Details[[#This Row],[Unique Inputs Sorted by '[Mass Net (kg) per kg API']]],Table_Process_Details[Unique Process Inputs],0))</f>
        <v>0</v>
      </c>
      <c r="DS9" s="22">
        <f ca="1">INDEX(Table_Process_Details[Total '[Mass Net (kg) per kg API'] of Unique Inputs (OTHER)], MATCH(Table_Process_Details[[#This Row],[Unique Inputs Sorted by '[Mass Net (kg) per kg API']]],Table_Process_Details[Unique Process Inputs],0))</f>
        <v>0</v>
      </c>
      <c r="DT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 s="1">
        <f ca="1">SUMIFS(Table_Process_Details[RV Energy (MJ) per kg API],Table_Process_Details[Display Name],Table_Process_Details[[#This Row],[Unique Process Inputs]],Table_Process_Details[Input or Output],"Input")</f>
        <v>0</v>
      </c>
      <c r="EB9" s="1">
        <f ca="1">SUMIFS(Table_Process_Details[RV Energy (MJ) per kg API (REAGENT)],Table_Process_Details[Display Name],Table_Process_Details[[#This Row],[Unique Process Inputs]],Table_Process_Details[Input or Output],"Input")</f>
        <v>0</v>
      </c>
      <c r="EC9" s="1">
        <f ca="1">SUMIFS(Table_Process_Details[RV Energy (MJ) per kg API (METAL)],Table_Process_Details[Display Name],Table_Process_Details[[#This Row],[Unique Process Inputs]],Table_Process_Details[Input or Output],"Input")</f>
        <v>0</v>
      </c>
      <c r="ED9" s="1">
        <f ca="1">SUMIFS(Table_Process_Details[RV Energy (MJ) per kg API (SOLVENT)],Table_Process_Details[Display Name],Table_Process_Details[[#This Row],[Unique Process Inputs]],Table_Process_Details[Input or Output],"Input")</f>
        <v>0</v>
      </c>
      <c r="EE9" s="1">
        <f ca="1">SUMIFS(Table_Process_Details[RV Energy (MJ) per kg API (WATER)],Table_Process_Details[Display Name],Table_Process_Details[[#This Row],[Unique Process Inputs]],Table_Process_Details[Input or Output],"Input")</f>
        <v>0</v>
      </c>
      <c r="EF9" s="1">
        <f ca="1">SUMIFS(Table_Process_Details[RV Energy (MJ) per kg API (ENZ&amp;PLNT)],Table_Process_Details[Display Name],Table_Process_Details[[#This Row],[Unique Process Inputs]],Table_Process_Details[Input or Output],"Input")</f>
        <v>0</v>
      </c>
      <c r="EG9" s="1">
        <f ca="1">SUMIFS(Table_Process_Details[RV Energy (MJ) per kg API (OTHER)],Table_Process_Details[Display Name],Table_Process_Details[[#This Row],[Unique Process Inputs]],Table_Process_Details[Input or Output],"Input")</f>
        <v>0</v>
      </c>
      <c r="EH9" s="1" t="str">
        <f ca="1">INDEX(Table_Process_Details[Unique Process Inputs],MATCH(Table_Process_Details[[#This Row],['[Energy (MJ) per kg API'] of Unique Inputs Sorted by '[Energy (MJ) per kg API']]],Table_Process_Details[Total '[Energy (MJ) per kg API'] of Unique Inputs],0))</f>
        <v>acetonitrile</v>
      </c>
      <c r="EI9" s="22">
        <f ca="1">IF(LARGE(Table_Process_Details[Total '[Energy (MJ) per kg API'] of Unique Inputs],Table_Process_Details[[#This Row],[Table Row]])=0,NA(),LARGE(Table_Process_Details[Total '[Energy (MJ) per kg API'] of Unique Inputs],Table_Process_Details[[#This Row],[Table Row]]))</f>
        <v>572.45426354418601</v>
      </c>
      <c r="EJ9" s="22">
        <f ca="1">SUM(OFFSET(Table_Process_Details['[Energy (MJ) per kg API'] of Unique Inputs Sorted by '[Energy (MJ) per kg API']],0,0,Table_Process_Details[[#This Row],[Table Row]]))</f>
        <v>3768.0835164311311</v>
      </c>
      <c r="EK9" s="22" t="str">
        <f ca="1">"("&amp;TEXT(Table_Process_Details[[#This Row],['[Energy (MJ) per kg API'] of Unique Inputs Sorted by '[Energy (MJ) per kg API']]]/SUMIF(Table_Process_Details['[Energy (MJ) per kg API'] of Unique Inputs Sorted by '[Energy (MJ) per kg API']],"&lt;&gt;#N/A"),"0%")&amp;")"</f>
        <v>(11%)</v>
      </c>
      <c r="EL9" s="22">
        <f ca="1">INDEX(Table_Process_Details[Total '[Energy (MJ) per kg API'] of Unique Inputs (REAGENT)], MATCH(Table_Process_Details[[#This Row],[Unique Inputs Sorted by '[Energy (MJ) per kg API']]],Table_Process_Details[Unique Process Inputs],0))</f>
        <v>0</v>
      </c>
      <c r="EM9" s="22">
        <f ca="1">INDEX(Table_Process_Details[Total '[Energy (MJ) per kg API'] of Unique Inputs (METAL)], MATCH(Table_Process_Details[[#This Row],[Unique Inputs Sorted by '[Energy (MJ) per kg API']]],Table_Process_Details[Unique Process Inputs],0))</f>
        <v>0</v>
      </c>
      <c r="EN9" s="22">
        <f ca="1">INDEX(Table_Process_Details[Total '[Energy (MJ) per kg API'] of Unique Inputs (SOLVENT)], MATCH(Table_Process_Details[[#This Row],[Unique Inputs Sorted by '[Energy (MJ) per kg API']]],Table_Process_Details[Unique Process Inputs],0))</f>
        <v>572.45426354418601</v>
      </c>
      <c r="EO9" s="22">
        <f ca="1">INDEX(Table_Process_Details[Total '[Energy (MJ) per kg API'] of Unique Inputs (WATER)], MATCH(Table_Process_Details[[#This Row],[Unique Inputs Sorted by '[Energy (MJ) per kg API']]],Table_Process_Details[Unique Process Inputs],0))</f>
        <v>0</v>
      </c>
      <c r="EP9" s="22">
        <f ca="1">INDEX(Table_Process_Details[Total '[Energy (MJ) per kg API'] of Unique Inputs (ENZ&amp;PLNT)], MATCH(Table_Process_Details[[#This Row],[Unique Inputs Sorted by '[Energy (MJ) per kg API']]],Table_Process_Details[Unique Process Inputs],0))</f>
        <v>0</v>
      </c>
      <c r="EQ9" s="22">
        <f ca="1">INDEX(Table_Process_Details[Total '[Energy (MJ) per kg API'] of Unique Inputs (OTHER)], MATCH(Table_Process_Details[[#This Row],[Unique Inputs Sorted by '[Energy (MJ) per kg API']]],Table_Process_Details[Unique Process Inputs],0))</f>
        <v>0</v>
      </c>
      <c r="ER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 s="22">
        <f ca="1">SUMIFS(Table_Process_Details[RV GWP (kg CO2 equiv.) per kg API],Table_Process_Details[Display Name],Table_Process_Details[[#This Row],[Unique Process Inputs]],Table_Process_Details[Input or Output],"Input")</f>
        <v>0</v>
      </c>
      <c r="EZ9" s="1">
        <f ca="1">SUMIFS(Table_Process_Details[RV GWP (kg CO2 equiv.) per kg API (REAGENT)],Table_Process_Details[Display Name],Table_Process_Details[[#This Row],[Unique Process Inputs]],Table_Process_Details[Input or Output],"Input")</f>
        <v>0</v>
      </c>
      <c r="FA9" s="1">
        <f ca="1">SUMIFS(Table_Process_Details[RV GWP (kg CO2 equiv.) per kg API (METAL)],Table_Process_Details[Display Name],Table_Process_Details[[#This Row],[Unique Process Inputs]],Table_Process_Details[Input or Output],"Input")</f>
        <v>0</v>
      </c>
      <c r="FB9" s="1">
        <f ca="1">SUMIFS(Table_Process_Details[RV GWP (kg CO2 equiv.) per kg API (SOLVENT)],Table_Process_Details[Display Name],Table_Process_Details[[#This Row],[Unique Process Inputs]],Table_Process_Details[Input or Output],"Input")</f>
        <v>0</v>
      </c>
      <c r="FC9" s="1">
        <f ca="1">SUMIFS(Table_Process_Details[RV GWP (kg CO2 equiv.) per kg API (WATER)],Table_Process_Details[Display Name],Table_Process_Details[[#This Row],[Unique Process Inputs]],Table_Process_Details[Input or Output],"Input")</f>
        <v>0</v>
      </c>
      <c r="FD9" s="1">
        <f ca="1">SUMIFS(Table_Process_Details[RV GWP (kg CO2 equiv.) per kg API (ENZ&amp;PLNT)],Table_Process_Details[Display Name],Table_Process_Details[[#This Row],[Unique Process Inputs]],Table_Process_Details[Input or Output],"Input")</f>
        <v>0</v>
      </c>
      <c r="FE9" s="1">
        <f ca="1">SUMIFS(Table_Process_Details[RV GWP (kg CO2 equiv.) per kg API (OTHER)],Table_Process_Details[Display Name],Table_Process_Details[[#This Row],[Unique Process Inputs]],Table_Process_Details[Input or Output],"Input")</f>
        <v>0</v>
      </c>
      <c r="FF9" s="22" t="str">
        <f ca="1">INDEX(Table_Process_Details[Unique Process Inputs],MATCH(Table_Process_Details[[#This Row],['[GWP (kg CO2 equiv.) per kg API'] of Unique Inputs Sorted by '[GWP (kg CO2 equiv.) per kg API']]],Table_Process_Details[Total '[GWP (kg CO2 equiv.) per kg API'] of Unique Inputs],0))</f>
        <v>reagent U (organic)</v>
      </c>
      <c r="FG9" s="22">
        <f ca="1">IF(LARGE(Table_Process_Details[Total '[GWP (kg CO2 equiv.) per kg API'] of Unique Inputs],Table_Process_Details[[#This Row],[Table Row]])=0,NA(),LARGE(Table_Process_Details[Total '[GWP (kg CO2 equiv.) per kg API'] of Unique Inputs],Table_Process_Details[[#This Row],[Table Row]]))</f>
        <v>14.44890928137165</v>
      </c>
      <c r="FH9" s="22">
        <f ca="1">SUM(OFFSET(Table_Process_Details['[GWP (kg CO2 equiv.) per kg API'] of Unique Inputs Sorted by '[GWP (kg CO2 equiv.) per kg API']],0,0,Table_Process_Details[[#This Row],[Table Row]]))</f>
        <v>108.69028691098848</v>
      </c>
      <c r="FI9" s="22" t="str">
        <f ca="1">"("&amp;TEXT(Table_Process_Details[[#This Row],['[GWP (kg CO2 equiv.) per kg API'] of Unique Inputs Sorted by '[GWP (kg CO2 equiv.) per kg API']]]/SUMIF(Table_Process_Details['[GWP (kg CO2 equiv.) per kg API'] of Unique Inputs Sorted by '[GWP (kg CO2 equiv.) per kg API']],"&lt;&gt;#N/A"),"0%")&amp;")"</f>
        <v>(9%)</v>
      </c>
      <c r="FJ9" s="22">
        <f ca="1">INDEX(Table_Process_Details[Total '[GWP (kg CO2 equiv.) per kg API'] of Unique Inputs (REAGENT)], MATCH(Table_Process_Details[[#This Row],[Unique Inputs Sorted by '[GWP (kg CO2 equiv.) per kg API']]],Table_Process_Details[Unique Process Inputs],0))</f>
        <v>14.44890928137165</v>
      </c>
      <c r="FK9" s="22">
        <f ca="1">INDEX(Table_Process_Details[Total '[GWP (kg CO2 equiv.) per kg API'] of Unique Inputs (METAL)], MATCH(Table_Process_Details[[#This Row],[Unique Inputs Sorted by '[GWP (kg CO2 equiv.) per kg API']]],Table_Process_Details[Unique Process Inputs],0))</f>
        <v>0</v>
      </c>
      <c r="FL9" s="22">
        <f ca="1">INDEX(Table_Process_Details[Total '[GWP (kg CO2 equiv.) per kg API'] of Unique Inputs (SOLVENT)], MATCH(Table_Process_Details[[#This Row],[Unique Inputs Sorted by '[GWP (kg CO2 equiv.) per kg API']]],Table_Process_Details[Unique Process Inputs],0))</f>
        <v>0</v>
      </c>
      <c r="FM9" s="22">
        <f ca="1">INDEX(Table_Process_Details[Total '[GWP (kg CO2 equiv.) per kg API'] of Unique Inputs (WATER)], MATCH(Table_Process_Details[[#This Row],[Unique Inputs Sorted by '[GWP (kg CO2 equiv.) per kg API']]],Table_Process_Details[Unique Process Inputs],0))</f>
        <v>0</v>
      </c>
      <c r="FN9" s="22">
        <f ca="1">INDEX(Table_Process_Details[Total '[GWP (kg CO2 equiv.) per kg API'] of Unique Inputs (ENZ&amp;PLNT)], MATCH(Table_Process_Details[[#This Row],[Unique Inputs Sorted by '[GWP (kg CO2 equiv.) per kg API']]],Table_Process_Details[Unique Process Inputs],0))</f>
        <v>0</v>
      </c>
      <c r="FO9" s="22">
        <f ca="1">INDEX(Table_Process_Details[Total '[GWP (kg CO2 equiv.) per kg API'] of Unique Inputs (OTHER)], MATCH(Table_Process_Details[[#This Row],[Unique Inputs Sorted by '[GWP (kg CO2 equiv.) per kg API']]],Table_Process_Details[Unique Process Inputs],0))</f>
        <v>0</v>
      </c>
      <c r="FP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 s="22">
        <f ca="1">SUMIFS(Table_Process_Details[RV Acidification (kg SO2 equiv.) per kg API],Table_Process_Details[Display Name],Table_Process_Details[[#This Row],[Unique Process Inputs]],Table_Process_Details[Input or Output],"Input")</f>
        <v>0</v>
      </c>
      <c r="FX9" s="1">
        <f ca="1">SUMIFS(Table_Process_Details[RV Acidification (kg SO2 equiv.) per kg API (REAGENT)],Table_Process_Details[Display Name],Table_Process_Details[[#This Row],[Unique Process Inputs]],Table_Process_Details[Input or Output],"Input")</f>
        <v>0</v>
      </c>
      <c r="FY9" s="1">
        <f ca="1">SUMIFS(Table_Process_Details[RV Acidification (kg SO2 equiv.) per kg API (METAL)],Table_Process_Details[Display Name],Table_Process_Details[[#This Row],[Unique Process Inputs]],Table_Process_Details[Input or Output],"Input")</f>
        <v>0</v>
      </c>
      <c r="FZ9" s="1">
        <f ca="1">SUMIFS(Table_Process_Details[RV Acidification (kg SO2 equiv.) per kg API (SOLVENT)],Table_Process_Details[Display Name],Table_Process_Details[[#This Row],[Unique Process Inputs]],Table_Process_Details[Input or Output],"Input")</f>
        <v>0</v>
      </c>
      <c r="GA9" s="1">
        <f ca="1">SUMIFS(Table_Process_Details[RV Acidification (kg SO2 equiv.) per kg API (WATER)],Table_Process_Details[Display Name],Table_Process_Details[[#This Row],[Unique Process Inputs]],Table_Process_Details[Input or Output],"Input")</f>
        <v>0</v>
      </c>
      <c r="GB9" s="1">
        <f ca="1">SUMIFS(Table_Process_Details[RV Acidification (kg SO2 equiv.) per kg API (ENZ&amp;PLNT)],Table_Process_Details[Display Name],Table_Process_Details[[#This Row],[Unique Process Inputs]],Table_Process_Details[Input or Output],"Input")</f>
        <v>0</v>
      </c>
      <c r="GC9" s="1">
        <f ca="1">SUMIFS(Table_Process_Details[RV Acidification (kg SO2 equiv.) per kg API (OTHER)],Table_Process_Details[Display Name],Table_Process_Details[[#This Row],[Unique Process Inputs]],Table_Process_Details[Input or Output],"Input")</f>
        <v>0</v>
      </c>
      <c r="GD9"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T (organic)</v>
      </c>
      <c r="GE9" s="22">
        <f ca="1">IF(LARGE(Table_Process_Details[Total '[Acidification (kg SO2 equiv.) per kg API'] of Unique Inputs],Table_Process_Details[[#This Row],[Table Row]])=0,NA(),LARGE(Table_Process_Details[Total '[Acidification (kg SO2 equiv.) per kg API'] of Unique Inputs],Table_Process_Details[[#This Row],[Table Row]]))</f>
        <v>4.943195629384535E-2</v>
      </c>
      <c r="GF9" s="22">
        <f ca="1">SUM(OFFSET(Table_Process_Details['[Acidification (kg SO2 equiv.) per kg API'] of Unique Inputs Sorted by '[Acidification (kg SO2 equiv.) per kg API']],0,0,Table_Process_Details[[#This Row],[Table Row]]))</f>
        <v>0.44718484981078377</v>
      </c>
      <c r="GG9"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(8%)</v>
      </c>
      <c r="GH9" s="22">
        <f ca="1">INDEX(Table_Process_Details[Total '[Acidification (kg SO2 equiv.) per kg API'] of Unique Inputs (REAGENT)], MATCH(Table_Process_Details[[#This Row],[Unique Inputs Sorted by '[Acidification (kg SO2 equiv.) per kg API']]],Table_Process_Details[Unique Process Inputs],0))</f>
        <v>4.943195629384535E-2</v>
      </c>
      <c r="GI9" s="22">
        <f ca="1">INDEX(Table_Process_Details[Total '[Acidification (kg SO2 equiv.) per kg API'] of Unique Inputs (METAL)], MATCH(Table_Process_Details[[#This Row],[Unique Inputs Sorted by '[Acidification (kg SO2 equiv.) per kg API']]],Table_Process_Details[Unique Process Inputs],0))</f>
        <v>0</v>
      </c>
      <c r="GJ9" s="22">
        <f ca="1">INDEX(Table_Process_Details[Total '[Acidification (kg SO2 equiv.) per kg API'] of Unique Inputs (SOLVENT)], MATCH(Table_Process_Details[[#This Row],[Unique Inputs Sorted by '[Acidification (kg SO2 equiv.) per kg API']]],Table_Process_Details[Unique Process Inputs],0))</f>
        <v>0</v>
      </c>
      <c r="GK9" s="22">
        <f ca="1">INDEX(Table_Process_Details[Total '[Acidification (kg SO2 equiv.) per kg API'] of Unique Inputs (WATER)], MATCH(Table_Process_Details[[#This Row],[Unique Inputs Sorted by '[Acidification (kg SO2 equiv.) per kg API']]],Table_Process_Details[Unique Process Inputs],0))</f>
        <v>0</v>
      </c>
      <c r="GL9" s="22">
        <f ca="1">INDEX(Table_Process_Details[Total '[Acidification (kg SO2 equiv.) per kg API'] of Unique Inputs (ENZ&amp;PLNT)], MATCH(Table_Process_Details[[#This Row],[Unique Inputs Sorted by '[Acidification (kg SO2 equiv.) per kg API']]],Table_Process_Details[Unique Process Inputs],0))</f>
        <v>0</v>
      </c>
      <c r="GM9" s="22">
        <f ca="1">INDEX(Table_Process_Details[Total '[Acidification (kg SO2 equiv.) per kg API'] of Unique Inputs (OTHER)], MATCH(Table_Process_Details[[#This Row],[Unique Inputs Sorted by '[Acidification (kg SO2 equiv.) per kg API']]],Table_Process_Details[Unique Process Inputs],0))</f>
        <v>0</v>
      </c>
      <c r="GN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 s="22">
        <f ca="1">SUMIFS(Table_Process_Details[RV Eutrophication (kg phosphate equiv.) per kg API],Table_Process_Details[Display Name],Table_Process_Details[[#This Row],[Unique Process Inputs]],Table_Process_Details[Input or Output],"Input")</f>
        <v>0</v>
      </c>
      <c r="GV9" s="1">
        <f ca="1">SUMIFS(Table_Process_Details[RV Eutrophication (kg phosphate equiv.) per kg API (REAGENT)],Table_Process_Details[Display Name],Table_Process_Details[[#This Row],[Unique Process Inputs]],Table_Process_Details[Input or Output],"Input")</f>
        <v>0</v>
      </c>
      <c r="GW9" s="1">
        <f ca="1">SUMIFS(Table_Process_Details[RV Eutrophication (kg phosphate equiv.) per kg API (METAL)],Table_Process_Details[Display Name],Table_Process_Details[[#This Row],[Unique Process Inputs]],Table_Process_Details[Input or Output],"Input")</f>
        <v>0</v>
      </c>
      <c r="GX9" s="1">
        <f ca="1">SUMIFS(Table_Process_Details[RV Eutrophication (kg phosphate equiv.) per kg API (SOLVENT)],Table_Process_Details[Display Name],Table_Process_Details[[#This Row],[Unique Process Inputs]],Table_Process_Details[Input or Output],"Input")</f>
        <v>0</v>
      </c>
      <c r="GY9" s="1">
        <f ca="1">SUMIFS(Table_Process_Details[RV Eutrophication (kg phosphate equiv.) per kg API (WATER)],Table_Process_Details[Display Name],Table_Process_Details[[#This Row],[Unique Process Inputs]],Table_Process_Details[Input or Output],"Input")</f>
        <v>0</v>
      </c>
      <c r="GZ9" s="1">
        <f ca="1">SUMIFS(Table_Process_Details[RV Eutrophication (kg phosphate equiv.) per kg API (ENZ&amp;PLNT)],Table_Process_Details[Display Name],Table_Process_Details[[#This Row],[Unique Process Inputs]],Table_Process_Details[Input or Output],"Input")</f>
        <v>0</v>
      </c>
      <c r="HA9" s="1">
        <f ca="1">SUMIFS(Table_Process_Details[RV Eutrophication (kg phosphate equiv.) per kg API (OTHER)],Table_Process_Details[Display Name],Table_Process_Details[[#This Row],[Unique Process Inputs]],Table_Process_Details[Input or Output],"Input")</f>
        <v>0</v>
      </c>
      <c r="HB9"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U (organic)</v>
      </c>
      <c r="HC9" s="22">
        <f ca="1">IF(LARGE(Table_Process_Details[Total '[Eutrophication (kg posphate equiv.) per kg API'] of Unique Inputs],Table_Process_Details[[#This Row],[Table Row]])=0,NA(),LARGE(Table_Process_Details[Total '[Eutrophication (kg posphate equiv.) per kg API'] of Unique Inputs],Table_Process_Details[[#This Row],[Table Row]]))</f>
        <v>4.9475795316098616E-2</v>
      </c>
      <c r="HD9" s="22">
        <f ca="1">SUM(OFFSET(Table_Process_Details['[Eutrophication (kg posphate equiv.) per kg API'] of Unique Inputs Sorted by '[Eutrophication (kg posphate equiv.) per kg API']],0,0,Table_Process_Details[[#This Row],[Table Row]]))</f>
        <v>1.2786308843512852</v>
      </c>
      <c r="HE9"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(4%)</v>
      </c>
      <c r="HF9" s="1">
        <f ca="1">INDEX(Table_Process_Details[Total '[Eutrophication (kg posphate equiv.) per kg API'] of Unique Inputs (REAGENT)], MATCH(Table_Process_Details[[#This Row],[Unique Inputs Sorted by '[Eutrophication (kg posphate equiv.) per kg API']]],Table_Process_Details[Unique Process Inputs],0))</f>
        <v>4.9475795316098616E-2</v>
      </c>
      <c r="HG9" s="1">
        <f ca="1">INDEX(Table_Process_Details[Total '[Eutrophication (kg posphate equiv.) per kg API'] of Unique Inputs (METAL)], MATCH(Table_Process_Details[[#This Row],[Unique Inputs Sorted by '[Eutrophication (kg posphate equiv.) per kg API']]],Table_Process_Details[Unique Process Inputs],0))</f>
        <v>0</v>
      </c>
      <c r="HH9" s="1">
        <f ca="1">INDEX(Table_Process_Details[Total '[Eutrophication (kg posphate equiv.) per kg API'] of Unique Inputs (SOLVENT)], MATCH(Table_Process_Details[[#This Row],[Unique Inputs Sorted by '[Eutrophication (kg posphate equiv.) per kg API']]],Table_Process_Details[Unique Process Inputs],0))</f>
        <v>0</v>
      </c>
      <c r="HI9" s="1">
        <f ca="1">INDEX(Table_Process_Details[Total '[Eutrophication (kg posphate equiv.) per kg API'] of Unique Inputs (WATER)], MATCH(Table_Process_Details[[#This Row],[Unique Inputs Sorted by '[Eutrophication (kg posphate equiv.) per kg API']]],Table_Process_Details[Unique Process Inputs],0))</f>
        <v>0</v>
      </c>
      <c r="HJ9" s="1">
        <f ca="1">INDEX(Table_Process_Details[Total '[Eutrophication (kg posphate equiv.) per kg API'] of Unique Inputs (ENZ&amp;PLNT)], MATCH(Table_Process_Details[[#This Row],[Unique Inputs Sorted by '[Eutrophication (kg posphate equiv.) per kg API']]],Table_Process_Details[Unique Process Inputs],0))</f>
        <v>0</v>
      </c>
      <c r="HK9" s="1">
        <f ca="1">INDEX(Table_Process_Details[Total '[Eutrophication (kg posphate equiv.) per kg API'] of Unique Inputs (OTHER)], MATCH(Table_Process_Details[[#This Row],[Unique Inputs Sorted by '[Eutrophication (kg posphate equiv.) per kg API']]],Table_Process_Details[Unique Process Inputs],0))</f>
        <v>0</v>
      </c>
      <c r="HL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 s="1">
        <f ca="1">SUMIFS(Table_Process_Details[RV Water (kg) per kg API],Table_Process_Details[Display Name],Table_Process_Details[[#This Row],[Unique Process Inputs]],Table_Process_Details[Input or Output],"Input")</f>
        <v>0</v>
      </c>
      <c r="HT9" s="1">
        <f ca="1">SUMIFS(Table_Process_Details[RV Water (kg) per kg API (REAGENT)],Table_Process_Details[Display Name],Table_Process_Details[[#This Row],[Unique Process Inputs]],Table_Process_Details[Input or Output],"Input")</f>
        <v>0</v>
      </c>
      <c r="HU9" s="1">
        <f ca="1">SUMIFS(Table_Process_Details[RV Water (kg) per kg API (METAL)],Table_Process_Details[Display Name],Table_Process_Details[[#This Row],[Unique Process Inputs]],Table_Process_Details[Input or Output],"Input")</f>
        <v>0</v>
      </c>
      <c r="HV9" s="1">
        <f ca="1">SUMIFS(Table_Process_Details[RV Water (kg) per kg API (SOLVENT)],Table_Process_Details[Display Name],Table_Process_Details[[#This Row],[Unique Process Inputs]],Table_Process_Details[Input or Output],"Input")</f>
        <v>0</v>
      </c>
      <c r="HW9" s="1">
        <f ca="1">SUMIFS(Table_Process_Details[RV Water (kg) per kg API (WATER)],Table_Process_Details[Display Name],Table_Process_Details[[#This Row],[Unique Process Inputs]],Table_Process_Details[Input or Output],"Input")</f>
        <v>0</v>
      </c>
      <c r="HX9" s="1">
        <f ca="1">SUMIFS(Table_Process_Details[RV Water (kg) per kg API (ENZ&amp;PLNT)],Table_Process_Details[Display Name],Table_Process_Details[[#This Row],[Unique Process Inputs]],Table_Process_Details[Input or Output],"Input")</f>
        <v>0</v>
      </c>
      <c r="HY9" s="1">
        <f ca="1">SUMIFS(Table_Process_Details[RV Water (kg) per kg API (OTHER)],Table_Process_Details[Display Name],Table_Process_Details[[#This Row],[Unique Process Inputs]],Table_Process_Details[Input or Output],"Input")</f>
        <v>0</v>
      </c>
      <c r="HZ9" s="22" t="str">
        <f ca="1">INDEX(Table_Process_Details[Unique Process Inputs],MATCH(Table_Process_Details[[#This Row],['[Water (kg) per kg API'] of Unique Inputs Sorted by '[Water (kg) per kg API']]],Table_Process_Details[Total '[Water (kg) per kg API'] of Unique Inputs],0))</f>
        <v>reagent T (organic)</v>
      </c>
      <c r="IA9" s="22">
        <f ca="1">IF(LARGE(Table_Process_Details[Total '[Water (kg) per kg API'] of Unique Inputs],Table_Process_Details[[#This Row],[Table Row]])=0,NA(),LARGE(Table_Process_Details[Total '[Water (kg) per kg API'] of Unique Inputs],Table_Process_Details[[#This Row],[Table Row]]))</f>
        <v>64.725208434102043</v>
      </c>
      <c r="IB9" s="1">
        <f ca="1">SUM(OFFSET(Table_Process_Details['[Water (kg) per kg API'] of Unique Inputs Sorted by '[Water (kg) per kg API']],0,0,Table_Process_Details[[#This Row],[Table Row]]))</f>
        <v>672.88671610762151</v>
      </c>
      <c r="IC9" s="1" t="str">
        <f ca="1">"("&amp;TEXT(Table_Process_Details[[#This Row],['[Water (kg) per kg API'] of Unique Inputs Sorted by '[Water (kg) per kg API']]]/SUMIF(Table_Process_Details['[Water (kg) per kg API'] of Unique Inputs Sorted by '[Water (kg) per kg API']],"&lt;&gt;#N/A"),"0%")&amp;")"</f>
        <v>(7%)</v>
      </c>
      <c r="ID9" s="1">
        <f ca="1">INDEX(Table_Process_Details[Total '[Water (kg) per kg API'] of Unique Inputs (REAGENT)], MATCH(Table_Process_Details[[#This Row],[Unique Inputs Sorted by '[Water (kg) per kg API']]],Table_Process_Details[Unique Process Inputs],0))</f>
        <v>64.725208434102043</v>
      </c>
      <c r="IE9" s="1">
        <f ca="1">INDEX(Table_Process_Details[Total '[Water (kg) per kg API'] of Unique Inputs (METAL)], MATCH(Table_Process_Details[[#This Row],[Unique Inputs Sorted by '[Water (kg) per kg API']]],Table_Process_Details[Unique Process Inputs],0))</f>
        <v>0</v>
      </c>
      <c r="IF9" s="1">
        <f ca="1">INDEX(Table_Process_Details[Total '[Water (kg) per kg API'] of Unique Inputs (SOLVENT)], MATCH(Table_Process_Details[[#This Row],[Unique Inputs Sorted by '[Water (kg) per kg API']]],Table_Process_Details[Unique Process Inputs],0))</f>
        <v>0</v>
      </c>
      <c r="IG9" s="1">
        <f ca="1">INDEX(Table_Process_Details[Total '[Water (kg) per kg API'] of Unique Inputs (WATER)], MATCH(Table_Process_Details[[#This Row],[Unique Inputs Sorted by '[Water (kg) per kg API']]],Table_Process_Details[Unique Process Inputs],0))</f>
        <v>0</v>
      </c>
      <c r="IH9" s="1">
        <f ca="1">INDEX(Table_Process_Details[Total '[Water (kg) per kg API'] of Unique Inputs (ENZ&amp;PLNT)], MATCH(Table_Process_Details[[#This Row],[Unique Inputs Sorted by '[Water (kg) per kg API']]],Table_Process_Details[Unique Process Inputs],0))</f>
        <v>0</v>
      </c>
      <c r="II9" s="1">
        <f ca="1">INDEX(Table_Process_Details[Total '[Water (kg) per kg API'] of Unique Inputs (OTHER)], MATCH(Table_Process_Details[[#This Row],[Unique Inputs Sorted by '[Water (kg) per kg API']]],Table_Process_Details[Unique Process Inputs],0))</f>
        <v>0</v>
      </c>
    </row>
    <row r="10" spans="1:250" s="119" customFormat="1" x14ac:dyDescent="0.25">
      <c r="A10" s="126" t="str">
        <f>A9</f>
        <v>1b) Virtual solution prep for (1): 10 wt% reagent B (inorganic) in water</v>
      </c>
      <c r="B10" s="127" t="s">
        <v>5</v>
      </c>
      <c r="C10" s="127" t="s">
        <v>155</v>
      </c>
      <c r="D10" s="126" t="s">
        <v>155</v>
      </c>
      <c r="E10" s="126" t="str">
        <f>'1. Define Process Steps'!C8</f>
        <v>10 wt% reagent B (inorganic) in water</v>
      </c>
      <c r="F10" s="165">
        <f>F9+F8</f>
        <v>100</v>
      </c>
      <c r="G10" s="128"/>
      <c r="H10" s="128" t="s">
        <v>858</v>
      </c>
      <c r="I10" s="128"/>
      <c r="J10" s="128" t="str">
        <f>INDEX(Process_Steps[Reference],MATCH(Table_Process_Details[[#This Row],[Step Name]],Process_Steps[Name],0))</f>
        <v>Reference Document  for Step 1</v>
      </c>
      <c r="K10" s="129" t="str">
        <f>INDEX(Process_Steps[Real or Virtual?],MATCH(Table_Process_Details[[#This Row],[Step Name]],Process_Steps[Name],0))</f>
        <v>Virtual</v>
      </c>
      <c r="L10"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0"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0" s="128">
        <f>INDEX(Table_Process_Details[Physical Mass (kg)],MATCH(1,INDEX(((Table_Process_Details[Step Name]=Table_Process_Details[[#This Row],[Step Name]])*(Table_Process_Details[Input or Output]="Output")),0),0))</f>
        <v>100</v>
      </c>
      <c r="O10" s="130">
        <f ca="1">INDEX(Process_Steps[Step Scale Factor for 1kg Packaged API],MATCH(Table_Process_Details[[#This Row],[Step Name]],Process_Steps[Name],0))</f>
        <v>1.1184164089156933E-2</v>
      </c>
      <c r="P10"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v>
      </c>
      <c r="Q10"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v>
      </c>
      <c r="R10" s="128">
        <f ca="1">_xlfn.SWITCH(Run_Reset_PNG,"Reset",Table_Process_Details[[#This Row],[X Init]],"Run",Table_Process_Details[[#This Row],[X Moved]],"Freeze",Table_Process_Details[[#This Row],[X Mover]])</f>
        <v>-11.161305606405291</v>
      </c>
      <c r="S10" s="128">
        <f ca="1">_xlfn.SWITCH(Run_Reset_PNG,"Reset",Table_Process_Details[[#This Row],[Y Init]],"Run",Table_Process_Details[[#This Row],[Y Moved]],"Freeze",Table_Process_Details[[#This Row],[Y Mover]])</f>
        <v>18.923675503501165</v>
      </c>
      <c r="T10" s="128" cm="1">
        <f t="array" aca="1" ref="T1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-1.3996977931002028</v>
      </c>
      <c r="U10" s="128" cm="1">
        <f t="array" aca="1" ref="U1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1.4654969757981744</v>
      </c>
      <c r="V10" s="128" cm="1">
        <f t="array" aca="1" ref="V10" ca="1">SUM(--(SQRT((Table_Process_Details[[#This Row],[X Mover]]-Table_Process_Details[X Mover])^2+(Table_Process_Details[[#This Row],[Y Mover]]-Table_Process_Details[Y Mover])^2)&lt;Collision_Distance))</f>
        <v>14</v>
      </c>
      <c r="W10" s="128" cm="1">
        <f t="array" aca="1" ref="W1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1.6572018494421581E-2</v>
      </c>
      <c r="X10" s="128" cm="1">
        <f t="array" aca="1" ref="X1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-4.2558806997400112E-2</v>
      </c>
      <c r="Y10" s="128" cm="1">
        <f t="array" aca="1" ref="Y1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10" s="128">
        <f>0</f>
        <v>0</v>
      </c>
      <c r="AA10" s="128">
        <f>0</f>
        <v>0</v>
      </c>
      <c r="AB10"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5.5806528032026455</v>
      </c>
      <c r="AC10" s="128" cm="1">
        <f t="array" aca="1" ref="AC1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-9.4618377517505827</v>
      </c>
      <c r="AD10" s="128">
        <f>MIN(1,COUNTA(Table_Process_Details[[#This Row],[target x]]),COUNTA(Table_Process_Details[[#This Row],[target y]]))*COUNTA(Table_Process_Details[Step Name])</f>
        <v>98</v>
      </c>
      <c r="AE10"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-11.198814577265983</v>
      </c>
      <c r="AF10"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18.917618225102405</v>
      </c>
      <c r="AG10"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10" s="128" t="e" cm="1">
        <f t="array" ref="AH10">INDEX(Table_Process_Details[X Mover],MATCH(1,INDEX((Table_Process_Details[Input or Output]="Output")*(Table_Process_Details[Step Name]=Table_Process_Details[[#This Row],[Step Name]])*(Table_Process_Details[[#This Row],[Input or Output]]="Input"),0),0))</f>
        <v>#N/A</v>
      </c>
      <c r="AI10" s="128" t="e" cm="1">
        <f t="array" ref="AI10">INDEX(Table_Process_Details[Y Mover],MATCH(1,INDEX((Table_Process_Details[Input or Output]="Output")*(Table_Process_Details[Step Name]=Table_Process_Details[[#This Row],[Step Name]])*(Table_Process_Details[[#This Row],[Input or Output]]="Input"),0),0))</f>
        <v>#N/A</v>
      </c>
      <c r="AJ10" s="128" t="e">
        <f>SQRT((Table_Process_Details[[#This Row],[X End (To Node Center)]]-Table_Process_Details[[#This Row],[X Guide]])^2+(Table_Process_Details[[#This Row],[Y End (to Node Center)]]-Table_Process_Details[[#This Row],[Y Guide]])^2)</f>
        <v>#N/A</v>
      </c>
      <c r="AK10" s="128" t="e" cm="1">
        <f t="array" ref="AK10">INDEX(Table_Process_Details[X Mover],MATCH(1,INDEX((Table_Process_Details[Step Name]=Table_Process_Details[[#This Row],[LCA Data Source Subclass]])*(Table_Process_Details[Input or Output]="Output"),0)*(Table_Process_Details[[#This Row],[Input or Output]]="Input"),0))</f>
        <v>#N/A</v>
      </c>
      <c r="AL10" s="128" t="e" cm="1">
        <f t="array" ref="AL10">INDEX(Table_Process_Details[X Mover],MATCH(1,INDEX(((Table_Process_Details[Table Row]=Table_Process_Details[[#This Row],[Table Row]])*(1)),0)*(Table_Process_Details[[#This Row],[Input or Output]]="Input"),0))</f>
        <v>#N/A</v>
      </c>
      <c r="AM10" s="128" t="e" cm="1">
        <f t="array" ref="AM10">(Table_Process_Details[[#This Row],[X End (To Node Center)]]*Table_Process_Details[[#This Row],[r0]]-Table_Process_Details[[#This Row],[X End (To Node Center)]]*Arrow_Offset+Table_Process_Details[[#This Row],[X Guide]]*Arrow_Offset)/Table_Process_Details[[#This Row],[r0]]</f>
        <v>#N/A</v>
      </c>
      <c r="AN10" s="128" t="e">
        <f>IF(NOT(Table_Process_Details[[#This Row],[Display As]]="None"),Table_Process_Details[[#This Row],[X Start Prefilter]],NA())</f>
        <v>#N/A</v>
      </c>
      <c r="AO10" s="128" t="e">
        <f>IF(NOT(Table_Process_Details[[#This Row],[Display As]]="None"),Table_Process_Details[[#This Row],[X Guide Prefilter]],NA())</f>
        <v>#N/A</v>
      </c>
      <c r="AP10" s="128" t="e">
        <f>IF(NOT(Table_Process_Details[[#This Row],[Display As]]="None"),Table_Process_Details[[#This Row],[X End (to Stop Radius) Prefilter]],NA())</f>
        <v>#N/A</v>
      </c>
      <c r="AQ10" s="128" t="e">
        <f>NA()</f>
        <v>#N/A</v>
      </c>
      <c r="AR10" s="128" t="e" cm="1">
        <f t="array" ref="AR10">INDEX(Table_Process_Details[Y Mover],MATCH(1,INDEX((Table_Process_Details[Step Name]=Table_Process_Details[[#This Row],[LCA Data Source Subclass]])*(Table_Process_Details[Input or Output]="Output"),0)*(Table_Process_Details[[#This Row],[Input or Output]]="Input"),0))</f>
        <v>#N/A</v>
      </c>
      <c r="AS10" s="128" t="e" cm="1">
        <f t="array" ref="AS10">INDEX(Table_Process_Details[Y Mover],MATCH(1,INDEX(((Table_Process_Details[Table Row]=Table_Process_Details[[#This Row],[Table Row]])*(1)),0)*(Table_Process_Details[[#This Row],[Input or Output]]="Input"),0))</f>
        <v>#N/A</v>
      </c>
      <c r="AT10" s="128" t="e" cm="1">
        <f t="array" ref="AT10">(Table_Process_Details[[#This Row],[Y Guide]]*Arrow_Offset-Table_Process_Details[[#This Row],[Y End (to Node Center)]]*Arrow_Offset+Table_Process_Details[[#This Row],[Y End (to Node Center)]]*Table_Process_Details[[#This Row],[r0]])/Table_Process_Details[[#This Row],[r0]]</f>
        <v>#N/A</v>
      </c>
      <c r="AU10" s="128" t="e">
        <f>IF(NOT(Table_Process_Details[[#This Row],[Display As]]="None"),Table_Process_Details[[#This Row],[Y Start Prefilter]],NA())</f>
        <v>#N/A</v>
      </c>
      <c r="AV10" s="128" t="e">
        <f>IF(NOT(Table_Process_Details[[#This Row],[Display As]]="None"),Table_Process_Details[[#This Row],[Y Guide Prefilter]],NA())</f>
        <v>#N/A</v>
      </c>
      <c r="AW10" s="128" t="e">
        <f>IF(NOT(Table_Process_Details[[#This Row],[Display As]]="None"),Table_Process_Details[[#This Row],[Y End (to Stop Radius) Prefilter]],NA())</f>
        <v>#N/A</v>
      </c>
      <c r="AX10" s="128" t="e">
        <f>NA()</f>
        <v>#N/A</v>
      </c>
      <c r="AY10" s="128" t="e">
        <f>IF(Table_Process_Details[[#This Row],[Display As]]="Real Step",Table_Process_Details[[#This Row],[X Mover]],NA())</f>
        <v>#N/A</v>
      </c>
      <c r="AZ10" s="128" t="e">
        <f>IF(Table_Process_Details[[#This Row],[Display As]]="Real Step",Table_Process_Details[[#This Row],[Y Mover]],NA())</f>
        <v>#N/A</v>
      </c>
      <c r="BA10" s="128">
        <f ca="1">IF(Table_Process_Details[[#This Row],[Display As]]="Raw Material",Table_Process_Details[[#This Row],[X Mover]],NA())</f>
        <v>-11.161305606405291</v>
      </c>
      <c r="BB10" s="128">
        <f ca="1">IF(Table_Process_Details[[#This Row],[Display As]]="Raw Material",Table_Process_Details[[#This Row],[Y Mover]],NA())</f>
        <v>18.923675503501165</v>
      </c>
      <c r="BC10" s="128">
        <f ca="1">IF(OR(Table_Process_Details[[#This Row],[Display As]]="Real Step",Table_Process_Details[[#This Row],[Display As]]="Raw Material"),Table_Process_Details[[#This Row],[X Mover]],NA())</f>
        <v>-11.161305606405291</v>
      </c>
      <c r="BD10" s="128">
        <f ca="1">IF(OR(Table_Process_Details[[#This Row],[Display As]]="Real Step",Table_Process_Details[[#This Row],[Display As]]="Raw Material"),Table_Process_Details[[#This Row],[Y Mover]],NA())</f>
        <v>18.923675503501165</v>
      </c>
      <c r="BE10" s="126">
        <f>ROW()-ROW(Table_Process_Details[[#Headers],[Table Row]])</f>
        <v>6</v>
      </c>
      <c r="BF10" s="122" t="str" cm="1">
        <f t="array" aca="1" ref="BF10" ca="1">INDEX(Table_Process_Details[Display Name],MATCH(0,IF(Table_Process_Details[Input or Output]="Input",INDEX(COUNTIF(OFFSET(Table_Process_Details[[#Headers],[Unique Process Inputs]],0,0,Table_Process_Details[[#This Row],[Table Row]],1),Table_Process_Details[Display Name]),),""),0))</f>
        <v>nickel</v>
      </c>
      <c r="BG10" s="122">
        <f ca="1">Table_Process_Details[[#This Row],[Physical Mass (kg)]]*Table_Process_Details[[#This Row],[Step Scale Factor for 1kg Packaged API]]</f>
        <v>1.1184164089156934</v>
      </c>
      <c r="BH10"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0" s="122">
        <f ca="1">MATCH(Table_Process_Details[[#This Row],[LCA Data Source Class]],INDIRECT(Table_Process_Details[[#This Row],[Input or Output]]),0)</f>
        <v>1</v>
      </c>
      <c r="BJ10" s="122">
        <f ca="1">MATCH(Table_Process_Details[[#This Row],[LCA Data Source Subclass]],INDIRECT(Table_Process_Details[[#This Row],[LCA Data Source Class]]&amp;"[Name]"),0)</f>
        <v>1</v>
      </c>
      <c r="BK10" s="122">
        <f ca="1">IFERROR(INDEX(INDIRECT(Table_Process_Details[[#This Row],[LCA Data Source Class]]&amp;"[Mass Net (kg)]"),MATCH(Table_Process_Details[[#This Row],[LCA Data Source Subclass]],INDIRECT(Table_Process_Details[[#This Row],[LCA Data Source Class]]&amp;"[Name]"),0)),0)</f>
        <v>0</v>
      </c>
      <c r="BL10" s="122">
        <f ca="1">IFERROR(INDEX(INDIRECT(Table_Process_Details[[#This Row],[LCA Data Source Class]]&amp;"[Energy (MJ)]"),MATCH(Table_Process_Details[[#This Row],[LCA Data Source Subclass]],INDIRECT(Table_Process_Details[[#This Row],[LCA Data Source Class]]&amp;"[Name]"),0)),0)</f>
        <v>0</v>
      </c>
      <c r="BM10" s="122">
        <f ca="1">IFERROR(INDEX(INDIRECT(Table_Process_Details[[#This Row],[LCA Data Source Class]]&amp;"[GWP (kg CO2 equiv.)]"),MATCH(Table_Process_Details[[#This Row],[LCA Data Source Subclass]],INDIRECT(Table_Process_Details[[#This Row],[LCA Data Source Class]]&amp;"[Name]"),0)),0)</f>
        <v>0</v>
      </c>
      <c r="BN10" s="122">
        <f ca="1">IFERROR(INDEX(INDIRECT(Table_Process_Details[[#This Row],[LCA Data Source Class]]&amp;"[Acidification (kg SO2 equiv.)]"),MATCH(Table_Process_Details[[#This Row],[LCA Data Source Subclass]],INDIRECT(Table_Process_Details[[#This Row],[LCA Data Source Class]]&amp;"[Name]"),0)),0)</f>
        <v>0</v>
      </c>
      <c r="BO10" s="122">
        <f ca="1">IFERROR(INDEX(INDIRECT(Table_Process_Details[[#This Row],[LCA Data Source Class]]&amp;"[Eutrophication (kg posphate equiv.)]"),MATCH(Table_Process_Details[[#This Row],[LCA Data Source Subclass]],INDIRECT(Table_Process_Details[[#This Row],[LCA Data Source Class]]&amp;"[Name]"),0)),0)</f>
        <v>0</v>
      </c>
      <c r="BP10" s="122">
        <f ca="1">IFERROR(INDEX(INDIRECT(Table_Process_Details[[#This Row],[LCA Data Source Class]]&amp;"[Water (kg)]"),MATCH(Table_Process_Details[[#This Row],[LCA Data Source Subclass]],INDIRECT(Table_Process_Details[[#This Row],[LCA Data Source Class]]&amp;"[Name]"),0)),0)</f>
        <v>0</v>
      </c>
      <c r="BQ10" s="129">
        <f ca="1">(Table_Process_Details[[#This Row],[Input or Output]]="Input")*(Table_Process_Details[[#This Row],[LCA Data Source Class]]&lt;&gt;"Process_Steps")*Table_Process_Details[[#This Row],[Scaled Physical Mass per kg API for All Inputs &amp; Outputs]]</f>
        <v>0</v>
      </c>
      <c r="BR10" s="129">
        <f ca="1">(Table_Process_Details[[#This Row],[Material Class]]="REAGENT")*Table_Process_Details[[#This Row],[Physical Mass per kg API]]</f>
        <v>0</v>
      </c>
      <c r="BS10" s="129">
        <f ca="1">(Table_Process_Details[[#This Row],[Material Class]]="METAL")*Table_Process_Details[[#This Row],[Physical Mass per kg API]]</f>
        <v>0</v>
      </c>
      <c r="BT10" s="129">
        <f ca="1">(Table_Process_Details[[#This Row],[Material Class]]="SOLVENT")*Table_Process_Details[[#This Row],[Physical Mass per kg API]]</f>
        <v>0</v>
      </c>
      <c r="BU10" s="129">
        <f ca="1">(Table_Process_Details[[#This Row],[Material Class]]="WATER")*Table_Process_Details[[#This Row],[Physical Mass per kg API]]</f>
        <v>0</v>
      </c>
      <c r="BV10" s="129">
        <f ca="1">(Table_Process_Details[[#This Row],[Material Class]]="ENZ&amp;PLNT")*Table_Process_Details[[#This Row],[Physical Mass per kg API]]</f>
        <v>0</v>
      </c>
      <c r="BW10" s="129">
        <f ca="1">(Table_Process_Details[[#This Row],[Material Class]]="OTHER")*Table_Process_Details[[#This Row],[Physical Mass per kg API]]</f>
        <v>0</v>
      </c>
      <c r="BX10"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0"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0"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0"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0"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0"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0"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0" s="131">
        <f ca="1">SUMIFS(Table_Process_Details[RV Physical Mass per kg API],Table_Process_Details[Display Name],Table_Process_Details[[#This Row],[Unique Process Inputs]],Table_Process_Details[Input or Output],"Input")</f>
        <v>0</v>
      </c>
      <c r="CF10" s="131">
        <f ca="1">SUMIFS(Table_Process_Details[RV Physical Mass per kg API (REAGENT)],Table_Process_Details[Display Name],Table_Process_Details[[#This Row],[Unique Process Inputs]],Table_Process_Details[Input or Output],"Input")</f>
        <v>0</v>
      </c>
      <c r="CG10" s="131">
        <f ca="1">SUMIFS(Table_Process_Details[RV Physical Mass per kg API (METAL)],Table_Process_Details[Display Name],Table_Process_Details[[#This Row],[Unique Process Inputs]],Table_Process_Details[Input or Output],"Input")</f>
        <v>0</v>
      </c>
      <c r="CH10" s="131">
        <f ca="1">SUMIFS(Table_Process_Details[RV Physical Mass per kg API (SOLVENT)],Table_Process_Details[Display Name],Table_Process_Details[[#This Row],[Unique Process Inputs]],Table_Process_Details[Input or Output],"Input")</f>
        <v>0</v>
      </c>
      <c r="CI10" s="131">
        <f ca="1">SUMIFS(Table_Process_Details[RV Physical Mass per kg API (WATER)],Table_Process_Details[Display Name],Table_Process_Details[[#This Row],[Unique Process Inputs]],Table_Process_Details[Input or Output],"Input")</f>
        <v>0</v>
      </c>
      <c r="CJ10" s="131">
        <f ca="1">SUMIFS(Table_Process_Details[RV Physical Mass per kg API (ENZ&amp;PLNT)],Table_Process_Details[Display Name],Table_Process_Details[[#This Row],[Unique Process Inputs]],Table_Process_Details[Input or Output],"Input")</f>
        <v>0</v>
      </c>
      <c r="CK10" s="131">
        <f ca="1">SUMIFS(Table_Process_Details[RV Physical Mass per kg API (OTHER)],Table_Process_Details[Display Name],Table_Process_Details[[#This Row],[Unique Process Inputs]],Table_Process_Details[Input or Output],"Input")</f>
        <v>0</v>
      </c>
      <c r="CL10" s="126" t="str">
        <f ca="1">INDEX(Table_Process_Details[Unique Process Inputs],MATCH(Table_Process_Details[[#This Row],['[Physical Mass per kg API'] of Unique Inputs Sorted by '[Physical Mass per kg API']]],Table_Process_Details[Total '[Physical Mass per kg API'] of Unique Inputs],0))</f>
        <v>acetonitrile</v>
      </c>
      <c r="CM10" s="126">
        <f ca="1">IF(LARGE(Table_Process_Details[Total '[Physical Mass per kg API'] of Unique Inputs],Table_Process_Details[[#This Row],[Table Row]])=0,NA(),LARGE(Table_Process_Details[Total '[Physical Mass per kg API'] of Unique Inputs],Table_Process_Details[[#This Row],[Table Row]]))</f>
        <v>6.6048965490089193</v>
      </c>
      <c r="CN10" s="126">
        <f ca="1">SUM(OFFSET(Table_Process_Details['[Physical Mass per kg API'] of Unique Inputs Sorted by '[Physical Mass per kg API']],0,0,Table_Process_Details[[#This Row],[Table Row]]))</f>
        <v>104.96089100033952</v>
      </c>
      <c r="CO10" s="126" t="str">
        <f ca="1">"("&amp;TEXT(Table_Process_Details[[#This Row],['[Physical Mass per kg API'] of Unique Inputs Sorted by '[Physical Mass per kg API']]]/SUMIF(Table_Process_Details['[Physical Mass per kg API'] of Unique Inputs Sorted by '[Physical Mass per kg API']],"&lt;&gt;#N/A"),"0%")&amp;")"</f>
        <v>(4%)</v>
      </c>
      <c r="CP10" s="126">
        <f ca="1">INDEX(Table_Process_Details[Total '[Physical Mass per kg API'] of Unique Inputs (REAGENT)],MATCH(Table_Process_Details[[#This Row],[Unique Inputs Sorted by '[Physical Mass per kg API']]],Table_Process_Details[Unique Process Inputs],0))</f>
        <v>0</v>
      </c>
      <c r="CQ10" s="126">
        <f ca="1">INDEX(Table_Process_Details[Total '[Physical Mass per kg API'] of Unique Inputs (METAL)],MATCH(Table_Process_Details[[#This Row],[Unique Inputs Sorted by '[Physical Mass per kg API']]],Table_Process_Details[Unique Process Inputs],0))</f>
        <v>0</v>
      </c>
      <c r="CR10" s="126">
        <f ca="1">INDEX(Table_Process_Details[Total '[Physical Mass per kg API'] of Unique Inputs (SOLVENT)],MATCH(Table_Process_Details[[#This Row],[Unique Inputs Sorted by '[Physical Mass per kg API']]],Table_Process_Details[Unique Process Inputs],0))</f>
        <v>6.6048965490089193</v>
      </c>
      <c r="CS10" s="126">
        <f ca="1">INDEX(Table_Process_Details[Total '[Physical Mass per kg API'] of Unique Inputs (WATER)],MATCH(Table_Process_Details[[#This Row],[Unique Inputs Sorted by '[Physical Mass per kg API']]],Table_Process_Details[Unique Process Inputs],0))</f>
        <v>0</v>
      </c>
      <c r="CT10" s="126">
        <f ca="1">INDEX(Table_Process_Details[Total '[Physical Mass per kg API'] of Unique Inputs (ENZ&amp;PLNT)],MATCH(Table_Process_Details[[#This Row],[Unique Inputs Sorted by '[Physical Mass per kg API']]],Table_Process_Details[Unique Process Inputs],0))</f>
        <v>0</v>
      </c>
      <c r="CU10" s="126">
        <f ca="1">INDEX(Table_Process_Details[Total '[Physical Mass per kg API'] of Unique Inputs (OTHER)],MATCH(Table_Process_Details[[#This Row],[Unique Inputs Sorted by '[Physical Mass per kg API']]],Table_Process_Details[Unique Process Inputs],0))</f>
        <v>0</v>
      </c>
      <c r="CV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0"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0" s="126">
        <f ca="1">SUMIFS(Table_Process_Details[RV Mass Net (kg) per kg API],Table_Process_Details[Display Name],Table_Process_Details[[#This Row],[Unique Process Inputs]],Table_Process_Details[Input or Output],"Input")</f>
        <v>0</v>
      </c>
      <c r="DD10" s="126">
        <f ca="1">SUMIFS(Table_Process_Details[RV Mass Net (kg) per kg API (REAGENT)],Table_Process_Details[Display Name],Table_Process_Details[[#This Row],[Unique Process Inputs]],Table_Process_Details[Input or Output],"Input")</f>
        <v>0</v>
      </c>
      <c r="DE10" s="126">
        <f ca="1">SUMIFS(Table_Process_Details[RV Mass Net (kg) per kg API (METAL)],Table_Process_Details[Display Name],Table_Process_Details[[#This Row],[Unique Process Inputs]],Table_Process_Details[Input or Output],"Input")</f>
        <v>0</v>
      </c>
      <c r="DF10" s="126">
        <f ca="1">SUMIFS(Table_Process_Details[RV Mass Net (kg) per kg API (SOLVENT)],Table_Process_Details[Display Name],Table_Process_Details[[#This Row],[Unique Process Inputs]],Table_Process_Details[Input or Output],"Input")</f>
        <v>0</v>
      </c>
      <c r="DG10" s="126">
        <f ca="1">SUMIFS(Table_Process_Details[RV Mass Net (kg) per kg API (WATER)],Table_Process_Details[Display Name],Table_Process_Details[[#This Row],[Unique Process Inputs]],Table_Process_Details[Input or Output],"Input")</f>
        <v>0</v>
      </c>
      <c r="DH10" s="126">
        <f ca="1">SUMIFS(Table_Process_Details[RV Mass Net (kg) per kg API (ENZ&amp;PLNT)],Table_Process_Details[Display Name],Table_Process_Details[[#This Row],[Unique Process Inputs]],Table_Process_Details[Input or Output],"Input")</f>
        <v>0</v>
      </c>
      <c r="DI10" s="126">
        <f ca="1">SUMIFS(Table_Process_Details[RV Mass Net (kg) per kg API (OTHER)],Table_Process_Details[Display Name],Table_Process_Details[[#This Row],[Unique Process Inputs]],Table_Process_Details[Input or Output],"Input")</f>
        <v>0</v>
      </c>
      <c r="DJ10" s="126" t="str">
        <f ca="1">INDEX(Table_Process_Details[Unique Process Inputs],MATCH(Table_Process_Details[[#This Row],['[Mass Net (kg) per kg API'] of Unique Inputs Sorted by '[Mass Net (kg) per kg API']]],Table_Process_Details[Total '[Mass Net (kg) per kg API'] of Unique Inputs],0))</f>
        <v>methanol</v>
      </c>
      <c r="DK10" s="126">
        <f ca="1">IF(LARGE(Table_Process_Details[Total '[Mass Net (kg) per kg API'] of Unique Inputs],Table_Process_Details[[#This Row],[Table Row]])=0,NA(),LARGE(Table_Process_Details[Total '[Mass Net (kg) per kg API'] of Unique Inputs],Table_Process_Details[[#This Row],[Table Row]]))</f>
        <v>11.240092915121789</v>
      </c>
      <c r="DL10" s="126">
        <f ca="1">SUM(OFFSET(Table_Process_Details['[Mass Net (kg) per kg API'] of Unique Inputs Sorted by '[Mass Net (kg) per kg API']],0,0,Table_Process_Details[[#This Row],[Table Row]]))</f>
        <v>97.100380136375904</v>
      </c>
      <c r="DM10" s="126" t="str">
        <f ca="1">"("&amp;TEXT(Table_Process_Details[[#This Row],['[Mass Net (kg) per kg API'] of Unique Inputs Sorted by '[Mass Net (kg) per kg API']]]/SUMIF(Table_Process_Details['[Mass Net (kg) per kg API'] of Unique Inputs Sorted by '[Mass Net (kg) per kg API']],"&lt;&gt;#N/A"),"0%")&amp;")"</f>
        <v>(9%)</v>
      </c>
      <c r="DN10" s="126">
        <f ca="1">INDEX(Table_Process_Details[Total '[Mass Net (kg) per kg API'] of Unique Inputs (REAGENT)], MATCH(Table_Process_Details[[#This Row],[Unique Inputs Sorted by '[Mass Net (kg) per kg API']]],Table_Process_Details[Unique Process Inputs],0))</f>
        <v>0</v>
      </c>
      <c r="DO10" s="126">
        <f ca="1">INDEX(Table_Process_Details[Total '[Mass Net (kg) per kg API'] of Unique Inputs (METAL)], MATCH(Table_Process_Details[[#This Row],[Unique Inputs Sorted by '[Mass Net (kg) per kg API']]],Table_Process_Details[Unique Process Inputs],0))</f>
        <v>0</v>
      </c>
      <c r="DP10" s="126">
        <f ca="1">INDEX(Table_Process_Details[Total '[Mass Net (kg) per kg API'] of Unique Inputs (SOLVENT)], MATCH(Table_Process_Details[[#This Row],[Unique Inputs Sorted by '[Mass Net (kg) per kg API']]],Table_Process_Details[Unique Process Inputs],0))</f>
        <v>11.240092915121789</v>
      </c>
      <c r="DQ10" s="126">
        <f ca="1">INDEX(Table_Process_Details[Total '[Mass Net (kg) per kg API'] of Unique Inputs (WATER)], MATCH(Table_Process_Details[[#This Row],[Unique Inputs Sorted by '[Mass Net (kg) per kg API']]],Table_Process_Details[Unique Process Inputs],0))</f>
        <v>0</v>
      </c>
      <c r="DR10" s="126">
        <f ca="1">INDEX(Table_Process_Details[Total '[Mass Net (kg) per kg API'] of Unique Inputs (ENZ&amp;PLNT)], MATCH(Table_Process_Details[[#This Row],[Unique Inputs Sorted by '[Mass Net (kg) per kg API']]],Table_Process_Details[Unique Process Inputs],0))</f>
        <v>0</v>
      </c>
      <c r="DS10" s="126">
        <f ca="1">INDEX(Table_Process_Details[Total '[Mass Net (kg) per kg API'] of Unique Inputs (OTHER)], MATCH(Table_Process_Details[[#This Row],[Unique Inputs Sorted by '[Mass Net (kg) per kg API']]],Table_Process_Details[Unique Process Inputs],0))</f>
        <v>0</v>
      </c>
      <c r="DT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0"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0" s="131">
        <f ca="1">SUMIFS(Table_Process_Details[RV Energy (MJ) per kg API],Table_Process_Details[Display Name],Table_Process_Details[[#This Row],[Unique Process Inputs]],Table_Process_Details[Input or Output],"Input")</f>
        <v>0</v>
      </c>
      <c r="EB10" s="131">
        <f ca="1">SUMIFS(Table_Process_Details[RV Energy (MJ) per kg API (REAGENT)],Table_Process_Details[Display Name],Table_Process_Details[[#This Row],[Unique Process Inputs]],Table_Process_Details[Input or Output],"Input")</f>
        <v>0</v>
      </c>
      <c r="EC10" s="131">
        <f ca="1">SUMIFS(Table_Process_Details[RV Energy (MJ) per kg API (METAL)],Table_Process_Details[Display Name],Table_Process_Details[[#This Row],[Unique Process Inputs]],Table_Process_Details[Input or Output],"Input")</f>
        <v>0</v>
      </c>
      <c r="ED10" s="131">
        <f ca="1">SUMIFS(Table_Process_Details[RV Energy (MJ) per kg API (SOLVENT)],Table_Process_Details[Display Name],Table_Process_Details[[#This Row],[Unique Process Inputs]],Table_Process_Details[Input or Output],"Input")</f>
        <v>0</v>
      </c>
      <c r="EE10" s="131">
        <f ca="1">SUMIFS(Table_Process_Details[RV Energy (MJ) per kg API (WATER)],Table_Process_Details[Display Name],Table_Process_Details[[#This Row],[Unique Process Inputs]],Table_Process_Details[Input or Output],"Input")</f>
        <v>0</v>
      </c>
      <c r="EF10" s="131">
        <f ca="1">SUMIFS(Table_Process_Details[RV Energy (MJ) per kg API (ENZ&amp;PLNT)],Table_Process_Details[Display Name],Table_Process_Details[[#This Row],[Unique Process Inputs]],Table_Process_Details[Input or Output],"Input")</f>
        <v>0</v>
      </c>
      <c r="EG10" s="131">
        <f ca="1">SUMIFS(Table_Process_Details[RV Energy (MJ) per kg API (OTHER)],Table_Process_Details[Display Name],Table_Process_Details[[#This Row],[Unique Process Inputs]],Table_Process_Details[Input or Output],"Input")</f>
        <v>0</v>
      </c>
      <c r="EH10" s="131" t="str">
        <f ca="1">INDEX(Table_Process_Details[Unique Process Inputs],MATCH(Table_Process_Details[[#This Row],['[Energy (MJ) per kg API'] of Unique Inputs Sorted by '[Energy (MJ) per kg API']]],Table_Process_Details[Total '[Energy (MJ) per kg API'] of Unique Inputs],0))</f>
        <v>reagent U (organic)</v>
      </c>
      <c r="EI10" s="126">
        <f ca="1">IF(LARGE(Table_Process_Details[Total '[Energy (MJ) per kg API'] of Unique Inputs],Table_Process_Details[[#This Row],[Table Row]])=0,NA(),LARGE(Table_Process_Details[Total '[Energy (MJ) per kg API'] of Unique Inputs],Table_Process_Details[[#This Row],[Table Row]]))</f>
        <v>412.18914633641288</v>
      </c>
      <c r="EJ10" s="126">
        <f ca="1">SUM(OFFSET(Table_Process_Details['[Energy (MJ) per kg API'] of Unique Inputs Sorted by '[Energy (MJ) per kg API']],0,0,Table_Process_Details[[#This Row],[Table Row]]))</f>
        <v>4180.2726627675438</v>
      </c>
      <c r="EK10" s="126" t="str">
        <f ca="1">"("&amp;TEXT(Table_Process_Details[[#This Row],['[Energy (MJ) per kg API'] of Unique Inputs Sorted by '[Energy (MJ) per kg API']]]/SUMIF(Table_Process_Details['[Energy (MJ) per kg API'] of Unique Inputs Sorted by '[Energy (MJ) per kg API']],"&lt;&gt;#N/A"),"0%")&amp;")"</f>
        <v>(8%)</v>
      </c>
      <c r="EL10" s="126">
        <f ca="1">INDEX(Table_Process_Details[Total '[Energy (MJ) per kg API'] of Unique Inputs (REAGENT)], MATCH(Table_Process_Details[[#This Row],[Unique Inputs Sorted by '[Energy (MJ) per kg API']]],Table_Process_Details[Unique Process Inputs],0))</f>
        <v>412.18914633641288</v>
      </c>
      <c r="EM10" s="126">
        <f ca="1">INDEX(Table_Process_Details[Total '[Energy (MJ) per kg API'] of Unique Inputs (METAL)], MATCH(Table_Process_Details[[#This Row],[Unique Inputs Sorted by '[Energy (MJ) per kg API']]],Table_Process_Details[Unique Process Inputs],0))</f>
        <v>0</v>
      </c>
      <c r="EN10" s="126">
        <f ca="1">INDEX(Table_Process_Details[Total '[Energy (MJ) per kg API'] of Unique Inputs (SOLVENT)], MATCH(Table_Process_Details[[#This Row],[Unique Inputs Sorted by '[Energy (MJ) per kg API']]],Table_Process_Details[Unique Process Inputs],0))</f>
        <v>0</v>
      </c>
      <c r="EO10" s="126">
        <f ca="1">INDEX(Table_Process_Details[Total '[Energy (MJ) per kg API'] of Unique Inputs (WATER)], MATCH(Table_Process_Details[[#This Row],[Unique Inputs Sorted by '[Energy (MJ) per kg API']]],Table_Process_Details[Unique Process Inputs],0))</f>
        <v>0</v>
      </c>
      <c r="EP10" s="126">
        <f ca="1">INDEX(Table_Process_Details[Total '[Energy (MJ) per kg API'] of Unique Inputs (ENZ&amp;PLNT)], MATCH(Table_Process_Details[[#This Row],[Unique Inputs Sorted by '[Energy (MJ) per kg API']]],Table_Process_Details[Unique Process Inputs],0))</f>
        <v>0</v>
      </c>
      <c r="EQ10" s="126">
        <f ca="1">INDEX(Table_Process_Details[Total '[Energy (MJ) per kg API'] of Unique Inputs (OTHER)], MATCH(Table_Process_Details[[#This Row],[Unique Inputs Sorted by '[Energy (MJ) per kg API']]],Table_Process_Details[Unique Process Inputs],0))</f>
        <v>0</v>
      </c>
      <c r="ER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0"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0" s="126">
        <f ca="1">SUMIFS(Table_Process_Details[RV GWP (kg CO2 equiv.) per kg API],Table_Process_Details[Display Name],Table_Process_Details[[#This Row],[Unique Process Inputs]],Table_Process_Details[Input or Output],"Input")</f>
        <v>0</v>
      </c>
      <c r="EZ10" s="131">
        <f ca="1">SUMIFS(Table_Process_Details[RV GWP (kg CO2 equiv.) per kg API (REAGENT)],Table_Process_Details[Display Name],Table_Process_Details[[#This Row],[Unique Process Inputs]],Table_Process_Details[Input or Output],"Input")</f>
        <v>0</v>
      </c>
      <c r="FA10" s="131">
        <f ca="1">SUMIFS(Table_Process_Details[RV GWP (kg CO2 equiv.) per kg API (METAL)],Table_Process_Details[Display Name],Table_Process_Details[[#This Row],[Unique Process Inputs]],Table_Process_Details[Input or Output],"Input")</f>
        <v>0</v>
      </c>
      <c r="FB10" s="131">
        <f ca="1">SUMIFS(Table_Process_Details[RV GWP (kg CO2 equiv.) per kg API (SOLVENT)],Table_Process_Details[Display Name],Table_Process_Details[[#This Row],[Unique Process Inputs]],Table_Process_Details[Input or Output],"Input")</f>
        <v>0</v>
      </c>
      <c r="FC10" s="131">
        <f ca="1">SUMIFS(Table_Process_Details[RV GWP (kg CO2 equiv.) per kg API (WATER)],Table_Process_Details[Display Name],Table_Process_Details[[#This Row],[Unique Process Inputs]],Table_Process_Details[Input or Output],"Input")</f>
        <v>0</v>
      </c>
      <c r="FD10" s="131">
        <f ca="1">SUMIFS(Table_Process_Details[RV GWP (kg CO2 equiv.) per kg API (ENZ&amp;PLNT)],Table_Process_Details[Display Name],Table_Process_Details[[#This Row],[Unique Process Inputs]],Table_Process_Details[Input or Output],"Input")</f>
        <v>0</v>
      </c>
      <c r="FE10" s="131">
        <f ca="1">SUMIFS(Table_Process_Details[RV GWP (kg CO2 equiv.) per kg API (OTHER)],Table_Process_Details[Display Name],Table_Process_Details[[#This Row],[Unique Process Inputs]],Table_Process_Details[Input or Output],"Input")</f>
        <v>0</v>
      </c>
      <c r="FF10" s="126" t="str">
        <f ca="1">INDEX(Table_Process_Details[Unique Process Inputs],MATCH(Table_Process_Details[[#This Row],['[GWP (kg CO2 equiv.) per kg API'] of Unique Inputs Sorted by '[GWP (kg CO2 equiv.) per kg API']]],Table_Process_Details[Total '[GWP (kg CO2 equiv.) per kg API'] of Unique Inputs],0))</f>
        <v>methanol</v>
      </c>
      <c r="FG10" s="126">
        <f ca="1">IF(LARGE(Table_Process_Details[Total '[GWP (kg CO2 equiv.) per kg API'] of Unique Inputs],Table_Process_Details[[#This Row],[Table Row]])=0,NA(),LARGE(Table_Process_Details[Total '[GWP (kg CO2 equiv.) per kg API'] of Unique Inputs],Table_Process_Details[[#This Row],[Table Row]]))</f>
        <v>11.958897016810784</v>
      </c>
      <c r="FH10" s="126">
        <f ca="1">SUM(OFFSET(Table_Process_Details['[GWP (kg CO2 equiv.) per kg API'] of Unique Inputs Sorted by '[GWP (kg CO2 equiv.) per kg API']],0,0,Table_Process_Details[[#This Row],[Table Row]]))</f>
        <v>120.64918392779926</v>
      </c>
      <c r="FI10" s="126" t="str">
        <f ca="1">"("&amp;TEXT(Table_Process_Details[[#This Row],['[GWP (kg CO2 equiv.) per kg API'] of Unique Inputs Sorted by '[GWP (kg CO2 equiv.) per kg API']]]/SUMIF(Table_Process_Details['[GWP (kg CO2 equiv.) per kg API'] of Unique Inputs Sorted by '[GWP (kg CO2 equiv.) per kg API']],"&lt;&gt;#N/A"),"0%")&amp;")"</f>
        <v>(8%)</v>
      </c>
      <c r="FJ10" s="126">
        <f ca="1">INDEX(Table_Process_Details[Total '[GWP (kg CO2 equiv.) per kg API'] of Unique Inputs (REAGENT)], MATCH(Table_Process_Details[[#This Row],[Unique Inputs Sorted by '[GWP (kg CO2 equiv.) per kg API']]],Table_Process_Details[Unique Process Inputs],0))</f>
        <v>0</v>
      </c>
      <c r="FK10" s="126">
        <f ca="1">INDEX(Table_Process_Details[Total '[GWP (kg CO2 equiv.) per kg API'] of Unique Inputs (METAL)], MATCH(Table_Process_Details[[#This Row],[Unique Inputs Sorted by '[GWP (kg CO2 equiv.) per kg API']]],Table_Process_Details[Unique Process Inputs],0))</f>
        <v>0</v>
      </c>
      <c r="FL10" s="126">
        <f ca="1">INDEX(Table_Process_Details[Total '[GWP (kg CO2 equiv.) per kg API'] of Unique Inputs (SOLVENT)], MATCH(Table_Process_Details[[#This Row],[Unique Inputs Sorted by '[GWP (kg CO2 equiv.) per kg API']]],Table_Process_Details[Unique Process Inputs],0))</f>
        <v>11.958897016810784</v>
      </c>
      <c r="FM10" s="126">
        <f ca="1">INDEX(Table_Process_Details[Total '[GWP (kg CO2 equiv.) per kg API'] of Unique Inputs (WATER)], MATCH(Table_Process_Details[[#This Row],[Unique Inputs Sorted by '[GWP (kg CO2 equiv.) per kg API']]],Table_Process_Details[Unique Process Inputs],0))</f>
        <v>0</v>
      </c>
      <c r="FN10" s="126">
        <f ca="1">INDEX(Table_Process_Details[Total '[GWP (kg CO2 equiv.) per kg API'] of Unique Inputs (ENZ&amp;PLNT)], MATCH(Table_Process_Details[[#This Row],[Unique Inputs Sorted by '[GWP (kg CO2 equiv.) per kg API']]],Table_Process_Details[Unique Process Inputs],0))</f>
        <v>0</v>
      </c>
      <c r="FO10" s="126">
        <f ca="1">INDEX(Table_Process_Details[Total '[GWP (kg CO2 equiv.) per kg API'] of Unique Inputs (OTHER)], MATCH(Table_Process_Details[[#This Row],[Unique Inputs Sorted by '[GWP (kg CO2 equiv.) per kg API']]],Table_Process_Details[Unique Process Inputs],0))</f>
        <v>0</v>
      </c>
      <c r="FP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0"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0" s="126">
        <f ca="1">SUMIFS(Table_Process_Details[RV Acidification (kg SO2 equiv.) per kg API],Table_Process_Details[Display Name],Table_Process_Details[[#This Row],[Unique Process Inputs]],Table_Process_Details[Input or Output],"Input")</f>
        <v>0</v>
      </c>
      <c r="FX10" s="131">
        <f ca="1">SUMIFS(Table_Process_Details[RV Acidification (kg SO2 equiv.) per kg API (REAGENT)],Table_Process_Details[Display Name],Table_Process_Details[[#This Row],[Unique Process Inputs]],Table_Process_Details[Input or Output],"Input")</f>
        <v>0</v>
      </c>
      <c r="FY10" s="131">
        <f ca="1">SUMIFS(Table_Process_Details[RV Acidification (kg SO2 equiv.) per kg API (METAL)],Table_Process_Details[Display Name],Table_Process_Details[[#This Row],[Unique Process Inputs]],Table_Process_Details[Input or Output],"Input")</f>
        <v>0</v>
      </c>
      <c r="FZ10" s="131">
        <f ca="1">SUMIFS(Table_Process_Details[RV Acidification (kg SO2 equiv.) per kg API (SOLVENT)],Table_Process_Details[Display Name],Table_Process_Details[[#This Row],[Unique Process Inputs]],Table_Process_Details[Input or Output],"Input")</f>
        <v>0</v>
      </c>
      <c r="GA10" s="131">
        <f ca="1">SUMIFS(Table_Process_Details[RV Acidification (kg SO2 equiv.) per kg API (WATER)],Table_Process_Details[Display Name],Table_Process_Details[[#This Row],[Unique Process Inputs]],Table_Process_Details[Input or Output],"Input")</f>
        <v>0</v>
      </c>
      <c r="GB10" s="131">
        <f ca="1">SUMIFS(Table_Process_Details[RV Acidification (kg SO2 equiv.) per kg API (ENZ&amp;PLNT)],Table_Process_Details[Display Name],Table_Process_Details[[#This Row],[Unique Process Inputs]],Table_Process_Details[Input or Output],"Input")</f>
        <v>0</v>
      </c>
      <c r="GC10" s="131">
        <f ca="1">SUMIFS(Table_Process_Details[RV Acidification (kg SO2 equiv.) per kg API (OTHER)],Table_Process_Details[Display Name],Table_Process_Details[[#This Row],[Unique Process Inputs]],Table_Process_Details[Input or Output],"Input")</f>
        <v>0</v>
      </c>
      <c r="GD10"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toluene</v>
      </c>
      <c r="GE10" s="126">
        <f ca="1">IF(LARGE(Table_Process_Details[Total '[Acidification (kg SO2 equiv.) per kg API'] of Unique Inputs],Table_Process_Details[[#This Row],[Table Row]])=0,NA(),LARGE(Table_Process_Details[Total '[Acidification (kg SO2 equiv.) per kg API'] of Unique Inputs],Table_Process_Details[[#This Row],[Table Row]]))</f>
        <v>4.3566059094727452E-2</v>
      </c>
      <c r="GF10" s="126">
        <f ca="1">SUM(OFFSET(Table_Process_Details['[Acidification (kg SO2 equiv.) per kg API'] of Unique Inputs Sorted by '[Acidification (kg SO2 equiv.) per kg API']],0,0,Table_Process_Details[[#This Row],[Table Row]]))</f>
        <v>0.49075090890551121</v>
      </c>
      <c r="GG10"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(7%)</v>
      </c>
      <c r="GH10" s="126">
        <f ca="1">INDEX(Table_Process_Details[Total '[Acidification (kg SO2 equiv.) per kg API'] of Unique Inputs (REAGENT)], MATCH(Table_Process_Details[[#This Row],[Unique Inputs Sorted by '[Acidification (kg SO2 equiv.) per kg API']]],Table_Process_Details[Unique Process Inputs],0))</f>
        <v>0</v>
      </c>
      <c r="GI10" s="126">
        <f ca="1">INDEX(Table_Process_Details[Total '[Acidification (kg SO2 equiv.) per kg API'] of Unique Inputs (METAL)], MATCH(Table_Process_Details[[#This Row],[Unique Inputs Sorted by '[Acidification (kg SO2 equiv.) per kg API']]],Table_Process_Details[Unique Process Inputs],0))</f>
        <v>0</v>
      </c>
      <c r="GJ10" s="126">
        <f ca="1">INDEX(Table_Process_Details[Total '[Acidification (kg SO2 equiv.) per kg API'] of Unique Inputs (SOLVENT)], MATCH(Table_Process_Details[[#This Row],[Unique Inputs Sorted by '[Acidification (kg SO2 equiv.) per kg API']]],Table_Process_Details[Unique Process Inputs],0))</f>
        <v>4.3566059094727452E-2</v>
      </c>
      <c r="GK10" s="126">
        <f ca="1">INDEX(Table_Process_Details[Total '[Acidification (kg SO2 equiv.) per kg API'] of Unique Inputs (WATER)], MATCH(Table_Process_Details[[#This Row],[Unique Inputs Sorted by '[Acidification (kg SO2 equiv.) per kg API']]],Table_Process_Details[Unique Process Inputs],0))</f>
        <v>0</v>
      </c>
      <c r="GL10" s="126">
        <f ca="1">INDEX(Table_Process_Details[Total '[Acidification (kg SO2 equiv.) per kg API'] of Unique Inputs (ENZ&amp;PLNT)], MATCH(Table_Process_Details[[#This Row],[Unique Inputs Sorted by '[Acidification (kg SO2 equiv.) per kg API']]],Table_Process_Details[Unique Process Inputs],0))</f>
        <v>0</v>
      </c>
      <c r="GM10" s="126">
        <f ca="1">INDEX(Table_Process_Details[Total '[Acidification (kg SO2 equiv.) per kg API'] of Unique Inputs (OTHER)], MATCH(Table_Process_Details[[#This Row],[Unique Inputs Sorted by '[Acidification (kg SO2 equiv.) per kg API']]],Table_Process_Details[Unique Process Inputs],0))</f>
        <v>0</v>
      </c>
      <c r="GN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0"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0" s="126">
        <f ca="1">SUMIFS(Table_Process_Details[RV Eutrophication (kg phosphate equiv.) per kg API],Table_Process_Details[Display Name],Table_Process_Details[[#This Row],[Unique Process Inputs]],Table_Process_Details[Input or Output],"Input")</f>
        <v>0</v>
      </c>
      <c r="GV10" s="131">
        <f ca="1">SUMIFS(Table_Process_Details[RV Eutrophication (kg phosphate equiv.) per kg API (REAGENT)],Table_Process_Details[Display Name],Table_Process_Details[[#This Row],[Unique Process Inputs]],Table_Process_Details[Input or Output],"Input")</f>
        <v>0</v>
      </c>
      <c r="GW10" s="131">
        <f ca="1">SUMIFS(Table_Process_Details[RV Eutrophication (kg phosphate equiv.) per kg API (METAL)],Table_Process_Details[Display Name],Table_Process_Details[[#This Row],[Unique Process Inputs]],Table_Process_Details[Input or Output],"Input")</f>
        <v>0</v>
      </c>
      <c r="GX10" s="131">
        <f ca="1">SUMIFS(Table_Process_Details[RV Eutrophication (kg phosphate equiv.) per kg API (SOLVENT)],Table_Process_Details[Display Name],Table_Process_Details[[#This Row],[Unique Process Inputs]],Table_Process_Details[Input or Output],"Input")</f>
        <v>0</v>
      </c>
      <c r="GY10" s="131">
        <f ca="1">SUMIFS(Table_Process_Details[RV Eutrophication (kg phosphate equiv.) per kg API (WATER)],Table_Process_Details[Display Name],Table_Process_Details[[#This Row],[Unique Process Inputs]],Table_Process_Details[Input or Output],"Input")</f>
        <v>0</v>
      </c>
      <c r="GZ10" s="131">
        <f ca="1">SUMIFS(Table_Process_Details[RV Eutrophication (kg phosphate equiv.) per kg API (ENZ&amp;PLNT)],Table_Process_Details[Display Name],Table_Process_Details[[#This Row],[Unique Process Inputs]],Table_Process_Details[Input or Output],"Input")</f>
        <v>0</v>
      </c>
      <c r="HA10" s="131">
        <f ca="1">SUMIFS(Table_Process_Details[RV Eutrophication (kg phosphate equiv.) per kg API (OTHER)],Table_Process_Details[Display Name],Table_Process_Details[[#This Row],[Unique Process Inputs]],Table_Process_Details[Input or Output],"Input")</f>
        <v>0</v>
      </c>
      <c r="HB10"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T (organic)</v>
      </c>
      <c r="HC10" s="126">
        <f ca="1">IF(LARGE(Table_Process_Details[Total '[Eutrophication (kg posphate equiv.) per kg API'] of Unique Inputs],Table_Process_Details[[#This Row],[Table Row]])=0,NA(),LARGE(Table_Process_Details[Total '[Eutrophication (kg posphate equiv.) per kg API'] of Unique Inputs],Table_Process_Details[[#This Row],[Table Row]]))</f>
        <v>3.9580636252878894E-2</v>
      </c>
      <c r="HD10" s="126">
        <f ca="1">SUM(OFFSET(Table_Process_Details['[Eutrophication (kg posphate equiv.) per kg API'] of Unique Inputs Sorted by '[Eutrophication (kg posphate equiv.) per kg API']],0,0,Table_Process_Details[[#This Row],[Table Row]]))</f>
        <v>1.3182115206041642</v>
      </c>
      <c r="HE10"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(3%)</v>
      </c>
      <c r="HF10" s="131">
        <f ca="1">INDEX(Table_Process_Details[Total '[Eutrophication (kg posphate equiv.) per kg API'] of Unique Inputs (REAGENT)], MATCH(Table_Process_Details[[#This Row],[Unique Inputs Sorted by '[Eutrophication (kg posphate equiv.) per kg API']]],Table_Process_Details[Unique Process Inputs],0))</f>
        <v>3.9580636252878894E-2</v>
      </c>
      <c r="HG10" s="131">
        <f ca="1">INDEX(Table_Process_Details[Total '[Eutrophication (kg posphate equiv.) per kg API'] of Unique Inputs (METAL)], MATCH(Table_Process_Details[[#This Row],[Unique Inputs Sorted by '[Eutrophication (kg posphate equiv.) per kg API']]],Table_Process_Details[Unique Process Inputs],0))</f>
        <v>0</v>
      </c>
      <c r="HH10" s="131">
        <f ca="1">INDEX(Table_Process_Details[Total '[Eutrophication (kg posphate equiv.) per kg API'] of Unique Inputs (SOLVENT)], MATCH(Table_Process_Details[[#This Row],[Unique Inputs Sorted by '[Eutrophication (kg posphate equiv.) per kg API']]],Table_Process_Details[Unique Process Inputs],0))</f>
        <v>0</v>
      </c>
      <c r="HI10" s="131">
        <f ca="1">INDEX(Table_Process_Details[Total '[Eutrophication (kg posphate equiv.) per kg API'] of Unique Inputs (WATER)], MATCH(Table_Process_Details[[#This Row],[Unique Inputs Sorted by '[Eutrophication (kg posphate equiv.) per kg API']]],Table_Process_Details[Unique Process Inputs],0))</f>
        <v>0</v>
      </c>
      <c r="HJ10" s="131">
        <f ca="1">INDEX(Table_Process_Details[Total '[Eutrophication (kg posphate equiv.) per kg API'] of Unique Inputs (ENZ&amp;PLNT)], MATCH(Table_Process_Details[[#This Row],[Unique Inputs Sorted by '[Eutrophication (kg posphate equiv.) per kg API']]],Table_Process_Details[Unique Process Inputs],0))</f>
        <v>0</v>
      </c>
      <c r="HK10" s="131">
        <f ca="1">INDEX(Table_Process_Details[Total '[Eutrophication (kg posphate equiv.) per kg API'] of Unique Inputs (OTHER)], MATCH(Table_Process_Details[[#This Row],[Unique Inputs Sorted by '[Eutrophication (kg posphate equiv.) per kg API']]],Table_Process_Details[Unique Process Inputs],0))</f>
        <v>0</v>
      </c>
      <c r="HL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0"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0" s="131">
        <f ca="1">SUMIFS(Table_Process_Details[RV Water (kg) per kg API],Table_Process_Details[Display Name],Table_Process_Details[[#This Row],[Unique Process Inputs]],Table_Process_Details[Input or Output],"Input")</f>
        <v>0</v>
      </c>
      <c r="HT10" s="131">
        <f ca="1">SUMIFS(Table_Process_Details[RV Water (kg) per kg API (REAGENT)],Table_Process_Details[Display Name],Table_Process_Details[[#This Row],[Unique Process Inputs]],Table_Process_Details[Input or Output],"Input")</f>
        <v>0</v>
      </c>
      <c r="HU10" s="131">
        <f ca="1">SUMIFS(Table_Process_Details[RV Water (kg) per kg API (METAL)],Table_Process_Details[Display Name],Table_Process_Details[[#This Row],[Unique Process Inputs]],Table_Process_Details[Input or Output],"Input")</f>
        <v>0</v>
      </c>
      <c r="HV10" s="131">
        <f ca="1">SUMIFS(Table_Process_Details[RV Water (kg) per kg API (SOLVENT)],Table_Process_Details[Display Name],Table_Process_Details[[#This Row],[Unique Process Inputs]],Table_Process_Details[Input or Output],"Input")</f>
        <v>0</v>
      </c>
      <c r="HW10" s="131">
        <f ca="1">SUMIFS(Table_Process_Details[RV Water (kg) per kg API (WATER)],Table_Process_Details[Display Name],Table_Process_Details[[#This Row],[Unique Process Inputs]],Table_Process_Details[Input or Output],"Input")</f>
        <v>0</v>
      </c>
      <c r="HX10" s="131">
        <f ca="1">SUMIFS(Table_Process_Details[RV Water (kg) per kg API (ENZ&amp;PLNT)],Table_Process_Details[Display Name],Table_Process_Details[[#This Row],[Unique Process Inputs]],Table_Process_Details[Input or Output],"Input")</f>
        <v>0</v>
      </c>
      <c r="HY10" s="131">
        <f ca="1">SUMIFS(Table_Process_Details[RV Water (kg) per kg API (OTHER)],Table_Process_Details[Display Name],Table_Process_Details[[#This Row],[Unique Process Inputs]],Table_Process_Details[Input or Output],"Input")</f>
        <v>0</v>
      </c>
      <c r="HZ10" s="126" t="str">
        <f ca="1">INDEX(Table_Process_Details[Unique Process Inputs],MATCH(Table_Process_Details[[#This Row],['[Water (kg) per kg API'] of Unique Inputs Sorted by '[Water (kg) per kg API']]],Table_Process_Details[Total '[Water (kg) per kg API'] of Unique Inputs],0))</f>
        <v>water</v>
      </c>
      <c r="IA10" s="126">
        <f ca="1">IF(LARGE(Table_Process_Details[Total '[Water (kg) per kg API'] of Unique Inputs],Table_Process_Details[[#This Row],[Table Row]])=0,NA(),LARGE(Table_Process_Details[Total '[Water (kg) per kg API'] of Unique Inputs],Table_Process_Details[[#This Row],[Table Row]]))</f>
        <v>50.820481437953482</v>
      </c>
      <c r="IB10" s="131">
        <f ca="1">SUM(OFFSET(Table_Process_Details['[Water (kg) per kg API'] of Unique Inputs Sorted by '[Water (kg) per kg API']],0,0,Table_Process_Details[[#This Row],[Table Row]]))</f>
        <v>723.70719754557501</v>
      </c>
      <c r="IC10" s="131" t="str">
        <f ca="1">"("&amp;TEXT(Table_Process_Details[[#This Row],['[Water (kg) per kg API'] of Unique Inputs Sorted by '[Water (kg) per kg API']]]/SUMIF(Table_Process_Details['[Water (kg) per kg API'] of Unique Inputs Sorted by '[Water (kg) per kg API']],"&lt;&gt;#N/A"),"0%")&amp;")"</f>
        <v>(6%)</v>
      </c>
      <c r="ID10" s="131">
        <f ca="1">INDEX(Table_Process_Details[Total '[Water (kg) per kg API'] of Unique Inputs (REAGENT)], MATCH(Table_Process_Details[[#This Row],[Unique Inputs Sorted by '[Water (kg) per kg API']]],Table_Process_Details[Unique Process Inputs],0))</f>
        <v>0</v>
      </c>
      <c r="IE10" s="131">
        <f ca="1">INDEX(Table_Process_Details[Total '[Water (kg) per kg API'] of Unique Inputs (METAL)], MATCH(Table_Process_Details[[#This Row],[Unique Inputs Sorted by '[Water (kg) per kg API']]],Table_Process_Details[Unique Process Inputs],0))</f>
        <v>0</v>
      </c>
      <c r="IF10" s="131">
        <f ca="1">INDEX(Table_Process_Details[Total '[Water (kg) per kg API'] of Unique Inputs (SOLVENT)], MATCH(Table_Process_Details[[#This Row],[Unique Inputs Sorted by '[Water (kg) per kg API']]],Table_Process_Details[Unique Process Inputs],0))</f>
        <v>0</v>
      </c>
      <c r="IG10" s="131">
        <f ca="1">INDEX(Table_Process_Details[Total '[Water (kg) per kg API'] of Unique Inputs (WATER)], MATCH(Table_Process_Details[[#This Row],[Unique Inputs Sorted by '[Water (kg) per kg API']]],Table_Process_Details[Unique Process Inputs],0))</f>
        <v>50.820481437953482</v>
      </c>
      <c r="IH10" s="131">
        <f ca="1">INDEX(Table_Process_Details[Total '[Water (kg) per kg API'] of Unique Inputs (ENZ&amp;PLNT)], MATCH(Table_Process_Details[[#This Row],[Unique Inputs Sorted by '[Water (kg) per kg API']]],Table_Process_Details[Unique Process Inputs],0))</f>
        <v>0</v>
      </c>
      <c r="II10" s="131">
        <f ca="1">INDEX(Table_Process_Details[Total '[Water (kg) per kg API'] of Unique Inputs (OTHER)], MATCH(Table_Process_Details[[#This Row],[Unique Inputs Sorted by '[Water (kg) per kg API']]],Table_Process_Details[Unique Process Inputs],0))</f>
        <v>0</v>
      </c>
    </row>
    <row r="11" spans="1:250" customFormat="1" x14ac:dyDescent="0.25">
      <c r="A11" s="22" t="str">
        <f>'1. Define Process Steps'!A9</f>
        <v>1c) Virtual solution prep for (1): 15 wt% reagent C (inorganic) in water</v>
      </c>
      <c r="B11" s="21" t="s">
        <v>4</v>
      </c>
      <c r="C11" s="21" t="s">
        <v>7</v>
      </c>
      <c r="D11" s="22" t="s">
        <v>158</v>
      </c>
      <c r="E11" s="22" t="s">
        <v>815</v>
      </c>
      <c r="F11" s="26">
        <v>15</v>
      </c>
      <c r="G11" s="26"/>
      <c r="H11" s="26"/>
      <c r="I11" s="26"/>
      <c r="J11" s="26" t="str">
        <f>INDEX(Process_Steps[Reference],MATCH(Table_Process_Details[[#This Row],[Step Name]],Process_Steps[Name],0))</f>
        <v>Reference Document  for Step 1</v>
      </c>
      <c r="K11" s="27" t="str">
        <f>INDEX(Process_Steps[Real or Virtual?],MATCH(Table_Process_Details[[#This Row],[Step Name]],Process_Steps[Name],0))</f>
        <v>Virtual</v>
      </c>
      <c r="L1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1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11" s="26">
        <f>INDEX(Table_Process_Details[Physical Mass (kg)],MATCH(1,INDEX(((Table_Process_Details[Step Name]=Table_Process_Details[[#This Row],[Step Name]])*(Table_Process_Details[Input or Output]="Output")),0),0))</f>
        <v>100</v>
      </c>
      <c r="O11" s="29">
        <f ca="1">INDEX(Process_Steps[Step Scale Factor for 1kg Packaged API],MATCH(Table_Process_Details[[#This Row],[Step Name]],Process_Steps[Name],0))</f>
        <v>1.1184164089156933E-2</v>
      </c>
      <c r="P1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2.3333333333333335</v>
      </c>
      <c r="Q1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17.333333333333332</v>
      </c>
      <c r="R11" s="26">
        <f ca="1">_xlfn.SWITCH(Run_Reset_PNG,"Reset",Table_Process_Details[[#This Row],[X Init]],"Run",Table_Process_Details[[#This Row],[X Moved]],"Freeze",Table_Process_Details[[#This Row],[X Mover]])</f>
        <v>-7.343884939318432</v>
      </c>
      <c r="S11" s="26">
        <f ca="1">_xlfn.SWITCH(Run_Reset_PNG,"Reset",Table_Process_Details[[#This Row],[Y Init]],"Run",Table_Process_Details[[#This Row],[Y Moved]],"Freeze",Table_Process_Details[[#This Row],[Y Mover]])</f>
        <v>10.177448734097354</v>
      </c>
      <c r="T11" s="26" cm="1">
        <f t="array" aca="1" ref="T1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-2.5378731216860033</v>
      </c>
      <c r="U11" s="26" cm="1">
        <f t="array" aca="1" ref="U1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-1.5864618614160726</v>
      </c>
      <c r="V11" s="26" cm="1">
        <f t="array" aca="1" ref="V11" ca="1">SUM(--(SQRT((Table_Process_Details[[#This Row],[X Mover]]-Table_Process_Details[X Mover])^2+(Table_Process_Details[[#This Row],[Y Mover]]-Table_Process_Details[Y Mover])^2)&lt;Collision_Distance))</f>
        <v>15</v>
      </c>
      <c r="W11" s="26" cm="1">
        <f t="array" aca="1" ref="W1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7.8238421578122358E-2</v>
      </c>
      <c r="X11" s="26" cm="1">
        <f t="array" aca="1" ref="X1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0.12865243413451632</v>
      </c>
      <c r="Y11" s="26" cm="1">
        <f t="array" aca="1" ref="Y1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1" s="26">
        <f>0</f>
        <v>0</v>
      </c>
      <c r="AA11" s="26">
        <f>0</f>
        <v>0</v>
      </c>
      <c r="AB1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3.671942469659216</v>
      </c>
      <c r="AC11" s="26" cm="1">
        <f t="array" aca="1" ref="AC1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-5.0887243670486768</v>
      </c>
      <c r="AD11" s="26">
        <f>MIN(1,COUNTA(Table_Process_Details[[#This Row],[target x]]),COUNTA(Table_Process_Details[[#This Row],[target y]]))*COUNTA(Table_Process_Details[Step Name])</f>
        <v>98</v>
      </c>
      <c r="AE1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-7.3973692584752344</v>
      </c>
      <c r="AF1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10.148411285290029</v>
      </c>
      <c r="AG1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1" s="26" cm="1">
        <f t="array" aca="1" ref="AH11" ca="1">INDEX(Table_Process_Details[X Mover],MATCH(1,INDEX((Table_Process_Details[Input or Output]="Output")*(Table_Process_Details[Step Name]=Table_Process_Details[[#This Row],[Step Name]])*(Table_Process_Details[[#This Row],[Input or Output]]="Input"),0),0))</f>
        <v>-5.6286105276860896</v>
      </c>
      <c r="AI11" s="26" cm="1">
        <f t="array" aca="1" ref="AI11" ca="1">INDEX(Table_Process_Details[Y Mover],MATCH(1,INDEX((Table_Process_Details[Input or Output]="Output")*(Table_Process_Details[Step Name]=Table_Process_Details[[#This Row],[Step Name]])*(Table_Process_Details[[#This Row],[Input or Output]]="Input"),0),0))</f>
        <v>12.997984013490795</v>
      </c>
      <c r="AJ11" s="26" t="e">
        <f ca="1">SQRT((Table_Process_Details[[#This Row],[X End (To Node Center)]]-Table_Process_Details[[#This Row],[X Guide]])^2+(Table_Process_Details[[#This Row],[Y End (to Node Center)]]-Table_Process_Details[[#This Row],[Y Guide]])^2)</f>
        <v>#N/A</v>
      </c>
      <c r="AK11" s="26" t="e" cm="1">
        <f t="array" ref="AK11">INDEX(Table_Process_Details[X Mover],MATCH(1,INDEX((Table_Process_Details[Step Name]=Table_Process_Details[[#This Row],[LCA Data Source Subclass]])*(Table_Process_Details[Input or Output]="Output"),0)*(Table_Process_Details[[#This Row],[Input or Output]]="Input"),0))</f>
        <v>#N/A</v>
      </c>
      <c r="AL11" s="26" cm="1">
        <f t="array" aca="1" ref="AL11" ca="1">INDEX(Table_Process_Details[X Mover],MATCH(1,INDEX(((Table_Process_Details[Table Row]=Table_Process_Details[[#This Row],[Table Row]])*(1)),0)*(Table_Process_Details[[#This Row],[Input or Output]]="Input"),0))</f>
        <v>-7.343884939318432</v>
      </c>
      <c r="AM11" s="26" t="e" cm="1">
        <f t="array" aca="1" ref="AM11" ca="1">(Table_Process_Details[[#This Row],[X End (To Node Center)]]*Table_Process_Details[[#This Row],[r0]]-Table_Process_Details[[#This Row],[X End (To Node Center)]]*Arrow_Offset+Table_Process_Details[[#This Row],[X Guide]]*Arrow_Offset)/Table_Process_Details[[#This Row],[r0]]</f>
        <v>#N/A</v>
      </c>
      <c r="AN11" s="26" t="e">
        <f>IF(NOT(Table_Process_Details[[#This Row],[Display As]]="None"),Table_Process_Details[[#This Row],[X Start Prefilter]],NA())</f>
        <v>#N/A</v>
      </c>
      <c r="AO11" s="26" t="e">
        <f>IF(NOT(Table_Process_Details[[#This Row],[Display As]]="None"),Table_Process_Details[[#This Row],[X Guide Prefilter]],NA())</f>
        <v>#N/A</v>
      </c>
      <c r="AP11" s="26" t="e">
        <f>IF(NOT(Table_Process_Details[[#This Row],[Display As]]="None"),Table_Process_Details[[#This Row],[X End (to Stop Radius) Prefilter]],NA())</f>
        <v>#N/A</v>
      </c>
      <c r="AQ11" s="26" t="e">
        <f>NA()</f>
        <v>#N/A</v>
      </c>
      <c r="AR11" s="26" t="e" cm="1">
        <f t="array" ref="AR11">INDEX(Table_Process_Details[Y Mover],MATCH(1,INDEX((Table_Process_Details[Step Name]=Table_Process_Details[[#This Row],[LCA Data Source Subclass]])*(Table_Process_Details[Input or Output]="Output"),0)*(Table_Process_Details[[#This Row],[Input or Output]]="Input"),0))</f>
        <v>#N/A</v>
      </c>
      <c r="AS11" s="26" cm="1">
        <f t="array" aca="1" ref="AS11" ca="1">INDEX(Table_Process_Details[Y Mover],MATCH(1,INDEX(((Table_Process_Details[Table Row]=Table_Process_Details[[#This Row],[Table Row]])*(1)),0)*(Table_Process_Details[[#This Row],[Input or Output]]="Input"),0))</f>
        <v>10.177448734097354</v>
      </c>
      <c r="AT11" s="26" t="e" cm="1">
        <f t="array" aca="1" ref="AT11" ca="1">(Table_Process_Details[[#This Row],[Y Guide]]*Arrow_Offset-Table_Process_Details[[#This Row],[Y End (to Node Center)]]*Arrow_Offset+Table_Process_Details[[#This Row],[Y End (to Node Center)]]*Table_Process_Details[[#This Row],[r0]])/Table_Process_Details[[#This Row],[r0]]</f>
        <v>#N/A</v>
      </c>
      <c r="AU11" s="26" t="e">
        <f>IF(NOT(Table_Process_Details[[#This Row],[Display As]]="None"),Table_Process_Details[[#This Row],[Y Start Prefilter]],NA())</f>
        <v>#N/A</v>
      </c>
      <c r="AV11" s="26" t="e">
        <f>IF(NOT(Table_Process_Details[[#This Row],[Display As]]="None"),Table_Process_Details[[#This Row],[Y Guide Prefilter]],NA())</f>
        <v>#N/A</v>
      </c>
      <c r="AW11" s="26" t="e">
        <f>IF(NOT(Table_Process_Details[[#This Row],[Display As]]="None"),Table_Process_Details[[#This Row],[Y End (to Stop Radius) Prefilter]],NA())</f>
        <v>#N/A</v>
      </c>
      <c r="AX11" s="26" t="e">
        <f>NA()</f>
        <v>#N/A</v>
      </c>
      <c r="AY11" s="26" t="e">
        <f>IF(Table_Process_Details[[#This Row],[Display As]]="Real Step",Table_Process_Details[[#This Row],[X Mover]],NA())</f>
        <v>#N/A</v>
      </c>
      <c r="AZ11" s="26" t="e">
        <f>IF(Table_Process_Details[[#This Row],[Display As]]="Real Step",Table_Process_Details[[#This Row],[Y Mover]],NA())</f>
        <v>#N/A</v>
      </c>
      <c r="BA11" s="26" t="e">
        <f>IF(Table_Process_Details[[#This Row],[Display As]]="Raw Material",Table_Process_Details[[#This Row],[X Mover]],NA())</f>
        <v>#N/A</v>
      </c>
      <c r="BB11" s="26" t="e">
        <f>IF(Table_Process_Details[[#This Row],[Display As]]="Raw Material",Table_Process_Details[[#This Row],[Y Mover]],NA())</f>
        <v>#N/A</v>
      </c>
      <c r="BC11" s="26" t="e">
        <f>IF(OR(Table_Process_Details[[#This Row],[Display As]]="Real Step",Table_Process_Details[[#This Row],[Display As]]="Raw Material"),Table_Process_Details[[#This Row],[X Mover]],NA())</f>
        <v>#N/A</v>
      </c>
      <c r="BD11" s="26" t="e">
        <f>IF(OR(Table_Process_Details[[#This Row],[Display As]]="Real Step",Table_Process_Details[[#This Row],[Display As]]="Raw Material"),Table_Process_Details[[#This Row],[Y Mover]],NA())</f>
        <v>#N/A</v>
      </c>
      <c r="BE11" s="22">
        <f>ROW()-ROW(Table_Process_Details[[#Headers],[Table Row]])</f>
        <v>7</v>
      </c>
      <c r="BF11" s="23" t="str" cm="1">
        <f t="array" aca="1" ref="BF11" ca="1">INDEX(Table_Process_Details[Display Name],MATCH(0,IF(Table_Process_Details[Input or Output]="Input",INDEX(COUNTIF(OFFSET(Table_Process_Details[[#Headers],[Unique Process Inputs]],0,0,Table_Process_Details[[#This Row],[Table Row]],1),Table_Process_Details[Display Name]),),""),0))</f>
        <v>counterion for nickel salt</v>
      </c>
      <c r="BG11" s="23">
        <f ca="1">Table_Process_Details[[#This Row],[Physical Mass (kg)]]*Table_Process_Details[[#This Row],[Step Scale Factor for 1kg Packaged API]]</f>
        <v>0.16776246133735401</v>
      </c>
      <c r="BH1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1" s="23">
        <f ca="1">MATCH(Table_Process_Details[[#This Row],[LCA Data Source Class]],INDIRECT(Table_Process_Details[[#This Row],[Input or Output]]),0)</f>
        <v>6</v>
      </c>
      <c r="BJ11" s="23">
        <f ca="1">MATCH(Table_Process_Details[[#This Row],[LCA Data Source Subclass]],INDIRECT(Table_Process_Details[[#This Row],[LCA Data Source Class]]&amp;"[Name]"),0)</f>
        <v>1</v>
      </c>
      <c r="BK11" s="23">
        <f ca="1">IFERROR(INDEX(INDIRECT(Table_Process_Details[[#This Row],[LCA Data Source Class]]&amp;"[Mass Net (kg)]"),MATCH(Table_Process_Details[[#This Row],[LCA Data Source Subclass]],INDIRECT(Table_Process_Details[[#This Row],[LCA Data Source Class]]&amp;"[Name]"),0)),0)</f>
        <v>1.34</v>
      </c>
      <c r="BL11" s="23">
        <f ca="1">IFERROR(INDEX(INDIRECT(Table_Process_Details[[#This Row],[LCA Data Source Class]]&amp;"[Energy (MJ)]"),MATCH(Table_Process_Details[[#This Row],[LCA Data Source Subclass]],INDIRECT(Table_Process_Details[[#This Row],[LCA Data Source Class]]&amp;"[Name]"),0)),0)</f>
        <v>10.63</v>
      </c>
      <c r="BM11" s="23">
        <f ca="1">IFERROR(INDEX(INDIRECT(Table_Process_Details[[#This Row],[LCA Data Source Class]]&amp;"[GWP (kg CO2 equiv.)]"),MATCH(Table_Process_Details[[#This Row],[LCA Data Source Subclass]],INDIRECT(Table_Process_Details[[#This Row],[LCA Data Source Class]]&amp;"[Name]"),0)),0)</f>
        <v>1.3854</v>
      </c>
      <c r="BN11" s="23">
        <f ca="1">IFERROR(INDEX(INDIRECT(Table_Process_Details[[#This Row],[LCA Data Source Class]]&amp;"[Acidification (kg SO2 equiv.)]"),MATCH(Table_Process_Details[[#This Row],[LCA Data Source Subclass]],INDIRECT(Table_Process_Details[[#This Row],[LCA Data Source Class]]&amp;"[Name]"),0)),0)</f>
        <v>1.3899999999999999E-2</v>
      </c>
      <c r="BO11" s="23">
        <f ca="1">IFERROR(INDEX(INDIRECT(Table_Process_Details[[#This Row],[LCA Data Source Class]]&amp;"[Eutrophication (kg posphate equiv.)]"),MATCH(Table_Process_Details[[#This Row],[LCA Data Source Subclass]],INDIRECT(Table_Process_Details[[#This Row],[LCA Data Source Class]]&amp;"[Name]"),0)),0)</f>
        <v>6.9999999999999999E-4</v>
      </c>
      <c r="BP11" s="23">
        <f ca="1">IFERROR(INDEX(INDIRECT(Table_Process_Details[[#This Row],[LCA Data Source Class]]&amp;"[Water (kg)]"),MATCH(Table_Process_Details[[#This Row],[LCA Data Source Subclass]],INDIRECT(Table_Process_Details[[#This Row],[LCA Data Source Class]]&amp;"[Name]"),0)),0)</f>
        <v>0.69123000000000001</v>
      </c>
      <c r="BQ11" s="27">
        <f ca="1">(Table_Process_Details[[#This Row],[Input or Output]]="Input")*(Table_Process_Details[[#This Row],[LCA Data Source Class]]&lt;&gt;"Process_Steps")*Table_Process_Details[[#This Row],[Scaled Physical Mass per kg API for All Inputs &amp; Outputs]]</f>
        <v>0.16776246133735401</v>
      </c>
      <c r="BR11" s="27">
        <f ca="1">(Table_Process_Details[[#This Row],[Material Class]]="REAGENT")*Table_Process_Details[[#This Row],[Physical Mass per kg API]]</f>
        <v>0.16776246133735401</v>
      </c>
      <c r="BS11" s="27">
        <f ca="1">(Table_Process_Details[[#This Row],[Material Class]]="METAL")*Table_Process_Details[[#This Row],[Physical Mass per kg API]]</f>
        <v>0</v>
      </c>
      <c r="BT11" s="27">
        <f ca="1">(Table_Process_Details[[#This Row],[Material Class]]="SOLVENT")*Table_Process_Details[[#This Row],[Physical Mass per kg API]]</f>
        <v>0</v>
      </c>
      <c r="BU11" s="27">
        <f ca="1">(Table_Process_Details[[#This Row],[Material Class]]="WATER")*Table_Process_Details[[#This Row],[Physical Mass per kg API]]</f>
        <v>0</v>
      </c>
      <c r="BV11" s="27">
        <f ca="1">(Table_Process_Details[[#This Row],[Material Class]]="ENZ&amp;PLNT")*Table_Process_Details[[#This Row],[Physical Mass per kg API]]</f>
        <v>0</v>
      </c>
      <c r="BW11" s="27">
        <f ca="1">(Table_Process_Details[[#This Row],[Material Class]]="OTHER")*Table_Process_Details[[#This Row],[Physical Mass per kg API]]</f>
        <v>0</v>
      </c>
      <c r="BX1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1" s="1">
        <f ca="1">SUMIFS(Table_Process_Details[RV Physical Mass per kg API],Table_Process_Details[Display Name],Table_Process_Details[[#This Row],[Unique Process Inputs]],Table_Process_Details[Input or Output],"Input")</f>
        <v>0</v>
      </c>
      <c r="CF11" s="1">
        <f ca="1">SUMIFS(Table_Process_Details[RV Physical Mass per kg API (REAGENT)],Table_Process_Details[Display Name],Table_Process_Details[[#This Row],[Unique Process Inputs]],Table_Process_Details[Input or Output],"Input")</f>
        <v>0</v>
      </c>
      <c r="CG11" s="1">
        <f ca="1">SUMIFS(Table_Process_Details[RV Physical Mass per kg API (METAL)],Table_Process_Details[Display Name],Table_Process_Details[[#This Row],[Unique Process Inputs]],Table_Process_Details[Input or Output],"Input")</f>
        <v>0</v>
      </c>
      <c r="CH11" s="1">
        <f ca="1">SUMIFS(Table_Process_Details[RV Physical Mass per kg API (SOLVENT)],Table_Process_Details[Display Name],Table_Process_Details[[#This Row],[Unique Process Inputs]],Table_Process_Details[Input or Output],"Input")</f>
        <v>0</v>
      </c>
      <c r="CI11" s="1">
        <f ca="1">SUMIFS(Table_Process_Details[RV Physical Mass per kg API (WATER)],Table_Process_Details[Display Name],Table_Process_Details[[#This Row],[Unique Process Inputs]],Table_Process_Details[Input or Output],"Input")</f>
        <v>0</v>
      </c>
      <c r="CJ11" s="1">
        <f ca="1">SUMIFS(Table_Process_Details[RV Physical Mass per kg API (ENZ&amp;PLNT)],Table_Process_Details[Display Name],Table_Process_Details[[#This Row],[Unique Process Inputs]],Table_Process_Details[Input or Output],"Input")</f>
        <v>0</v>
      </c>
      <c r="CK11" s="1">
        <f ca="1">SUMIFS(Table_Process_Details[RV Physical Mass per kg API (OTHER)],Table_Process_Details[Display Name],Table_Process_Details[[#This Row],[Unique Process Inputs]],Table_Process_Details[Input or Output],"Input")</f>
        <v>0</v>
      </c>
      <c r="CL11" s="22" t="str">
        <f ca="1">INDEX(Table_Process_Details[Unique Process Inputs],MATCH(Table_Process_Details[[#This Row],['[Physical Mass per kg API'] of Unique Inputs Sorted by '[Physical Mass per kg API']]],Table_Process_Details[Total '[Physical Mass per kg API'] of Unique Inputs],0))</f>
        <v>reagent U (organic)</v>
      </c>
      <c r="CM11" s="22">
        <f ca="1">IF(LARGE(Table_Process_Details[Total '[Physical Mass per kg API'] of Unique Inputs],Table_Process_Details[[#This Row],[Table Row]])=0,NA(),LARGE(Table_Process_Details[Total '[Physical Mass per kg API'] of Unique Inputs],Table_Process_Details[[#This Row],[Table Row]]))</f>
        <v>5.5055973573133095</v>
      </c>
      <c r="CN11" s="22">
        <f ca="1">SUM(OFFSET(Table_Process_Details['[Physical Mass per kg API'] of Unique Inputs Sorted by '[Physical Mass per kg API']],0,0,Table_Process_Details[[#This Row],[Table Row]]))</f>
        <v>110.46648835765282</v>
      </c>
      <c r="CO11" s="22" t="str">
        <f ca="1">"("&amp;TEXT(Table_Process_Details[[#This Row],['[Physical Mass per kg API'] of Unique Inputs Sorted by '[Physical Mass per kg API']]]/SUMIF(Table_Process_Details['[Physical Mass per kg API'] of Unique Inputs Sorted by '[Physical Mass per kg API']],"&lt;&gt;#N/A"),"0%")&amp;")"</f>
        <v>(4%)</v>
      </c>
      <c r="CP11" s="22">
        <f ca="1">INDEX(Table_Process_Details[Total '[Physical Mass per kg API'] of Unique Inputs (REAGENT)],MATCH(Table_Process_Details[[#This Row],[Unique Inputs Sorted by '[Physical Mass per kg API']]],Table_Process_Details[Unique Process Inputs],0))</f>
        <v>5.5055973573133095</v>
      </c>
      <c r="CQ11" s="22">
        <f ca="1">INDEX(Table_Process_Details[Total '[Physical Mass per kg API'] of Unique Inputs (METAL)],MATCH(Table_Process_Details[[#This Row],[Unique Inputs Sorted by '[Physical Mass per kg API']]],Table_Process_Details[Unique Process Inputs],0))</f>
        <v>0</v>
      </c>
      <c r="CR11" s="22">
        <f ca="1">INDEX(Table_Process_Details[Total '[Physical Mass per kg API'] of Unique Inputs (SOLVENT)],MATCH(Table_Process_Details[[#This Row],[Unique Inputs Sorted by '[Physical Mass per kg API']]],Table_Process_Details[Unique Process Inputs],0))</f>
        <v>0</v>
      </c>
      <c r="CS11" s="22">
        <f ca="1">INDEX(Table_Process_Details[Total '[Physical Mass per kg API'] of Unique Inputs (WATER)],MATCH(Table_Process_Details[[#This Row],[Unique Inputs Sorted by '[Physical Mass per kg API']]],Table_Process_Details[Unique Process Inputs],0))</f>
        <v>0</v>
      </c>
      <c r="CT11" s="22">
        <f ca="1">INDEX(Table_Process_Details[Total '[Physical Mass per kg API'] of Unique Inputs (ENZ&amp;PLNT)],MATCH(Table_Process_Details[[#This Row],[Unique Inputs Sorted by '[Physical Mass per kg API']]],Table_Process_Details[Unique Process Inputs],0))</f>
        <v>0</v>
      </c>
      <c r="CU11" s="22">
        <f ca="1">INDEX(Table_Process_Details[Total '[Physical Mass per kg API'] of Unique Inputs (OTHER)],MATCH(Table_Process_Details[[#This Row],[Unique Inputs Sorted by '[Physical Mass per kg API']]],Table_Process_Details[Unique Process Inputs],0))</f>
        <v>0</v>
      </c>
      <c r="CV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1" s="22">
        <f ca="1">SUMIFS(Table_Process_Details[RV Mass Net (kg) per kg API],Table_Process_Details[Display Name],Table_Process_Details[[#This Row],[Unique Process Inputs]],Table_Process_Details[Input or Output],"Input")</f>
        <v>0</v>
      </c>
      <c r="DD11" s="22">
        <f ca="1">SUMIFS(Table_Process_Details[RV Mass Net (kg) per kg API (REAGENT)],Table_Process_Details[Display Name],Table_Process_Details[[#This Row],[Unique Process Inputs]],Table_Process_Details[Input or Output],"Input")</f>
        <v>0</v>
      </c>
      <c r="DE11" s="22">
        <f ca="1">SUMIFS(Table_Process_Details[RV Mass Net (kg) per kg API (METAL)],Table_Process_Details[Display Name],Table_Process_Details[[#This Row],[Unique Process Inputs]],Table_Process_Details[Input or Output],"Input")</f>
        <v>0</v>
      </c>
      <c r="DF11" s="22">
        <f ca="1">SUMIFS(Table_Process_Details[RV Mass Net (kg) per kg API (SOLVENT)],Table_Process_Details[Display Name],Table_Process_Details[[#This Row],[Unique Process Inputs]],Table_Process_Details[Input or Output],"Input")</f>
        <v>0</v>
      </c>
      <c r="DG11" s="22">
        <f ca="1">SUMIFS(Table_Process_Details[RV Mass Net (kg) per kg API (WATER)],Table_Process_Details[Display Name],Table_Process_Details[[#This Row],[Unique Process Inputs]],Table_Process_Details[Input or Output],"Input")</f>
        <v>0</v>
      </c>
      <c r="DH11" s="22">
        <f ca="1">SUMIFS(Table_Process_Details[RV Mass Net (kg) per kg API (ENZ&amp;PLNT)],Table_Process_Details[Display Name],Table_Process_Details[[#This Row],[Unique Process Inputs]],Table_Process_Details[Input or Output],"Input")</f>
        <v>0</v>
      </c>
      <c r="DI11" s="22">
        <f ca="1">SUMIFS(Table_Process_Details[RV Mass Net (kg) per kg API (OTHER)],Table_Process_Details[Display Name],Table_Process_Details[[#This Row],[Unique Process Inputs]],Table_Process_Details[Input or Output],"Input")</f>
        <v>0</v>
      </c>
      <c r="DJ11" s="22" t="str">
        <f ca="1">INDEX(Table_Process_Details[Unique Process Inputs],MATCH(Table_Process_Details[[#This Row],['[Mass Net (kg) per kg API'] of Unique Inputs Sorted by '[Mass Net (kg) per kg API']]],Table_Process_Details[Total '[Mass Net (kg) per kg API'] of Unique Inputs],0))</f>
        <v>reagent T (organic)</v>
      </c>
      <c r="DK11" s="22">
        <f ca="1">IF(LARGE(Table_Process_Details[Total '[Mass Net (kg) per kg API'] of Unique Inputs],Table_Process_Details[[#This Row],[Table Row]])=0,NA(),LARGE(Table_Process_Details[Total '[Mass Net (kg) per kg API'] of Unique Inputs],Table_Process_Details[[#This Row],[Table Row]]))</f>
        <v>9.1882730075362247</v>
      </c>
      <c r="DL11" s="22">
        <f ca="1">SUM(OFFSET(Table_Process_Details['[Mass Net (kg) per kg API'] of Unique Inputs Sorted by '[Mass Net (kg) per kg API']],0,0,Table_Process_Details[[#This Row],[Table Row]]))</f>
        <v>106.28865314391213</v>
      </c>
      <c r="DM11" s="22" t="str">
        <f ca="1">"("&amp;TEXT(Table_Process_Details[[#This Row],['[Mass Net (kg) per kg API'] of Unique Inputs Sorted by '[Mass Net (kg) per kg API']]]/SUMIF(Table_Process_Details['[Mass Net (kg) per kg API'] of Unique Inputs Sorted by '[Mass Net (kg) per kg API']],"&lt;&gt;#N/A"),"0%")&amp;")"</f>
        <v>(7%)</v>
      </c>
      <c r="DN11" s="22">
        <f ca="1">INDEX(Table_Process_Details[Total '[Mass Net (kg) per kg API'] of Unique Inputs (REAGENT)], MATCH(Table_Process_Details[[#This Row],[Unique Inputs Sorted by '[Mass Net (kg) per kg API']]],Table_Process_Details[Unique Process Inputs],0))</f>
        <v>9.1882730075362247</v>
      </c>
      <c r="DO11" s="22">
        <f ca="1">INDEX(Table_Process_Details[Total '[Mass Net (kg) per kg API'] of Unique Inputs (METAL)], MATCH(Table_Process_Details[[#This Row],[Unique Inputs Sorted by '[Mass Net (kg) per kg API']]],Table_Process_Details[Unique Process Inputs],0))</f>
        <v>0</v>
      </c>
      <c r="DP11" s="22">
        <f ca="1">INDEX(Table_Process_Details[Total '[Mass Net (kg) per kg API'] of Unique Inputs (SOLVENT)], MATCH(Table_Process_Details[[#This Row],[Unique Inputs Sorted by '[Mass Net (kg) per kg API']]],Table_Process_Details[Unique Process Inputs],0))</f>
        <v>0</v>
      </c>
      <c r="DQ11" s="22">
        <f ca="1">INDEX(Table_Process_Details[Total '[Mass Net (kg) per kg API'] of Unique Inputs (WATER)], MATCH(Table_Process_Details[[#This Row],[Unique Inputs Sorted by '[Mass Net (kg) per kg API']]],Table_Process_Details[Unique Process Inputs],0))</f>
        <v>0</v>
      </c>
      <c r="DR11" s="22">
        <f ca="1">INDEX(Table_Process_Details[Total '[Mass Net (kg) per kg API'] of Unique Inputs (ENZ&amp;PLNT)], MATCH(Table_Process_Details[[#This Row],[Unique Inputs Sorted by '[Mass Net (kg) per kg API']]],Table_Process_Details[Unique Process Inputs],0))</f>
        <v>0</v>
      </c>
      <c r="DS11" s="22">
        <f ca="1">INDEX(Table_Process_Details[Total '[Mass Net (kg) per kg API'] of Unique Inputs (OTHER)], MATCH(Table_Process_Details[[#This Row],[Unique Inputs Sorted by '[Mass Net (kg) per kg API']]],Table_Process_Details[Unique Process Inputs],0))</f>
        <v>0</v>
      </c>
      <c r="DT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1" s="1">
        <f ca="1">SUMIFS(Table_Process_Details[RV Energy (MJ) per kg API],Table_Process_Details[Display Name],Table_Process_Details[[#This Row],[Unique Process Inputs]],Table_Process_Details[Input or Output],"Input")</f>
        <v>0</v>
      </c>
      <c r="EB11" s="1">
        <f ca="1">SUMIFS(Table_Process_Details[RV Energy (MJ) per kg API (REAGENT)],Table_Process_Details[Display Name],Table_Process_Details[[#This Row],[Unique Process Inputs]],Table_Process_Details[Input or Output],"Input")</f>
        <v>0</v>
      </c>
      <c r="EC11" s="1">
        <f ca="1">SUMIFS(Table_Process_Details[RV Energy (MJ) per kg API (METAL)],Table_Process_Details[Display Name],Table_Process_Details[[#This Row],[Unique Process Inputs]],Table_Process_Details[Input or Output],"Input")</f>
        <v>0</v>
      </c>
      <c r="ED11" s="1">
        <f ca="1">SUMIFS(Table_Process_Details[RV Energy (MJ) per kg API (SOLVENT)],Table_Process_Details[Display Name],Table_Process_Details[[#This Row],[Unique Process Inputs]],Table_Process_Details[Input or Output],"Input")</f>
        <v>0</v>
      </c>
      <c r="EE11" s="1">
        <f ca="1">SUMIFS(Table_Process_Details[RV Energy (MJ) per kg API (WATER)],Table_Process_Details[Display Name],Table_Process_Details[[#This Row],[Unique Process Inputs]],Table_Process_Details[Input or Output],"Input")</f>
        <v>0</v>
      </c>
      <c r="EF11" s="1">
        <f ca="1">SUMIFS(Table_Process_Details[RV Energy (MJ) per kg API (ENZ&amp;PLNT)],Table_Process_Details[Display Name],Table_Process_Details[[#This Row],[Unique Process Inputs]],Table_Process_Details[Input or Output],"Input")</f>
        <v>0</v>
      </c>
      <c r="EG11" s="1">
        <f ca="1">SUMIFS(Table_Process_Details[RV Energy (MJ) per kg API (OTHER)],Table_Process_Details[Display Name],Table_Process_Details[[#This Row],[Unique Process Inputs]],Table_Process_Details[Input or Output],"Input")</f>
        <v>0</v>
      </c>
      <c r="EH11" s="1" t="str">
        <f ca="1">INDEX(Table_Process_Details[Unique Process Inputs],MATCH(Table_Process_Details[[#This Row],['[Energy (MJ) per kg API'] of Unique Inputs Sorted by '[Energy (MJ) per kg API']]],Table_Process_Details[Total '[Energy (MJ) per kg API'] of Unique Inputs],0))</f>
        <v>reagent T (organic)</v>
      </c>
      <c r="EI11" s="22">
        <f ca="1">IF(LARGE(Table_Process_Details[Total '[Energy (MJ) per kg API'] of Unique Inputs],Table_Process_Details[[#This Row],[Table Row]])=0,NA(),LARGE(Table_Process_Details[Total '[Energy (MJ) per kg API'] of Unique Inputs],Table_Process_Details[[#This Row],[Table Row]]))</f>
        <v>329.75131706913032</v>
      </c>
      <c r="EJ11" s="22">
        <f ca="1">SUM(OFFSET(Table_Process_Details['[Energy (MJ) per kg API'] of Unique Inputs Sorted by '[Energy (MJ) per kg API']],0,0,Table_Process_Details[[#This Row],[Table Row]]))</f>
        <v>4510.0239798366738</v>
      </c>
      <c r="EK11" s="22" t="str">
        <f ca="1">"("&amp;TEXT(Table_Process_Details[[#This Row],['[Energy (MJ) per kg API'] of Unique Inputs Sorted by '[Energy (MJ) per kg API']]]/SUMIF(Table_Process_Details['[Energy (MJ) per kg API'] of Unique Inputs Sorted by '[Energy (MJ) per kg API']],"&lt;&gt;#N/A"),"0%")&amp;")"</f>
        <v>(7%)</v>
      </c>
      <c r="EL11" s="22">
        <f ca="1">INDEX(Table_Process_Details[Total '[Energy (MJ) per kg API'] of Unique Inputs (REAGENT)], MATCH(Table_Process_Details[[#This Row],[Unique Inputs Sorted by '[Energy (MJ) per kg API']]],Table_Process_Details[Unique Process Inputs],0))</f>
        <v>329.75131706913032</v>
      </c>
      <c r="EM11" s="22">
        <f ca="1">INDEX(Table_Process_Details[Total '[Energy (MJ) per kg API'] of Unique Inputs (METAL)], MATCH(Table_Process_Details[[#This Row],[Unique Inputs Sorted by '[Energy (MJ) per kg API']]],Table_Process_Details[Unique Process Inputs],0))</f>
        <v>0</v>
      </c>
      <c r="EN11" s="22">
        <f ca="1">INDEX(Table_Process_Details[Total '[Energy (MJ) per kg API'] of Unique Inputs (SOLVENT)], MATCH(Table_Process_Details[[#This Row],[Unique Inputs Sorted by '[Energy (MJ) per kg API']]],Table_Process_Details[Unique Process Inputs],0))</f>
        <v>0</v>
      </c>
      <c r="EO11" s="22">
        <f ca="1">INDEX(Table_Process_Details[Total '[Energy (MJ) per kg API'] of Unique Inputs (WATER)], MATCH(Table_Process_Details[[#This Row],[Unique Inputs Sorted by '[Energy (MJ) per kg API']]],Table_Process_Details[Unique Process Inputs],0))</f>
        <v>0</v>
      </c>
      <c r="EP11" s="22">
        <f ca="1">INDEX(Table_Process_Details[Total '[Energy (MJ) per kg API'] of Unique Inputs (ENZ&amp;PLNT)], MATCH(Table_Process_Details[[#This Row],[Unique Inputs Sorted by '[Energy (MJ) per kg API']]],Table_Process_Details[Unique Process Inputs],0))</f>
        <v>0</v>
      </c>
      <c r="EQ11" s="22">
        <f ca="1">INDEX(Table_Process_Details[Total '[Energy (MJ) per kg API'] of Unique Inputs (OTHER)], MATCH(Table_Process_Details[[#This Row],[Unique Inputs Sorted by '[Energy (MJ) per kg API']]],Table_Process_Details[Unique Process Inputs],0))</f>
        <v>0</v>
      </c>
      <c r="ER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1" s="22">
        <f ca="1">SUMIFS(Table_Process_Details[RV GWP (kg CO2 equiv.) per kg API],Table_Process_Details[Display Name],Table_Process_Details[[#This Row],[Unique Process Inputs]],Table_Process_Details[Input or Output],"Input")</f>
        <v>0</v>
      </c>
      <c r="EZ11" s="1">
        <f ca="1">SUMIFS(Table_Process_Details[RV GWP (kg CO2 equiv.) per kg API (REAGENT)],Table_Process_Details[Display Name],Table_Process_Details[[#This Row],[Unique Process Inputs]],Table_Process_Details[Input or Output],"Input")</f>
        <v>0</v>
      </c>
      <c r="FA11" s="1">
        <f ca="1">SUMIFS(Table_Process_Details[RV GWP (kg CO2 equiv.) per kg API (METAL)],Table_Process_Details[Display Name],Table_Process_Details[[#This Row],[Unique Process Inputs]],Table_Process_Details[Input or Output],"Input")</f>
        <v>0</v>
      </c>
      <c r="FB11" s="1">
        <f ca="1">SUMIFS(Table_Process_Details[RV GWP (kg CO2 equiv.) per kg API (SOLVENT)],Table_Process_Details[Display Name],Table_Process_Details[[#This Row],[Unique Process Inputs]],Table_Process_Details[Input or Output],"Input")</f>
        <v>0</v>
      </c>
      <c r="FC11" s="1">
        <f ca="1">SUMIFS(Table_Process_Details[RV GWP (kg CO2 equiv.) per kg API (WATER)],Table_Process_Details[Display Name],Table_Process_Details[[#This Row],[Unique Process Inputs]],Table_Process_Details[Input or Output],"Input")</f>
        <v>0</v>
      </c>
      <c r="FD11" s="1">
        <f ca="1">SUMIFS(Table_Process_Details[RV GWP (kg CO2 equiv.) per kg API (ENZ&amp;PLNT)],Table_Process_Details[Display Name],Table_Process_Details[[#This Row],[Unique Process Inputs]],Table_Process_Details[Input or Output],"Input")</f>
        <v>0</v>
      </c>
      <c r="FE11" s="1">
        <f ca="1">SUMIFS(Table_Process_Details[RV GWP (kg CO2 equiv.) per kg API (OTHER)],Table_Process_Details[Display Name],Table_Process_Details[[#This Row],[Unique Process Inputs]],Table_Process_Details[Input or Output],"Input")</f>
        <v>0</v>
      </c>
      <c r="FF11" s="22" t="str">
        <f ca="1">INDEX(Table_Process_Details[Unique Process Inputs],MATCH(Table_Process_Details[[#This Row],['[GWP (kg CO2 equiv.) per kg API'] of Unique Inputs Sorted by '[GWP (kg CO2 equiv.) per kg API']]],Table_Process_Details[Total '[GWP (kg CO2 equiv.) per kg API'] of Unique Inputs],0))</f>
        <v>reagent T (organic)</v>
      </c>
      <c r="FG11" s="22">
        <f ca="1">IF(LARGE(Table_Process_Details[Total '[GWP (kg CO2 equiv.) per kg API'] of Unique Inputs],Table_Process_Details[[#This Row],[Table Row]])=0,NA(),LARGE(Table_Process_Details[Total '[GWP (kg CO2 equiv.) per kg API'] of Unique Inputs],Table_Process_Details[[#This Row],[Table Row]]))</f>
        <v>11.559127425097321</v>
      </c>
      <c r="FH11" s="22">
        <f ca="1">SUM(OFFSET(Table_Process_Details['[GWP (kg CO2 equiv.) per kg API'] of Unique Inputs Sorted by '[GWP (kg CO2 equiv.) per kg API']],0,0,Table_Process_Details[[#This Row],[Table Row]]))</f>
        <v>132.20831135289657</v>
      </c>
      <c r="FI11" s="22" t="str">
        <f ca="1">"("&amp;TEXT(Table_Process_Details[[#This Row],['[GWP (kg CO2 equiv.) per kg API'] of Unique Inputs Sorted by '[GWP (kg CO2 equiv.) per kg API']]]/SUMIF(Table_Process_Details['[GWP (kg CO2 equiv.) per kg API'] of Unique Inputs Sorted by '[GWP (kg CO2 equiv.) per kg API']],"&lt;&gt;#N/A"),"0%")&amp;")"</f>
        <v>(7%)</v>
      </c>
      <c r="FJ11" s="22">
        <f ca="1">INDEX(Table_Process_Details[Total '[GWP (kg CO2 equiv.) per kg API'] of Unique Inputs (REAGENT)], MATCH(Table_Process_Details[[#This Row],[Unique Inputs Sorted by '[GWP (kg CO2 equiv.) per kg API']]],Table_Process_Details[Unique Process Inputs],0))</f>
        <v>11.559127425097321</v>
      </c>
      <c r="FK11" s="22">
        <f ca="1">INDEX(Table_Process_Details[Total '[GWP (kg CO2 equiv.) per kg API'] of Unique Inputs (METAL)], MATCH(Table_Process_Details[[#This Row],[Unique Inputs Sorted by '[GWP (kg CO2 equiv.) per kg API']]],Table_Process_Details[Unique Process Inputs],0))</f>
        <v>0</v>
      </c>
      <c r="FL11" s="22">
        <f ca="1">INDEX(Table_Process_Details[Total '[GWP (kg CO2 equiv.) per kg API'] of Unique Inputs (SOLVENT)], MATCH(Table_Process_Details[[#This Row],[Unique Inputs Sorted by '[GWP (kg CO2 equiv.) per kg API']]],Table_Process_Details[Unique Process Inputs],0))</f>
        <v>0</v>
      </c>
      <c r="FM11" s="22">
        <f ca="1">INDEX(Table_Process_Details[Total '[GWP (kg CO2 equiv.) per kg API'] of Unique Inputs (WATER)], MATCH(Table_Process_Details[[#This Row],[Unique Inputs Sorted by '[GWP (kg CO2 equiv.) per kg API']]],Table_Process_Details[Unique Process Inputs],0))</f>
        <v>0</v>
      </c>
      <c r="FN11" s="22">
        <f ca="1">INDEX(Table_Process_Details[Total '[GWP (kg CO2 equiv.) per kg API'] of Unique Inputs (ENZ&amp;PLNT)], MATCH(Table_Process_Details[[#This Row],[Unique Inputs Sorted by '[GWP (kg CO2 equiv.) per kg API']]],Table_Process_Details[Unique Process Inputs],0))</f>
        <v>0</v>
      </c>
      <c r="FO11" s="22">
        <f ca="1">INDEX(Table_Process_Details[Total '[GWP (kg CO2 equiv.) per kg API'] of Unique Inputs (OTHER)], MATCH(Table_Process_Details[[#This Row],[Unique Inputs Sorted by '[GWP (kg CO2 equiv.) per kg API']]],Table_Process_Details[Unique Process Inputs],0))</f>
        <v>0</v>
      </c>
      <c r="FP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1" s="22">
        <f ca="1">SUMIFS(Table_Process_Details[RV Acidification (kg SO2 equiv.) per kg API],Table_Process_Details[Display Name],Table_Process_Details[[#This Row],[Unique Process Inputs]],Table_Process_Details[Input or Output],"Input")</f>
        <v>0</v>
      </c>
      <c r="FX11" s="1">
        <f ca="1">SUMIFS(Table_Process_Details[RV Acidification (kg SO2 equiv.) per kg API (REAGENT)],Table_Process_Details[Display Name],Table_Process_Details[[#This Row],[Unique Process Inputs]],Table_Process_Details[Input or Output],"Input")</f>
        <v>0</v>
      </c>
      <c r="FY11" s="1">
        <f ca="1">SUMIFS(Table_Process_Details[RV Acidification (kg SO2 equiv.) per kg API (METAL)],Table_Process_Details[Display Name],Table_Process_Details[[#This Row],[Unique Process Inputs]],Table_Process_Details[Input or Output],"Input")</f>
        <v>0</v>
      </c>
      <c r="FZ11" s="1">
        <f ca="1">SUMIFS(Table_Process_Details[RV Acidification (kg SO2 equiv.) per kg API (SOLVENT)],Table_Process_Details[Display Name],Table_Process_Details[[#This Row],[Unique Process Inputs]],Table_Process_Details[Input or Output],"Input")</f>
        <v>0</v>
      </c>
      <c r="GA11" s="1">
        <f ca="1">SUMIFS(Table_Process_Details[RV Acidification (kg SO2 equiv.) per kg API (WATER)],Table_Process_Details[Display Name],Table_Process_Details[[#This Row],[Unique Process Inputs]],Table_Process_Details[Input or Output],"Input")</f>
        <v>0</v>
      </c>
      <c r="GB11" s="1">
        <f ca="1">SUMIFS(Table_Process_Details[RV Acidification (kg SO2 equiv.) per kg API (ENZ&amp;PLNT)],Table_Process_Details[Display Name],Table_Process_Details[[#This Row],[Unique Process Inputs]],Table_Process_Details[Input or Output],"Input")</f>
        <v>0</v>
      </c>
      <c r="GC11" s="1">
        <f ca="1">SUMIFS(Table_Process_Details[RV Acidification (kg SO2 equiv.) per kg API (OTHER)],Table_Process_Details[Display Name],Table_Process_Details[[#This Row],[Unique Process Inputs]],Table_Process_Details[Input or Output],"Input")</f>
        <v>0</v>
      </c>
      <c r="GD11"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95 wt% reagent M (organic)</v>
      </c>
      <c r="GE11" s="22">
        <f ca="1">IF(LARGE(Table_Process_Details[Total '[Acidification (kg SO2 equiv.) per kg API'] of Unique Inputs],Table_Process_Details[[#This Row],[Table Row]])=0,NA(),LARGE(Table_Process_Details[Total '[Acidification (kg SO2 equiv.) per kg API'] of Unique Inputs],Table_Process_Details[[#This Row],[Table Row]]))</f>
        <v>2.9080993734813754E-2</v>
      </c>
      <c r="GF11" s="22">
        <f ca="1">SUM(OFFSET(Table_Process_Details['[Acidification (kg SO2 equiv.) per kg API'] of Unique Inputs Sorted by '[Acidification (kg SO2 equiv.) per kg API']],0,0,Table_Process_Details[[#This Row],[Table Row]]))</f>
        <v>0.51983190264032497</v>
      </c>
      <c r="GG11"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(4%)</v>
      </c>
      <c r="GH11" s="22">
        <f ca="1">INDEX(Table_Process_Details[Total '[Acidification (kg SO2 equiv.) per kg API'] of Unique Inputs (REAGENT)], MATCH(Table_Process_Details[[#This Row],[Unique Inputs Sorted by '[Acidification (kg SO2 equiv.) per kg API']]],Table_Process_Details[Unique Process Inputs],0))</f>
        <v>2.908056524132871E-2</v>
      </c>
      <c r="GI11" s="22">
        <f ca="1">INDEX(Table_Process_Details[Total '[Acidification (kg SO2 equiv.) per kg API'] of Unique Inputs (METAL)], MATCH(Table_Process_Details[[#This Row],[Unique Inputs Sorted by '[Acidification (kg SO2 equiv.) per kg API']]],Table_Process_Details[Unique Process Inputs],0))</f>
        <v>0</v>
      </c>
      <c r="GJ11" s="22">
        <f ca="1">INDEX(Table_Process_Details[Total '[Acidification (kg SO2 equiv.) per kg API'] of Unique Inputs (SOLVENT)], MATCH(Table_Process_Details[[#This Row],[Unique Inputs Sorted by '[Acidification (kg SO2 equiv.) per kg API']]],Table_Process_Details[Unique Process Inputs],0))</f>
        <v>0</v>
      </c>
      <c r="GK11" s="22">
        <f ca="1">INDEX(Table_Process_Details[Total '[Acidification (kg SO2 equiv.) per kg API'] of Unique Inputs (WATER)], MATCH(Table_Process_Details[[#This Row],[Unique Inputs Sorted by '[Acidification (kg SO2 equiv.) per kg API']]],Table_Process_Details[Unique Process Inputs],0))</f>
        <v>4.2849348504312751E-7</v>
      </c>
      <c r="GL11" s="22">
        <f ca="1">INDEX(Table_Process_Details[Total '[Acidification (kg SO2 equiv.) per kg API'] of Unique Inputs (ENZ&amp;PLNT)], MATCH(Table_Process_Details[[#This Row],[Unique Inputs Sorted by '[Acidification (kg SO2 equiv.) per kg API']]],Table_Process_Details[Unique Process Inputs],0))</f>
        <v>0</v>
      </c>
      <c r="GM11" s="22">
        <f ca="1">INDEX(Table_Process_Details[Total '[Acidification (kg SO2 equiv.) per kg API'] of Unique Inputs (OTHER)], MATCH(Table_Process_Details[[#This Row],[Unique Inputs Sorted by '[Acidification (kg SO2 equiv.) per kg API']]],Table_Process_Details[Unique Process Inputs],0))</f>
        <v>0</v>
      </c>
      <c r="GN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1" s="22">
        <f ca="1">SUMIFS(Table_Process_Details[RV Eutrophication (kg phosphate equiv.) per kg API],Table_Process_Details[Display Name],Table_Process_Details[[#This Row],[Unique Process Inputs]],Table_Process_Details[Input or Output],"Input")</f>
        <v>0</v>
      </c>
      <c r="GV11" s="1">
        <f ca="1">SUMIFS(Table_Process_Details[RV Eutrophication (kg phosphate equiv.) per kg API (REAGENT)],Table_Process_Details[Display Name],Table_Process_Details[[#This Row],[Unique Process Inputs]],Table_Process_Details[Input or Output],"Input")</f>
        <v>0</v>
      </c>
      <c r="GW11" s="1">
        <f ca="1">SUMIFS(Table_Process_Details[RV Eutrophication (kg phosphate equiv.) per kg API (METAL)],Table_Process_Details[Display Name],Table_Process_Details[[#This Row],[Unique Process Inputs]],Table_Process_Details[Input or Output],"Input")</f>
        <v>0</v>
      </c>
      <c r="GX11" s="1">
        <f ca="1">SUMIFS(Table_Process_Details[RV Eutrophication (kg phosphate equiv.) per kg API (SOLVENT)],Table_Process_Details[Display Name],Table_Process_Details[[#This Row],[Unique Process Inputs]],Table_Process_Details[Input or Output],"Input")</f>
        <v>0</v>
      </c>
      <c r="GY11" s="1">
        <f ca="1">SUMIFS(Table_Process_Details[RV Eutrophication (kg phosphate equiv.) per kg API (WATER)],Table_Process_Details[Display Name],Table_Process_Details[[#This Row],[Unique Process Inputs]],Table_Process_Details[Input or Output],"Input")</f>
        <v>0</v>
      </c>
      <c r="GZ11" s="1">
        <f ca="1">SUMIFS(Table_Process_Details[RV Eutrophication (kg phosphate equiv.) per kg API (ENZ&amp;PLNT)],Table_Process_Details[Display Name],Table_Process_Details[[#This Row],[Unique Process Inputs]],Table_Process_Details[Input or Output],"Input")</f>
        <v>0</v>
      </c>
      <c r="HA11" s="1">
        <f ca="1">SUMIFS(Table_Process_Details[RV Eutrophication (kg phosphate equiv.) per kg API (OTHER)],Table_Process_Details[Display Name],Table_Process_Details[[#This Row],[Unique Process Inputs]],Table_Process_Details[Input or Output],"Input")</f>
        <v>0</v>
      </c>
      <c r="HB11"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D (organic)</v>
      </c>
      <c r="HC11" s="22">
        <f ca="1">IF(LARGE(Table_Process_Details[Total '[Eutrophication (kg posphate equiv.) per kg API'] of Unique Inputs],Table_Process_Details[[#This Row],[Table Row]])=0,NA(),LARGE(Table_Process_Details[Total '[Eutrophication (kg posphate equiv.) per kg API'] of Unique Inputs],Table_Process_Details[[#This Row],[Table Row]]))</f>
        <v>1.0962394032659225E-2</v>
      </c>
      <c r="HD11" s="22">
        <f ca="1">SUM(OFFSET(Table_Process_Details['[Eutrophication (kg posphate equiv.) per kg API'] of Unique Inputs Sorted by '[Eutrophication (kg posphate equiv.) per kg API']],0,0,Table_Process_Details[[#This Row],[Table Row]]))</f>
        <v>1.3291739146368236</v>
      </c>
      <c r="HE11"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(1%)</v>
      </c>
      <c r="HF11" s="1">
        <f ca="1">INDEX(Table_Process_Details[Total '[Eutrophication (kg posphate equiv.) per kg API'] of Unique Inputs (REAGENT)], MATCH(Table_Process_Details[[#This Row],[Unique Inputs Sorted by '[Eutrophication (kg posphate equiv.) per kg API']]],Table_Process_Details[Unique Process Inputs],0))</f>
        <v>1.0962394032659225E-2</v>
      </c>
      <c r="HG11" s="1">
        <f ca="1">INDEX(Table_Process_Details[Total '[Eutrophication (kg posphate equiv.) per kg API'] of Unique Inputs (METAL)], MATCH(Table_Process_Details[[#This Row],[Unique Inputs Sorted by '[Eutrophication (kg posphate equiv.) per kg API']]],Table_Process_Details[Unique Process Inputs],0))</f>
        <v>0</v>
      </c>
      <c r="HH11" s="1">
        <f ca="1">INDEX(Table_Process_Details[Total '[Eutrophication (kg posphate equiv.) per kg API'] of Unique Inputs (SOLVENT)], MATCH(Table_Process_Details[[#This Row],[Unique Inputs Sorted by '[Eutrophication (kg posphate equiv.) per kg API']]],Table_Process_Details[Unique Process Inputs],0))</f>
        <v>0</v>
      </c>
      <c r="HI11" s="1">
        <f ca="1">INDEX(Table_Process_Details[Total '[Eutrophication (kg posphate equiv.) per kg API'] of Unique Inputs (WATER)], MATCH(Table_Process_Details[[#This Row],[Unique Inputs Sorted by '[Eutrophication (kg posphate equiv.) per kg API']]],Table_Process_Details[Unique Process Inputs],0))</f>
        <v>0</v>
      </c>
      <c r="HJ11" s="1">
        <f ca="1">INDEX(Table_Process_Details[Total '[Eutrophication (kg posphate equiv.) per kg API'] of Unique Inputs (ENZ&amp;PLNT)], MATCH(Table_Process_Details[[#This Row],[Unique Inputs Sorted by '[Eutrophication (kg posphate equiv.) per kg API']]],Table_Process_Details[Unique Process Inputs],0))</f>
        <v>0</v>
      </c>
      <c r="HK11" s="1">
        <f ca="1">INDEX(Table_Process_Details[Total '[Eutrophication (kg posphate equiv.) per kg API'] of Unique Inputs (OTHER)], MATCH(Table_Process_Details[[#This Row],[Unique Inputs Sorted by '[Eutrophication (kg posphate equiv.) per kg API']]],Table_Process_Details[Unique Process Inputs],0))</f>
        <v>0</v>
      </c>
      <c r="HL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1" s="1">
        <f ca="1">SUMIFS(Table_Process_Details[RV Water (kg) per kg API],Table_Process_Details[Display Name],Table_Process_Details[[#This Row],[Unique Process Inputs]],Table_Process_Details[Input or Output],"Input")</f>
        <v>0</v>
      </c>
      <c r="HT11" s="1">
        <f ca="1">SUMIFS(Table_Process_Details[RV Water (kg) per kg API (REAGENT)],Table_Process_Details[Display Name],Table_Process_Details[[#This Row],[Unique Process Inputs]],Table_Process_Details[Input or Output],"Input")</f>
        <v>0</v>
      </c>
      <c r="HU11" s="1">
        <f ca="1">SUMIFS(Table_Process_Details[RV Water (kg) per kg API (METAL)],Table_Process_Details[Display Name],Table_Process_Details[[#This Row],[Unique Process Inputs]],Table_Process_Details[Input or Output],"Input")</f>
        <v>0</v>
      </c>
      <c r="HV11" s="1">
        <f ca="1">SUMIFS(Table_Process_Details[RV Water (kg) per kg API (SOLVENT)],Table_Process_Details[Display Name],Table_Process_Details[[#This Row],[Unique Process Inputs]],Table_Process_Details[Input or Output],"Input")</f>
        <v>0</v>
      </c>
      <c r="HW11" s="1">
        <f ca="1">SUMIFS(Table_Process_Details[RV Water (kg) per kg API (WATER)],Table_Process_Details[Display Name],Table_Process_Details[[#This Row],[Unique Process Inputs]],Table_Process_Details[Input or Output],"Input")</f>
        <v>0</v>
      </c>
      <c r="HX11" s="1">
        <f ca="1">SUMIFS(Table_Process_Details[RV Water (kg) per kg API (ENZ&amp;PLNT)],Table_Process_Details[Display Name],Table_Process_Details[[#This Row],[Unique Process Inputs]],Table_Process_Details[Input or Output],"Input")</f>
        <v>0</v>
      </c>
      <c r="HY11" s="1">
        <f ca="1">SUMIFS(Table_Process_Details[RV Water (kg) per kg API (OTHER)],Table_Process_Details[Display Name],Table_Process_Details[[#This Row],[Unique Process Inputs]],Table_Process_Details[Input or Output],"Input")</f>
        <v>0</v>
      </c>
      <c r="HZ11" s="22" t="str">
        <f ca="1">INDEX(Table_Process_Details[Unique Process Inputs],MATCH(Table_Process_Details[[#This Row],['[Water (kg) per kg API'] of Unique Inputs Sorted by '[Water (kg) per kg API']]],Table_Process_Details[Total '[Water (kg) per kg API'] of Unique Inputs],0))</f>
        <v>methanol</v>
      </c>
      <c r="IA11" s="22">
        <f ca="1">IF(LARGE(Table_Process_Details[Total '[Water (kg) per kg API'] of Unique Inputs],Table_Process_Details[[#This Row],[Table Row]])=0,NA(),LARGE(Table_Process_Details[Total '[Water (kg) per kg API'] of Unique Inputs],Table_Process_Details[[#This Row],[Table Row]]))</f>
        <v>29.658127235736981</v>
      </c>
      <c r="IB11" s="1">
        <f ca="1">SUM(OFFSET(Table_Process_Details['[Water (kg) per kg API'] of Unique Inputs Sorted by '[Water (kg) per kg API']],0,0,Table_Process_Details[[#This Row],[Table Row]]))</f>
        <v>753.36532478131198</v>
      </c>
      <c r="IC11" s="1" t="str">
        <f ca="1">"("&amp;TEXT(Table_Process_Details[[#This Row],['[Water (kg) per kg API'] of Unique Inputs Sorted by '[Water (kg) per kg API']]]/SUMIF(Table_Process_Details['[Water (kg) per kg API'] of Unique Inputs Sorted by '[Water (kg) per kg API']],"&lt;&gt;#N/A"),"0%")&amp;")"</f>
        <v>(3%)</v>
      </c>
      <c r="ID11" s="1">
        <f ca="1">INDEX(Table_Process_Details[Total '[Water (kg) per kg API'] of Unique Inputs (REAGENT)], MATCH(Table_Process_Details[[#This Row],[Unique Inputs Sorted by '[Water (kg) per kg API']]],Table_Process_Details[Unique Process Inputs],0))</f>
        <v>0</v>
      </c>
      <c r="IE11" s="1">
        <f ca="1">INDEX(Table_Process_Details[Total '[Water (kg) per kg API'] of Unique Inputs (METAL)], MATCH(Table_Process_Details[[#This Row],[Unique Inputs Sorted by '[Water (kg) per kg API']]],Table_Process_Details[Unique Process Inputs],0))</f>
        <v>0</v>
      </c>
      <c r="IF11" s="1">
        <f ca="1">INDEX(Table_Process_Details[Total '[Water (kg) per kg API'] of Unique Inputs (SOLVENT)], MATCH(Table_Process_Details[[#This Row],[Unique Inputs Sorted by '[Water (kg) per kg API']]],Table_Process_Details[Unique Process Inputs],0))</f>
        <v>29.658127235736981</v>
      </c>
      <c r="IG11" s="1">
        <f ca="1">INDEX(Table_Process_Details[Total '[Water (kg) per kg API'] of Unique Inputs (WATER)], MATCH(Table_Process_Details[[#This Row],[Unique Inputs Sorted by '[Water (kg) per kg API']]],Table_Process_Details[Unique Process Inputs],0))</f>
        <v>0</v>
      </c>
      <c r="IH11" s="1">
        <f ca="1">INDEX(Table_Process_Details[Total '[Water (kg) per kg API'] of Unique Inputs (ENZ&amp;PLNT)], MATCH(Table_Process_Details[[#This Row],[Unique Inputs Sorted by '[Water (kg) per kg API']]],Table_Process_Details[Unique Process Inputs],0))</f>
        <v>0</v>
      </c>
      <c r="II11" s="1">
        <f ca="1">INDEX(Table_Process_Details[Total '[Water (kg) per kg API'] of Unique Inputs (OTHER)], MATCH(Table_Process_Details[[#This Row],[Unique Inputs Sorted by '[Water (kg) per kg API']]],Table_Process_Details[Unique Process Inputs],0))</f>
        <v>0</v>
      </c>
    </row>
    <row r="12" spans="1:250" customFormat="1" x14ac:dyDescent="0.25">
      <c r="A12" s="22" t="str">
        <f>A11</f>
        <v>1c) Virtual solution prep for (1): 15 wt% reagent C (inorganic) in water</v>
      </c>
      <c r="B12" s="21" t="s">
        <v>4</v>
      </c>
      <c r="C12" s="21" t="s">
        <v>6</v>
      </c>
      <c r="D12" s="22" t="s">
        <v>146</v>
      </c>
      <c r="E12" s="22" t="s">
        <v>814</v>
      </c>
      <c r="F12" s="26">
        <v>85</v>
      </c>
      <c r="G12" s="26"/>
      <c r="H12" s="26"/>
      <c r="I12" s="26"/>
      <c r="J12" s="26" t="str">
        <f>INDEX(Process_Steps[Reference],MATCH(Table_Process_Details[[#This Row],[Step Name]],Process_Steps[Name],0))</f>
        <v>Reference Document  for Step 1</v>
      </c>
      <c r="K12" s="27" t="str">
        <f>INDEX(Process_Steps[Real or Virtual?],MATCH(Table_Process_Details[[#This Row],[Step Name]],Process_Steps[Name],0))</f>
        <v>Virtual</v>
      </c>
      <c r="L1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1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12" s="26">
        <f>INDEX(Table_Process_Details[Physical Mass (kg)],MATCH(1,INDEX(((Table_Process_Details[Step Name]=Table_Process_Details[[#This Row],[Step Name]])*(Table_Process_Details[Input or Output]="Output")),0),0))</f>
        <v>100</v>
      </c>
      <c r="O12" s="29">
        <f ca="1">INDEX(Process_Steps[Step Scale Factor for 1kg Packaged API],MATCH(Table_Process_Details[[#This Row],[Step Name]],Process_Steps[Name],0))</f>
        <v>1.1184164089156933E-2</v>
      </c>
      <c r="P1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2.6666666666666665</v>
      </c>
      <c r="Q1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17.666666666666668</v>
      </c>
      <c r="R12" s="26">
        <f ca="1">_xlfn.SWITCH(Run_Reset_PNG,"Reset",Table_Process_Details[[#This Row],[X Init]],"Run",Table_Process_Details[[#This Row],[X Moved]],"Freeze",Table_Process_Details[[#This Row],[X Mover]])</f>
        <v>-9.1548445990672285</v>
      </c>
      <c r="S12" s="26">
        <f ca="1">_xlfn.SWITCH(Run_Reset_PNG,"Reset",Table_Process_Details[[#This Row],[Y Init]],"Run",Table_Process_Details[[#This Row],[Y Moved]],"Freeze",Table_Process_Details[[#This Row],[Y Mover]])</f>
        <v>12.799992704490172</v>
      </c>
      <c r="T12" s="26" cm="1">
        <f t="array" aca="1" ref="T1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-5.3252359029580578</v>
      </c>
      <c r="U12" s="26" cm="1">
        <f t="array" aca="1" ref="U1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0.47001660408428636</v>
      </c>
      <c r="V12" s="26" cm="1">
        <f t="array" aca="1" ref="V12" ca="1">SUM(--(SQRT((Table_Process_Details[[#This Row],[X Mover]]-Table_Process_Details[X Mover])^2+(Table_Process_Details[[#This Row],[Y Mover]]-Table_Process_Details[Y Mover])^2)&lt;Collision_Distance))</f>
        <v>14</v>
      </c>
      <c r="W12" s="26" cm="1">
        <f t="array" aca="1" ref="W1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0.26547591571731638</v>
      </c>
      <c r="X12" s="26" cm="1">
        <f t="array" aca="1" ref="X1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1.4905965683787744E-2</v>
      </c>
      <c r="Y12" s="26" cm="1">
        <f t="array" aca="1" ref="Y1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2" s="26">
        <f>0</f>
        <v>0</v>
      </c>
      <c r="AA12" s="26">
        <f>0</f>
        <v>0</v>
      </c>
      <c r="AB1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4.5774222995336142</v>
      </c>
      <c r="AC12" s="26" cm="1">
        <f t="array" aca="1" ref="AC1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-6.3999963522450862</v>
      </c>
      <c r="AD12" s="26">
        <f>MIN(1,COUNTA(Table_Process_Details[[#This Row],[target x]]),COUNTA(Table_Process_Details[[#This Row],[target y]]))*COUNTA(Table_Process_Details[Step Name])</f>
        <v>98</v>
      </c>
      <c r="AE1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-9.2230342856067793</v>
      </c>
      <c r="AF1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12.783165199524419</v>
      </c>
      <c r="AG1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2" s="26" cm="1">
        <f t="array" aca="1" ref="AH12" ca="1">INDEX(Table_Process_Details[X Mover],MATCH(1,INDEX((Table_Process_Details[Input or Output]="Output")*(Table_Process_Details[Step Name]=Table_Process_Details[[#This Row],[Step Name]])*(Table_Process_Details[[#This Row],[Input or Output]]="Input"),0),0))</f>
        <v>-5.6286105276860896</v>
      </c>
      <c r="AI12" s="26" cm="1">
        <f t="array" aca="1" ref="AI12" ca="1">INDEX(Table_Process_Details[Y Mover],MATCH(1,INDEX((Table_Process_Details[Input or Output]="Output")*(Table_Process_Details[Step Name]=Table_Process_Details[[#This Row],[Step Name]])*(Table_Process_Details[[#This Row],[Input or Output]]="Input"),0),0))</f>
        <v>12.997984013490795</v>
      </c>
      <c r="AJ12" s="26" t="e">
        <f ca="1">SQRT((Table_Process_Details[[#This Row],[X End (To Node Center)]]-Table_Process_Details[[#This Row],[X Guide]])^2+(Table_Process_Details[[#This Row],[Y End (to Node Center)]]-Table_Process_Details[[#This Row],[Y Guide]])^2)</f>
        <v>#N/A</v>
      </c>
      <c r="AK12" s="26" t="e" cm="1">
        <f t="array" ref="AK12">INDEX(Table_Process_Details[X Mover],MATCH(1,INDEX((Table_Process_Details[Step Name]=Table_Process_Details[[#This Row],[LCA Data Source Subclass]])*(Table_Process_Details[Input or Output]="Output"),0)*(Table_Process_Details[[#This Row],[Input or Output]]="Input"),0))</f>
        <v>#N/A</v>
      </c>
      <c r="AL12" s="26" cm="1">
        <f t="array" aca="1" ref="AL12" ca="1">INDEX(Table_Process_Details[X Mover],MATCH(1,INDEX(((Table_Process_Details[Table Row]=Table_Process_Details[[#This Row],[Table Row]])*(1)),0)*(Table_Process_Details[[#This Row],[Input or Output]]="Input"),0))</f>
        <v>-9.1548445990672285</v>
      </c>
      <c r="AM12" s="26" t="e" cm="1">
        <f t="array" aca="1" ref="AM12" ca="1">(Table_Process_Details[[#This Row],[X End (To Node Center)]]*Table_Process_Details[[#This Row],[r0]]-Table_Process_Details[[#This Row],[X End (To Node Center)]]*Arrow_Offset+Table_Process_Details[[#This Row],[X Guide]]*Arrow_Offset)/Table_Process_Details[[#This Row],[r0]]</f>
        <v>#N/A</v>
      </c>
      <c r="AN12" s="26" t="e">
        <f>IF(NOT(Table_Process_Details[[#This Row],[Display As]]="None"),Table_Process_Details[[#This Row],[X Start Prefilter]],NA())</f>
        <v>#N/A</v>
      </c>
      <c r="AO12" s="26" t="e">
        <f>IF(NOT(Table_Process_Details[[#This Row],[Display As]]="None"),Table_Process_Details[[#This Row],[X Guide Prefilter]],NA())</f>
        <v>#N/A</v>
      </c>
      <c r="AP12" s="26" t="e">
        <f>IF(NOT(Table_Process_Details[[#This Row],[Display As]]="None"),Table_Process_Details[[#This Row],[X End (to Stop Radius) Prefilter]],NA())</f>
        <v>#N/A</v>
      </c>
      <c r="AQ12" s="26" t="e">
        <f>NA()</f>
        <v>#N/A</v>
      </c>
      <c r="AR12" s="26" t="e" cm="1">
        <f t="array" ref="AR12">INDEX(Table_Process_Details[Y Mover],MATCH(1,INDEX((Table_Process_Details[Step Name]=Table_Process_Details[[#This Row],[LCA Data Source Subclass]])*(Table_Process_Details[Input or Output]="Output"),0)*(Table_Process_Details[[#This Row],[Input or Output]]="Input"),0))</f>
        <v>#N/A</v>
      </c>
      <c r="AS12" s="26" cm="1">
        <f t="array" aca="1" ref="AS12" ca="1">INDEX(Table_Process_Details[Y Mover],MATCH(1,INDEX(((Table_Process_Details[Table Row]=Table_Process_Details[[#This Row],[Table Row]])*(1)),0)*(Table_Process_Details[[#This Row],[Input or Output]]="Input"),0))</f>
        <v>12.799992704490172</v>
      </c>
      <c r="AT12" s="26" t="e" cm="1">
        <f t="array" aca="1" ref="AT12" ca="1">(Table_Process_Details[[#This Row],[Y Guide]]*Arrow_Offset-Table_Process_Details[[#This Row],[Y End (to Node Center)]]*Arrow_Offset+Table_Process_Details[[#This Row],[Y End (to Node Center)]]*Table_Process_Details[[#This Row],[r0]])/Table_Process_Details[[#This Row],[r0]]</f>
        <v>#N/A</v>
      </c>
      <c r="AU12" s="26" t="e">
        <f>IF(NOT(Table_Process_Details[[#This Row],[Display As]]="None"),Table_Process_Details[[#This Row],[Y Start Prefilter]],NA())</f>
        <v>#N/A</v>
      </c>
      <c r="AV12" s="26" t="e">
        <f>IF(NOT(Table_Process_Details[[#This Row],[Display As]]="None"),Table_Process_Details[[#This Row],[Y Guide Prefilter]],NA())</f>
        <v>#N/A</v>
      </c>
      <c r="AW12" s="26" t="e">
        <f>IF(NOT(Table_Process_Details[[#This Row],[Display As]]="None"),Table_Process_Details[[#This Row],[Y End (to Stop Radius) Prefilter]],NA())</f>
        <v>#N/A</v>
      </c>
      <c r="AX12" s="26" t="e">
        <f>NA()</f>
        <v>#N/A</v>
      </c>
      <c r="AY12" s="26" t="e">
        <f>IF(Table_Process_Details[[#This Row],[Display As]]="Real Step",Table_Process_Details[[#This Row],[X Mover]],NA())</f>
        <v>#N/A</v>
      </c>
      <c r="AZ12" s="26" t="e">
        <f>IF(Table_Process_Details[[#This Row],[Display As]]="Real Step",Table_Process_Details[[#This Row],[Y Mover]],NA())</f>
        <v>#N/A</v>
      </c>
      <c r="BA12" s="26" t="e">
        <f>IF(Table_Process_Details[[#This Row],[Display As]]="Raw Material",Table_Process_Details[[#This Row],[X Mover]],NA())</f>
        <v>#N/A</v>
      </c>
      <c r="BB12" s="26" t="e">
        <f>IF(Table_Process_Details[[#This Row],[Display As]]="Raw Material",Table_Process_Details[[#This Row],[Y Mover]],NA())</f>
        <v>#N/A</v>
      </c>
      <c r="BC12" s="26" t="e">
        <f>IF(OR(Table_Process_Details[[#This Row],[Display As]]="Real Step",Table_Process_Details[[#This Row],[Display As]]="Raw Material"),Table_Process_Details[[#This Row],[X Mover]],NA())</f>
        <v>#N/A</v>
      </c>
      <c r="BD12" s="26" t="e">
        <f>IF(OR(Table_Process_Details[[#This Row],[Display As]]="Real Step",Table_Process_Details[[#This Row],[Display As]]="Raw Material"),Table_Process_Details[[#This Row],[Y Mover]],NA())</f>
        <v>#N/A</v>
      </c>
      <c r="BE12" s="22">
        <f>ROW()-ROW(Table_Process_Details[[#Headers],[Table Row]])</f>
        <v>8</v>
      </c>
      <c r="BF12" s="23" t="str" cm="1">
        <f t="array" aca="1" ref="BF12" ca="1">INDEX(Table_Process_Details[Display Name],MATCH(0,IF(Table_Process_Details[Input or Output]="Input",INDEX(COUNTIF(OFFSET(Table_Process_Details[[#Headers],[Unique Process Inputs]],0,0,Table_Process_Details[[#This Row],[Table Row]],1),Table_Process_Details[Display Name]),),""),0))</f>
        <v>HCl</v>
      </c>
      <c r="BG12" s="23">
        <f ca="1">Table_Process_Details[[#This Row],[Physical Mass (kg)]]*Table_Process_Details[[#This Row],[Step Scale Factor for 1kg Packaged API]]</f>
        <v>0.95065394757833932</v>
      </c>
      <c r="BH1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2" s="23">
        <f ca="1">MATCH(Table_Process_Details[[#This Row],[LCA Data Source Class]],INDIRECT(Table_Process_Details[[#This Row],[Input or Output]]),0)</f>
        <v>2</v>
      </c>
      <c r="BJ12" s="23">
        <f ca="1">MATCH(Table_Process_Details[[#This Row],[LCA Data Source Subclass]],INDIRECT(Table_Process_Details[[#This Row],[LCA Data Source Class]]&amp;"[Name]"),0)</f>
        <v>64</v>
      </c>
      <c r="BK12" s="23">
        <f ca="1">IFERROR(INDEX(INDIRECT(Table_Process_Details[[#This Row],[LCA Data Source Class]]&amp;"[Mass Net (kg)]"),MATCH(Table_Process_Details[[#This Row],[LCA Data Source Subclass]],INDIRECT(Table_Process_Details[[#This Row],[LCA Data Source Class]]&amp;"[Name]"),0)),0)</f>
        <v>1.5302652999999999E-3</v>
      </c>
      <c r="BL12" s="23">
        <f ca="1">IFERROR(INDEX(INDIRECT(Table_Process_Details[[#This Row],[LCA Data Source Class]]&amp;"[Energy (MJ)]"),MATCH(Table_Process_Details[[#This Row],[LCA Data Source Subclass]],INDIRECT(Table_Process_Details[[#This Row],[LCA Data Source Class]]&amp;"[Name]"),0)),0)</f>
        <v>1.9058192000000002E-2</v>
      </c>
      <c r="BM12" s="23">
        <f ca="1">IFERROR(INDEX(INDIRECT(Table_Process_Details[[#This Row],[LCA Data Source Class]]&amp;"[GWP (kg CO2 equiv.)]"),MATCH(Table_Process_Details[[#This Row],[LCA Data Source Subclass]],INDIRECT(Table_Process_Details[[#This Row],[LCA Data Source Class]]&amp;"[Name]"),0)),0)</f>
        <v>1.015742E-3</v>
      </c>
      <c r="BN12" s="23">
        <f ca="1">IFERROR(INDEX(INDIRECT(Table_Process_Details[[#This Row],[LCA Data Source Class]]&amp;"[Acidification (kg SO2 equiv.)]"),MATCH(Table_Process_Details[[#This Row],[LCA Data Source Subclass]],INDIRECT(Table_Process_Details[[#This Row],[LCA Data Source Class]]&amp;"[Name]"),0)),0)</f>
        <v>3.8914349999999996E-6</v>
      </c>
      <c r="BO12" s="23">
        <f ca="1">IFERROR(INDEX(INDIRECT(Table_Process_Details[[#This Row],[LCA Data Source Class]]&amp;"[Eutrophication (kg posphate equiv.)]"),MATCH(Table_Process_Details[[#This Row],[LCA Data Source Subclass]],INDIRECT(Table_Process_Details[[#This Row],[LCA Data Source Class]]&amp;"[Name]"),0)),0)</f>
        <v>2.3181694000000001E-6</v>
      </c>
      <c r="BP12" s="23">
        <f ca="1">IFERROR(INDEX(INDIRECT(Table_Process_Details[[#This Row],[LCA Data Source Class]]&amp;"[Water (kg)]"),MATCH(Table_Process_Details[[#This Row],[LCA Data Source Subclass]],INDIRECT(Table_Process_Details[[#This Row],[LCA Data Source Class]]&amp;"[Name]"),0)),0)</f>
        <v>1.2633490999999999</v>
      </c>
      <c r="BQ12" s="27">
        <f ca="1">(Table_Process_Details[[#This Row],[Input or Output]]="Input")*(Table_Process_Details[[#This Row],[LCA Data Source Class]]&lt;&gt;"Process_Steps")*Table_Process_Details[[#This Row],[Scaled Physical Mass per kg API for All Inputs &amp; Outputs]]</f>
        <v>0.95065394757833932</v>
      </c>
      <c r="BR12" s="27">
        <f ca="1">(Table_Process_Details[[#This Row],[Material Class]]="REAGENT")*Table_Process_Details[[#This Row],[Physical Mass per kg API]]</f>
        <v>0</v>
      </c>
      <c r="BS12" s="27">
        <f ca="1">(Table_Process_Details[[#This Row],[Material Class]]="METAL")*Table_Process_Details[[#This Row],[Physical Mass per kg API]]</f>
        <v>0</v>
      </c>
      <c r="BT12" s="27">
        <f ca="1">(Table_Process_Details[[#This Row],[Material Class]]="SOLVENT")*Table_Process_Details[[#This Row],[Physical Mass per kg API]]</f>
        <v>0</v>
      </c>
      <c r="BU12" s="27">
        <f ca="1">(Table_Process_Details[[#This Row],[Material Class]]="WATER")*Table_Process_Details[[#This Row],[Physical Mass per kg API]]</f>
        <v>0.95065394757833932</v>
      </c>
      <c r="BV12" s="27">
        <f ca="1">(Table_Process_Details[[#This Row],[Material Class]]="ENZ&amp;PLNT")*Table_Process_Details[[#This Row],[Physical Mass per kg API]]</f>
        <v>0</v>
      </c>
      <c r="BW12" s="27">
        <f ca="1">(Table_Process_Details[[#This Row],[Material Class]]="OTHER")*Table_Process_Details[[#This Row],[Physical Mass per kg API]]</f>
        <v>0</v>
      </c>
      <c r="BX1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2" s="1">
        <f ca="1">SUMIFS(Table_Process_Details[RV Physical Mass per kg API],Table_Process_Details[Display Name],Table_Process_Details[[#This Row],[Unique Process Inputs]],Table_Process_Details[Input or Output],"Input")</f>
        <v>0</v>
      </c>
      <c r="CF12" s="1">
        <f ca="1">SUMIFS(Table_Process_Details[RV Physical Mass per kg API (REAGENT)],Table_Process_Details[Display Name],Table_Process_Details[[#This Row],[Unique Process Inputs]],Table_Process_Details[Input or Output],"Input")</f>
        <v>0</v>
      </c>
      <c r="CG12" s="1">
        <f ca="1">SUMIFS(Table_Process_Details[RV Physical Mass per kg API (METAL)],Table_Process_Details[Display Name],Table_Process_Details[[#This Row],[Unique Process Inputs]],Table_Process_Details[Input or Output],"Input")</f>
        <v>0</v>
      </c>
      <c r="CH12" s="1">
        <f ca="1">SUMIFS(Table_Process_Details[RV Physical Mass per kg API (SOLVENT)],Table_Process_Details[Display Name],Table_Process_Details[[#This Row],[Unique Process Inputs]],Table_Process_Details[Input or Output],"Input")</f>
        <v>0</v>
      </c>
      <c r="CI12" s="1">
        <f ca="1">SUMIFS(Table_Process_Details[RV Physical Mass per kg API (WATER)],Table_Process_Details[Display Name],Table_Process_Details[[#This Row],[Unique Process Inputs]],Table_Process_Details[Input or Output],"Input")</f>
        <v>0</v>
      </c>
      <c r="CJ12" s="1">
        <f ca="1">SUMIFS(Table_Process_Details[RV Physical Mass per kg API (ENZ&amp;PLNT)],Table_Process_Details[Display Name],Table_Process_Details[[#This Row],[Unique Process Inputs]],Table_Process_Details[Input or Output],"Input")</f>
        <v>0</v>
      </c>
      <c r="CK12" s="1">
        <f ca="1">SUMIFS(Table_Process_Details[RV Physical Mass per kg API (OTHER)],Table_Process_Details[Display Name],Table_Process_Details[[#This Row],[Unique Process Inputs]],Table_Process_Details[Input or Output],"Input")</f>
        <v>0</v>
      </c>
      <c r="CL12" s="22" t="str">
        <f ca="1">INDEX(Table_Process_Details[Unique Process Inputs],MATCH(Table_Process_Details[[#This Row],['[Physical Mass per kg API'] of Unique Inputs Sorted by '[Physical Mass per kg API']]],Table_Process_Details[Total '[Physical Mass per kg API'] of Unique Inputs],0))</f>
        <v>15 wt% reagent K (inorganic) in water</v>
      </c>
      <c r="CM12" s="22">
        <f ca="1">IF(LARGE(Table_Process_Details[Total '[Physical Mass per kg API'] of Unique Inputs],Table_Process_Details[[#This Row],[Table Row]])=0,NA(),LARGE(Table_Process_Details[Total '[Physical Mass per kg API'] of Unique Inputs],Table_Process_Details[[#This Row],[Table Row]]))</f>
        <v>5.505597357313273</v>
      </c>
      <c r="CN12" s="22">
        <f ca="1">SUM(OFFSET(Table_Process_Details['[Physical Mass per kg API'] of Unique Inputs Sorted by '[Physical Mass per kg API']],0,0,Table_Process_Details[[#This Row],[Table Row]]))</f>
        <v>115.9720857149661</v>
      </c>
      <c r="CO12" s="22" t="str">
        <f ca="1">"("&amp;TEXT(Table_Process_Details[[#This Row],['[Physical Mass per kg API'] of Unique Inputs Sorted by '[Physical Mass per kg API']]]/SUMIF(Table_Process_Details['[Physical Mass per kg API'] of Unique Inputs Sorted by '[Physical Mass per kg API']],"&lt;&gt;#N/A"),"0%")&amp;")"</f>
        <v>(4%)</v>
      </c>
      <c r="CP12" s="22">
        <f ca="1">INDEX(Table_Process_Details[Total '[Physical Mass per kg API'] of Unique Inputs (REAGENT)],MATCH(Table_Process_Details[[#This Row],[Unique Inputs Sorted by '[Physical Mass per kg API']]],Table_Process_Details[Unique Process Inputs],0))</f>
        <v>0.82583960359699093</v>
      </c>
      <c r="CQ12" s="22">
        <f ca="1">INDEX(Table_Process_Details[Total '[Physical Mass per kg API'] of Unique Inputs (METAL)],MATCH(Table_Process_Details[[#This Row],[Unique Inputs Sorted by '[Physical Mass per kg API']]],Table_Process_Details[Unique Process Inputs],0))</f>
        <v>0</v>
      </c>
      <c r="CR12" s="22">
        <f ca="1">INDEX(Table_Process_Details[Total '[Physical Mass per kg API'] of Unique Inputs (SOLVENT)],MATCH(Table_Process_Details[[#This Row],[Unique Inputs Sorted by '[Physical Mass per kg API']]],Table_Process_Details[Unique Process Inputs],0))</f>
        <v>0</v>
      </c>
      <c r="CS12" s="22">
        <f ca="1">INDEX(Table_Process_Details[Total '[Physical Mass per kg API'] of Unique Inputs (WATER)],MATCH(Table_Process_Details[[#This Row],[Unique Inputs Sorted by '[Physical Mass per kg API']]],Table_Process_Details[Unique Process Inputs],0))</f>
        <v>4.6797577537162818</v>
      </c>
      <c r="CT12" s="22">
        <f ca="1">INDEX(Table_Process_Details[Total '[Physical Mass per kg API'] of Unique Inputs (ENZ&amp;PLNT)],MATCH(Table_Process_Details[[#This Row],[Unique Inputs Sorted by '[Physical Mass per kg API']]],Table_Process_Details[Unique Process Inputs],0))</f>
        <v>0</v>
      </c>
      <c r="CU12" s="22">
        <f ca="1">INDEX(Table_Process_Details[Total '[Physical Mass per kg API'] of Unique Inputs (OTHER)],MATCH(Table_Process_Details[[#This Row],[Unique Inputs Sorted by '[Physical Mass per kg API']]],Table_Process_Details[Unique Process Inputs],0))</f>
        <v>0</v>
      </c>
      <c r="CV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2" s="22">
        <f ca="1">SUMIFS(Table_Process_Details[RV Mass Net (kg) per kg API],Table_Process_Details[Display Name],Table_Process_Details[[#This Row],[Unique Process Inputs]],Table_Process_Details[Input or Output],"Input")</f>
        <v>0</v>
      </c>
      <c r="DD12" s="22">
        <f ca="1">SUMIFS(Table_Process_Details[RV Mass Net (kg) per kg API (REAGENT)],Table_Process_Details[Display Name],Table_Process_Details[[#This Row],[Unique Process Inputs]],Table_Process_Details[Input or Output],"Input")</f>
        <v>0</v>
      </c>
      <c r="DE12" s="22">
        <f ca="1">SUMIFS(Table_Process_Details[RV Mass Net (kg) per kg API (METAL)],Table_Process_Details[Display Name],Table_Process_Details[[#This Row],[Unique Process Inputs]],Table_Process_Details[Input or Output],"Input")</f>
        <v>0</v>
      </c>
      <c r="DF12" s="22">
        <f ca="1">SUMIFS(Table_Process_Details[RV Mass Net (kg) per kg API (SOLVENT)],Table_Process_Details[Display Name],Table_Process_Details[[#This Row],[Unique Process Inputs]],Table_Process_Details[Input or Output],"Input")</f>
        <v>0</v>
      </c>
      <c r="DG12" s="22">
        <f ca="1">SUMIFS(Table_Process_Details[RV Mass Net (kg) per kg API (WATER)],Table_Process_Details[Display Name],Table_Process_Details[[#This Row],[Unique Process Inputs]],Table_Process_Details[Input or Output],"Input")</f>
        <v>0</v>
      </c>
      <c r="DH12" s="22">
        <f ca="1">SUMIFS(Table_Process_Details[RV Mass Net (kg) per kg API (ENZ&amp;PLNT)],Table_Process_Details[Display Name],Table_Process_Details[[#This Row],[Unique Process Inputs]],Table_Process_Details[Input or Output],"Input")</f>
        <v>0</v>
      </c>
      <c r="DI12" s="22">
        <f ca="1">SUMIFS(Table_Process_Details[RV Mass Net (kg) per kg API (OTHER)],Table_Process_Details[Display Name],Table_Process_Details[[#This Row],[Unique Process Inputs]],Table_Process_Details[Input or Output],"Input")</f>
        <v>0</v>
      </c>
      <c r="DJ12" s="22" t="str">
        <f ca="1">INDEX(Table_Process_Details[Unique Process Inputs],MATCH(Table_Process_Details[[#This Row],['[Mass Net (kg) per kg API'] of Unique Inputs Sorted by '[Mass Net (kg) per kg API']]],Table_Process_Details[Total '[Mass Net (kg) per kg API'] of Unique Inputs],0))</f>
        <v>25 wt% reagent I (organic) in DMF</v>
      </c>
      <c r="DK12" s="22">
        <f ca="1">IF(LARGE(Table_Process_Details[Total '[Mass Net (kg) per kg API'] of Unique Inputs],Table_Process_Details[[#This Row],[Table Row]])=0,NA(),LARGE(Table_Process_Details[Total '[Mass Net (kg) per kg API'] of Unique Inputs],Table_Process_Details[[#This Row],[Table Row]]))</f>
        <v>3.8924967062320106</v>
      </c>
      <c r="DL12" s="22">
        <f ca="1">SUM(OFFSET(Table_Process_Details['[Mass Net (kg) per kg API'] of Unique Inputs Sorted by '[Mass Net (kg) per kg API']],0,0,Table_Process_Details[[#This Row],[Table Row]]))</f>
        <v>110.18114985014414</v>
      </c>
      <c r="DM12" s="22" t="str">
        <f ca="1">"("&amp;TEXT(Table_Process_Details[[#This Row],['[Mass Net (kg) per kg API'] of Unique Inputs Sorted by '[Mass Net (kg) per kg API']]]/SUMIF(Table_Process_Details['[Mass Net (kg) per kg API'] of Unique Inputs Sorted by '[Mass Net (kg) per kg API']],"&lt;&gt;#N/A"),"0%")&amp;")"</f>
        <v>(3%)</v>
      </c>
      <c r="DN12" s="22">
        <f ca="1">INDEX(Table_Process_Details[Total '[Mass Net (kg) per kg API'] of Unique Inputs (REAGENT)], MATCH(Table_Process_Details[[#This Row],[Unique Inputs Sorted by '[Mass Net (kg) per kg API']]],Table_Process_Details[Unique Process Inputs],0))</f>
        <v>1.1485341259420281</v>
      </c>
      <c r="DO12" s="22">
        <f ca="1">INDEX(Table_Process_Details[Total '[Mass Net (kg) per kg API'] of Unique Inputs (METAL)], MATCH(Table_Process_Details[[#This Row],[Unique Inputs Sorted by '[Mass Net (kg) per kg API']]],Table_Process_Details[Unique Process Inputs],0))</f>
        <v>0</v>
      </c>
      <c r="DP12" s="22">
        <f ca="1">INDEX(Table_Process_Details[Total '[Mass Net (kg) per kg API'] of Unique Inputs (SOLVENT)], MATCH(Table_Process_Details[[#This Row],[Unique Inputs Sorted by '[Mass Net (kg) per kg API']]],Table_Process_Details[Unique Process Inputs],0))</f>
        <v>2.7439625802899825</v>
      </c>
      <c r="DQ12" s="22">
        <f ca="1">INDEX(Table_Process_Details[Total '[Mass Net (kg) per kg API'] of Unique Inputs (WATER)], MATCH(Table_Process_Details[[#This Row],[Unique Inputs Sorted by '[Mass Net (kg) per kg API']]],Table_Process_Details[Unique Process Inputs],0))</f>
        <v>0</v>
      </c>
      <c r="DR12" s="22">
        <f ca="1">INDEX(Table_Process_Details[Total '[Mass Net (kg) per kg API'] of Unique Inputs (ENZ&amp;PLNT)], MATCH(Table_Process_Details[[#This Row],[Unique Inputs Sorted by '[Mass Net (kg) per kg API']]],Table_Process_Details[Unique Process Inputs],0))</f>
        <v>0</v>
      </c>
      <c r="DS12" s="22">
        <f ca="1">INDEX(Table_Process_Details[Total '[Mass Net (kg) per kg API'] of Unique Inputs (OTHER)], MATCH(Table_Process_Details[[#This Row],[Unique Inputs Sorted by '[Mass Net (kg) per kg API']]],Table_Process_Details[Unique Process Inputs],0))</f>
        <v>0</v>
      </c>
      <c r="DT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2" s="1">
        <f ca="1">SUMIFS(Table_Process_Details[RV Energy (MJ) per kg API],Table_Process_Details[Display Name],Table_Process_Details[[#This Row],[Unique Process Inputs]],Table_Process_Details[Input or Output],"Input")</f>
        <v>0</v>
      </c>
      <c r="EB12" s="1">
        <f ca="1">SUMIFS(Table_Process_Details[RV Energy (MJ) per kg API (REAGENT)],Table_Process_Details[Display Name],Table_Process_Details[[#This Row],[Unique Process Inputs]],Table_Process_Details[Input or Output],"Input")</f>
        <v>0</v>
      </c>
      <c r="EC12" s="1">
        <f ca="1">SUMIFS(Table_Process_Details[RV Energy (MJ) per kg API (METAL)],Table_Process_Details[Display Name],Table_Process_Details[[#This Row],[Unique Process Inputs]],Table_Process_Details[Input or Output],"Input")</f>
        <v>0</v>
      </c>
      <c r="ED12" s="1">
        <f ca="1">SUMIFS(Table_Process_Details[RV Energy (MJ) per kg API (SOLVENT)],Table_Process_Details[Display Name],Table_Process_Details[[#This Row],[Unique Process Inputs]],Table_Process_Details[Input or Output],"Input")</f>
        <v>0</v>
      </c>
      <c r="EE12" s="1">
        <f ca="1">SUMIFS(Table_Process_Details[RV Energy (MJ) per kg API (WATER)],Table_Process_Details[Display Name],Table_Process_Details[[#This Row],[Unique Process Inputs]],Table_Process_Details[Input or Output],"Input")</f>
        <v>0</v>
      </c>
      <c r="EF12" s="1">
        <f ca="1">SUMIFS(Table_Process_Details[RV Energy (MJ) per kg API (ENZ&amp;PLNT)],Table_Process_Details[Display Name],Table_Process_Details[[#This Row],[Unique Process Inputs]],Table_Process_Details[Input or Output],"Input")</f>
        <v>0</v>
      </c>
      <c r="EG12" s="1">
        <f ca="1">SUMIFS(Table_Process_Details[RV Energy (MJ) per kg API (OTHER)],Table_Process_Details[Display Name],Table_Process_Details[[#This Row],[Unique Process Inputs]],Table_Process_Details[Input or Output],"Input")</f>
        <v>0</v>
      </c>
      <c r="EH12" s="1" t="str">
        <f ca="1">INDEX(Table_Process_Details[Unique Process Inputs],MATCH(Table_Process_Details[[#This Row],['[Energy (MJ) per kg API'] of Unique Inputs Sorted by '[Energy (MJ) per kg API']]],Table_Process_Details[Total '[Energy (MJ) per kg API'] of Unique Inputs],0))</f>
        <v>25 wt% reagent I (organic) in DMF</v>
      </c>
      <c r="EI12" s="22">
        <f ca="1">IF(LARGE(Table_Process_Details[Total '[Energy (MJ) per kg API'] of Unique Inputs],Table_Process_Details[[#This Row],[Table Row]])=0,NA(),LARGE(Table_Process_Details[Total '[Energy (MJ) per kg API'] of Unique Inputs],Table_Process_Details[[#This Row],[Table Row]]))</f>
        <v>136.34024331780424</v>
      </c>
      <c r="EJ12" s="22">
        <f ca="1">SUM(OFFSET(Table_Process_Details['[Energy (MJ) per kg API'] of Unique Inputs Sorted by '[Energy (MJ) per kg API']],0,0,Table_Process_Details[[#This Row],[Table Row]]))</f>
        <v>4646.3642231544782</v>
      </c>
      <c r="EK12" s="22" t="str">
        <f ca="1">"("&amp;TEXT(Table_Process_Details[[#This Row],['[Energy (MJ) per kg API'] of Unique Inputs Sorted by '[Energy (MJ) per kg API']]]/SUMIF(Table_Process_Details['[Energy (MJ) per kg API'] of Unique Inputs Sorted by '[Energy (MJ) per kg API']],"&lt;&gt;#N/A"),"0%")&amp;")"</f>
        <v>(3%)</v>
      </c>
      <c r="EL12" s="22">
        <f ca="1">INDEX(Table_Process_Details[Total '[Energy (MJ) per kg API'] of Unique Inputs (REAGENT)], MATCH(Table_Process_Details[[#This Row],[Unique Inputs Sorted by '[Energy (MJ) per kg API']]],Table_Process_Details[Unique Process Inputs],0))</f>
        <v>41.218914633641297</v>
      </c>
      <c r="EM12" s="22">
        <f ca="1">INDEX(Table_Process_Details[Total '[Energy (MJ) per kg API'] of Unique Inputs (METAL)], MATCH(Table_Process_Details[[#This Row],[Unique Inputs Sorted by '[Energy (MJ) per kg API']]],Table_Process_Details[Unique Process Inputs],0))</f>
        <v>0</v>
      </c>
      <c r="EN12" s="22">
        <f ca="1">INDEX(Table_Process_Details[Total '[Energy (MJ) per kg API'] of Unique Inputs (SOLVENT)], MATCH(Table_Process_Details[[#This Row],[Unique Inputs Sorted by '[Energy (MJ) per kg API']]],Table_Process_Details[Unique Process Inputs],0))</f>
        <v>95.121328684162947</v>
      </c>
      <c r="EO12" s="22">
        <f ca="1">INDEX(Table_Process_Details[Total '[Energy (MJ) per kg API'] of Unique Inputs (WATER)], MATCH(Table_Process_Details[[#This Row],[Unique Inputs Sorted by '[Energy (MJ) per kg API']]],Table_Process_Details[Unique Process Inputs],0))</f>
        <v>0</v>
      </c>
      <c r="EP12" s="22">
        <f ca="1">INDEX(Table_Process_Details[Total '[Energy (MJ) per kg API'] of Unique Inputs (ENZ&amp;PLNT)], MATCH(Table_Process_Details[[#This Row],[Unique Inputs Sorted by '[Energy (MJ) per kg API']]],Table_Process_Details[Unique Process Inputs],0))</f>
        <v>0</v>
      </c>
      <c r="EQ12" s="22">
        <f ca="1">INDEX(Table_Process_Details[Total '[Energy (MJ) per kg API'] of Unique Inputs (OTHER)], MATCH(Table_Process_Details[[#This Row],[Unique Inputs Sorted by '[Energy (MJ) per kg API']]],Table_Process_Details[Unique Process Inputs],0))</f>
        <v>0</v>
      </c>
      <c r="ER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2" s="22">
        <f ca="1">SUMIFS(Table_Process_Details[RV GWP (kg CO2 equiv.) per kg API],Table_Process_Details[Display Name],Table_Process_Details[[#This Row],[Unique Process Inputs]],Table_Process_Details[Input or Output],"Input")</f>
        <v>0</v>
      </c>
      <c r="EZ12" s="1">
        <f ca="1">SUMIFS(Table_Process_Details[RV GWP (kg CO2 equiv.) per kg API (REAGENT)],Table_Process_Details[Display Name],Table_Process_Details[[#This Row],[Unique Process Inputs]],Table_Process_Details[Input or Output],"Input")</f>
        <v>0</v>
      </c>
      <c r="FA12" s="1">
        <f ca="1">SUMIFS(Table_Process_Details[RV GWP (kg CO2 equiv.) per kg API (METAL)],Table_Process_Details[Display Name],Table_Process_Details[[#This Row],[Unique Process Inputs]],Table_Process_Details[Input or Output],"Input")</f>
        <v>0</v>
      </c>
      <c r="FB12" s="1">
        <f ca="1">SUMIFS(Table_Process_Details[RV GWP (kg CO2 equiv.) per kg API (SOLVENT)],Table_Process_Details[Display Name],Table_Process_Details[[#This Row],[Unique Process Inputs]],Table_Process_Details[Input or Output],"Input")</f>
        <v>0</v>
      </c>
      <c r="FC12" s="1">
        <f ca="1">SUMIFS(Table_Process_Details[RV GWP (kg CO2 equiv.) per kg API (WATER)],Table_Process_Details[Display Name],Table_Process_Details[[#This Row],[Unique Process Inputs]],Table_Process_Details[Input or Output],"Input")</f>
        <v>0</v>
      </c>
      <c r="FD12" s="1">
        <f ca="1">SUMIFS(Table_Process_Details[RV GWP (kg CO2 equiv.) per kg API (ENZ&amp;PLNT)],Table_Process_Details[Display Name],Table_Process_Details[[#This Row],[Unique Process Inputs]],Table_Process_Details[Input or Output],"Input")</f>
        <v>0</v>
      </c>
      <c r="FE12" s="1">
        <f ca="1">SUMIFS(Table_Process_Details[RV GWP (kg CO2 equiv.) per kg API (OTHER)],Table_Process_Details[Display Name],Table_Process_Details[[#This Row],[Unique Process Inputs]],Table_Process_Details[Input or Output],"Input")</f>
        <v>0</v>
      </c>
      <c r="FF12" s="22" t="str">
        <f ca="1">INDEX(Table_Process_Details[Unique Process Inputs],MATCH(Table_Process_Details[[#This Row],['[GWP (kg CO2 equiv.) per kg API'] of Unique Inputs Sorted by '[GWP (kg CO2 equiv.) per kg API']]],Table_Process_Details[Total '[GWP (kg CO2 equiv.) per kg API'] of Unique Inputs],0))</f>
        <v>25 wt% reagent I (organic) in DMF</v>
      </c>
      <c r="FG12" s="22">
        <f ca="1">IF(LARGE(Table_Process_Details[Total '[GWP (kg CO2 equiv.) per kg API'] of Unique Inputs],Table_Process_Details[[#This Row],[Table Row]])=0,NA(),LARGE(Table_Process_Details[Total '[GWP (kg CO2 equiv.) per kg API'] of Unique Inputs],Table_Process_Details[[#This Row],[Table Row]]))</f>
        <v>4.5593040131069085</v>
      </c>
      <c r="FH12" s="22">
        <f ca="1">SUM(OFFSET(Table_Process_Details['[GWP (kg CO2 equiv.) per kg API'] of Unique Inputs Sorted by '[GWP (kg CO2 equiv.) per kg API']],0,0,Table_Process_Details[[#This Row],[Table Row]]))</f>
        <v>136.76761536600347</v>
      </c>
      <c r="FI12" s="22" t="str">
        <f ca="1">"("&amp;TEXT(Table_Process_Details[[#This Row],['[GWP (kg CO2 equiv.) per kg API'] of Unique Inputs Sorted by '[GWP (kg CO2 equiv.) per kg API']]]/SUMIF(Table_Process_Details['[GWP (kg CO2 equiv.) per kg API'] of Unique Inputs Sorted by '[GWP (kg CO2 equiv.) per kg API']],"&lt;&gt;#N/A"),"0%")&amp;")"</f>
        <v>(3%)</v>
      </c>
      <c r="FJ12" s="22">
        <f ca="1">INDEX(Table_Process_Details[Total '[GWP (kg CO2 equiv.) per kg API'] of Unique Inputs (REAGENT)], MATCH(Table_Process_Details[[#This Row],[Unique Inputs Sorted by '[GWP (kg CO2 equiv.) per kg API']]],Table_Process_Details[Unique Process Inputs],0))</f>
        <v>1.4448909281371654</v>
      </c>
      <c r="FK12" s="22">
        <f ca="1">INDEX(Table_Process_Details[Total '[GWP (kg CO2 equiv.) per kg API'] of Unique Inputs (METAL)], MATCH(Table_Process_Details[[#This Row],[Unique Inputs Sorted by '[GWP (kg CO2 equiv.) per kg API']]],Table_Process_Details[Unique Process Inputs],0))</f>
        <v>0</v>
      </c>
      <c r="FL12" s="22">
        <f ca="1">INDEX(Table_Process_Details[Total '[GWP (kg CO2 equiv.) per kg API'] of Unique Inputs (SOLVENT)], MATCH(Table_Process_Details[[#This Row],[Unique Inputs Sorted by '[GWP (kg CO2 equiv.) per kg API']]],Table_Process_Details[Unique Process Inputs],0))</f>
        <v>3.1144130849697427</v>
      </c>
      <c r="FM12" s="22">
        <f ca="1">INDEX(Table_Process_Details[Total '[GWP (kg CO2 equiv.) per kg API'] of Unique Inputs (WATER)], MATCH(Table_Process_Details[[#This Row],[Unique Inputs Sorted by '[GWP (kg CO2 equiv.) per kg API']]],Table_Process_Details[Unique Process Inputs],0))</f>
        <v>0</v>
      </c>
      <c r="FN12" s="22">
        <f ca="1">INDEX(Table_Process_Details[Total '[GWP (kg CO2 equiv.) per kg API'] of Unique Inputs (ENZ&amp;PLNT)], MATCH(Table_Process_Details[[#This Row],[Unique Inputs Sorted by '[GWP (kg CO2 equiv.) per kg API']]],Table_Process_Details[Unique Process Inputs],0))</f>
        <v>0</v>
      </c>
      <c r="FO12" s="22">
        <f ca="1">INDEX(Table_Process_Details[Total '[GWP (kg CO2 equiv.) per kg API'] of Unique Inputs (OTHER)], MATCH(Table_Process_Details[[#This Row],[Unique Inputs Sorted by '[GWP (kg CO2 equiv.) per kg API']]],Table_Process_Details[Unique Process Inputs],0))</f>
        <v>0</v>
      </c>
      <c r="FP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2" s="22">
        <f ca="1">SUMIFS(Table_Process_Details[RV Acidification (kg SO2 equiv.) per kg API],Table_Process_Details[Display Name],Table_Process_Details[[#This Row],[Unique Process Inputs]],Table_Process_Details[Input or Output],"Input")</f>
        <v>0</v>
      </c>
      <c r="FX12" s="1">
        <f ca="1">SUMIFS(Table_Process_Details[RV Acidification (kg SO2 equiv.) per kg API (REAGENT)],Table_Process_Details[Display Name],Table_Process_Details[[#This Row],[Unique Process Inputs]],Table_Process_Details[Input or Output],"Input")</f>
        <v>0</v>
      </c>
      <c r="FY12" s="1">
        <f ca="1">SUMIFS(Table_Process_Details[RV Acidification (kg SO2 equiv.) per kg API (METAL)],Table_Process_Details[Display Name],Table_Process_Details[[#This Row],[Unique Process Inputs]],Table_Process_Details[Input or Output],"Input")</f>
        <v>0</v>
      </c>
      <c r="FZ12" s="1">
        <f ca="1">SUMIFS(Table_Process_Details[RV Acidification (kg SO2 equiv.) per kg API (SOLVENT)],Table_Process_Details[Display Name],Table_Process_Details[[#This Row],[Unique Process Inputs]],Table_Process_Details[Input or Output],"Input")</f>
        <v>0</v>
      </c>
      <c r="GA12" s="1">
        <f ca="1">SUMIFS(Table_Process_Details[RV Acidification (kg SO2 equiv.) per kg API (WATER)],Table_Process_Details[Display Name],Table_Process_Details[[#This Row],[Unique Process Inputs]],Table_Process_Details[Input or Output],"Input")</f>
        <v>0</v>
      </c>
      <c r="GB12" s="1">
        <f ca="1">SUMIFS(Table_Process_Details[RV Acidification (kg SO2 equiv.) per kg API (ENZ&amp;PLNT)],Table_Process_Details[Display Name],Table_Process_Details[[#This Row],[Unique Process Inputs]],Table_Process_Details[Input or Output],"Input")</f>
        <v>0</v>
      </c>
      <c r="GC12" s="1">
        <f ca="1">SUMIFS(Table_Process_Details[RV Acidification (kg SO2 equiv.) per kg API (OTHER)],Table_Process_Details[Display Name],Table_Process_Details[[#This Row],[Unique Process Inputs]],Table_Process_Details[Input or Output],"Input")</f>
        <v>0</v>
      </c>
      <c r="GD12"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methanol</v>
      </c>
      <c r="GE12" s="22">
        <f ca="1">IF(LARGE(Table_Process_Details[Total '[Acidification (kg SO2 equiv.) per kg API'] of Unique Inputs],Table_Process_Details[[#This Row],[Table Row]])=0,NA(),LARGE(Table_Process_Details[Total '[Acidification (kg SO2 equiv.) per kg API'] of Unique Inputs],Table_Process_Details[[#This Row],[Table Row]]))</f>
        <v>2.0061452317611653E-2</v>
      </c>
      <c r="GF12" s="22">
        <f ca="1">SUM(OFFSET(Table_Process_Details['[Acidification (kg SO2 equiv.) per kg API'] of Unique Inputs Sorted by '[Acidification (kg SO2 equiv.) per kg API']],0,0,Table_Process_Details[[#This Row],[Table Row]]))</f>
        <v>0.53989335495793667</v>
      </c>
      <c r="GG12"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(3%)</v>
      </c>
      <c r="GH12" s="22">
        <f ca="1">INDEX(Table_Process_Details[Total '[Acidification (kg SO2 equiv.) per kg API'] of Unique Inputs (REAGENT)], MATCH(Table_Process_Details[[#This Row],[Unique Inputs Sorted by '[Acidification (kg SO2 equiv.) per kg API']]],Table_Process_Details[Unique Process Inputs],0))</f>
        <v>0</v>
      </c>
      <c r="GI12" s="22">
        <f ca="1">INDEX(Table_Process_Details[Total '[Acidification (kg SO2 equiv.) per kg API'] of Unique Inputs (METAL)], MATCH(Table_Process_Details[[#This Row],[Unique Inputs Sorted by '[Acidification (kg SO2 equiv.) per kg API']]],Table_Process_Details[Unique Process Inputs],0))</f>
        <v>0</v>
      </c>
      <c r="GJ12" s="22">
        <f ca="1">INDEX(Table_Process_Details[Total '[Acidification (kg SO2 equiv.) per kg API'] of Unique Inputs (SOLVENT)], MATCH(Table_Process_Details[[#This Row],[Unique Inputs Sorted by '[Acidification (kg SO2 equiv.) per kg API']]],Table_Process_Details[Unique Process Inputs],0))</f>
        <v>2.0061452317611653E-2</v>
      </c>
      <c r="GK12" s="22">
        <f ca="1">INDEX(Table_Process_Details[Total '[Acidification (kg SO2 equiv.) per kg API'] of Unique Inputs (WATER)], MATCH(Table_Process_Details[[#This Row],[Unique Inputs Sorted by '[Acidification (kg SO2 equiv.) per kg API']]],Table_Process_Details[Unique Process Inputs],0))</f>
        <v>0</v>
      </c>
      <c r="GL12" s="22">
        <f ca="1">INDEX(Table_Process_Details[Total '[Acidification (kg SO2 equiv.) per kg API'] of Unique Inputs (ENZ&amp;PLNT)], MATCH(Table_Process_Details[[#This Row],[Unique Inputs Sorted by '[Acidification (kg SO2 equiv.) per kg API']]],Table_Process_Details[Unique Process Inputs],0))</f>
        <v>0</v>
      </c>
      <c r="GM12" s="22">
        <f ca="1">INDEX(Table_Process_Details[Total '[Acidification (kg SO2 equiv.) per kg API'] of Unique Inputs (OTHER)], MATCH(Table_Process_Details[[#This Row],[Unique Inputs Sorted by '[Acidification (kg SO2 equiv.) per kg API']]],Table_Process_Details[Unique Process Inputs],0))</f>
        <v>0</v>
      </c>
      <c r="GN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2" s="22">
        <f ca="1">SUMIFS(Table_Process_Details[RV Eutrophication (kg phosphate equiv.) per kg API],Table_Process_Details[Display Name],Table_Process_Details[[#This Row],[Unique Process Inputs]],Table_Process_Details[Input or Output],"Input")</f>
        <v>0</v>
      </c>
      <c r="GV12" s="1">
        <f ca="1">SUMIFS(Table_Process_Details[RV Eutrophication (kg phosphate equiv.) per kg API (REAGENT)],Table_Process_Details[Display Name],Table_Process_Details[[#This Row],[Unique Process Inputs]],Table_Process_Details[Input or Output],"Input")</f>
        <v>0</v>
      </c>
      <c r="GW12" s="1">
        <f ca="1">SUMIFS(Table_Process_Details[RV Eutrophication (kg phosphate equiv.) per kg API (METAL)],Table_Process_Details[Display Name],Table_Process_Details[[#This Row],[Unique Process Inputs]],Table_Process_Details[Input or Output],"Input")</f>
        <v>0</v>
      </c>
      <c r="GX12" s="1">
        <f ca="1">SUMIFS(Table_Process_Details[RV Eutrophication (kg phosphate equiv.) per kg API (SOLVENT)],Table_Process_Details[Display Name],Table_Process_Details[[#This Row],[Unique Process Inputs]],Table_Process_Details[Input or Output],"Input")</f>
        <v>0</v>
      </c>
      <c r="GY12" s="1">
        <f ca="1">SUMIFS(Table_Process_Details[RV Eutrophication (kg phosphate equiv.) per kg API (WATER)],Table_Process_Details[Display Name],Table_Process_Details[[#This Row],[Unique Process Inputs]],Table_Process_Details[Input or Output],"Input")</f>
        <v>0</v>
      </c>
      <c r="GZ12" s="1">
        <f ca="1">SUMIFS(Table_Process_Details[RV Eutrophication (kg phosphate equiv.) per kg API (ENZ&amp;PLNT)],Table_Process_Details[Display Name],Table_Process_Details[[#This Row],[Unique Process Inputs]],Table_Process_Details[Input or Output],"Input")</f>
        <v>0</v>
      </c>
      <c r="HA12" s="1">
        <f ca="1">SUMIFS(Table_Process_Details[RV Eutrophication (kg phosphate equiv.) per kg API (OTHER)],Table_Process_Details[Display Name],Table_Process_Details[[#This Row],[Unique Process Inputs]],Table_Process_Details[Input or Output],"Input")</f>
        <v>0</v>
      </c>
      <c r="HB12"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M (organic)</v>
      </c>
      <c r="HC12" s="22">
        <f ca="1">IF(LARGE(Table_Process_Details[Total '[Eutrophication (kg posphate equiv.) per kg API'] of Unique Inputs],Table_Process_Details[[#This Row],[Table Row]])=0,NA(),LARGE(Table_Process_Details[Total '[Eutrophication (kg posphate equiv.) per kg API'] of Unique Inputs],Table_Process_Details[[#This Row],[Table Row]]))</f>
        <v>1.0064828057290323E-2</v>
      </c>
      <c r="HD12" s="22">
        <f ca="1">SUM(OFFSET(Table_Process_Details['[Eutrophication (kg posphate equiv.) per kg API'] of Unique Inputs Sorted by '[Eutrophication (kg posphate equiv.) per kg API']],0,0,Table_Process_Details[[#This Row],[Table Row]]))</f>
        <v>1.3392387426941139</v>
      </c>
      <c r="HE12"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(1%)</v>
      </c>
      <c r="HF12" s="1">
        <f ca="1">INDEX(Table_Process_Details[Total '[Eutrophication (kg posphate equiv.) per kg API'] of Unique Inputs (REAGENT)], MATCH(Table_Process_Details[[#This Row],[Unique Inputs Sorted by '[Eutrophication (kg posphate equiv.) per kg API']]],Table_Process_Details[Unique Process Inputs],0))</f>
        <v>1.0064828057290323E-2</v>
      </c>
      <c r="HG12" s="1">
        <f ca="1">INDEX(Table_Process_Details[Total '[Eutrophication (kg posphate equiv.) per kg API'] of Unique Inputs (METAL)], MATCH(Table_Process_Details[[#This Row],[Unique Inputs Sorted by '[Eutrophication (kg posphate equiv.) per kg API']]],Table_Process_Details[Unique Process Inputs],0))</f>
        <v>0</v>
      </c>
      <c r="HH12" s="1">
        <f ca="1">INDEX(Table_Process_Details[Total '[Eutrophication (kg posphate equiv.) per kg API'] of Unique Inputs (SOLVENT)], MATCH(Table_Process_Details[[#This Row],[Unique Inputs Sorted by '[Eutrophication (kg posphate equiv.) per kg API']]],Table_Process_Details[Unique Process Inputs],0))</f>
        <v>0</v>
      </c>
      <c r="HI12" s="1">
        <f ca="1">INDEX(Table_Process_Details[Total '[Eutrophication (kg posphate equiv.) per kg API'] of Unique Inputs (WATER)], MATCH(Table_Process_Details[[#This Row],[Unique Inputs Sorted by '[Eutrophication (kg posphate equiv.) per kg API']]],Table_Process_Details[Unique Process Inputs],0))</f>
        <v>0</v>
      </c>
      <c r="HJ12" s="1">
        <f ca="1">INDEX(Table_Process_Details[Total '[Eutrophication (kg posphate equiv.) per kg API'] of Unique Inputs (ENZ&amp;PLNT)], MATCH(Table_Process_Details[[#This Row],[Unique Inputs Sorted by '[Eutrophication (kg posphate equiv.) per kg API']]],Table_Process_Details[Unique Process Inputs],0))</f>
        <v>0</v>
      </c>
      <c r="HK12" s="1">
        <f ca="1">INDEX(Table_Process_Details[Total '[Eutrophication (kg posphate equiv.) per kg API'] of Unique Inputs (OTHER)], MATCH(Table_Process_Details[[#This Row],[Unique Inputs Sorted by '[Eutrophication (kg posphate equiv.) per kg API']]],Table_Process_Details[Unique Process Inputs],0))</f>
        <v>0</v>
      </c>
      <c r="HL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2" s="1">
        <f ca="1">SUMIFS(Table_Process_Details[RV Water (kg) per kg API],Table_Process_Details[Display Name],Table_Process_Details[[#This Row],[Unique Process Inputs]],Table_Process_Details[Input or Output],"Input")</f>
        <v>0</v>
      </c>
      <c r="HT12" s="1">
        <f ca="1">SUMIFS(Table_Process_Details[RV Water (kg) per kg API (REAGENT)],Table_Process_Details[Display Name],Table_Process_Details[[#This Row],[Unique Process Inputs]],Table_Process_Details[Input or Output],"Input")</f>
        <v>0</v>
      </c>
      <c r="HU12" s="1">
        <f ca="1">SUMIFS(Table_Process_Details[RV Water (kg) per kg API (METAL)],Table_Process_Details[Display Name],Table_Process_Details[[#This Row],[Unique Process Inputs]],Table_Process_Details[Input or Output],"Input")</f>
        <v>0</v>
      </c>
      <c r="HV12" s="1">
        <f ca="1">SUMIFS(Table_Process_Details[RV Water (kg) per kg API (SOLVENT)],Table_Process_Details[Display Name],Table_Process_Details[[#This Row],[Unique Process Inputs]],Table_Process_Details[Input or Output],"Input")</f>
        <v>0</v>
      </c>
      <c r="HW12" s="1">
        <f ca="1">SUMIFS(Table_Process_Details[RV Water (kg) per kg API (WATER)],Table_Process_Details[Display Name],Table_Process_Details[[#This Row],[Unique Process Inputs]],Table_Process_Details[Input or Output],"Input")</f>
        <v>0</v>
      </c>
      <c r="HX12" s="1">
        <f ca="1">SUMIFS(Table_Process_Details[RV Water (kg) per kg API (ENZ&amp;PLNT)],Table_Process_Details[Display Name],Table_Process_Details[[#This Row],[Unique Process Inputs]],Table_Process_Details[Input or Output],"Input")</f>
        <v>0</v>
      </c>
      <c r="HY12" s="1">
        <f ca="1">SUMIFS(Table_Process_Details[RV Water (kg) per kg API (OTHER)],Table_Process_Details[Display Name],Table_Process_Details[[#This Row],[Unique Process Inputs]],Table_Process_Details[Input or Output],"Input")</f>
        <v>0</v>
      </c>
      <c r="HZ12" s="22" t="str">
        <f ca="1">INDEX(Table_Process_Details[Unique Process Inputs],MATCH(Table_Process_Details[[#This Row],['[Water (kg) per kg API'] of Unique Inputs Sorted by '[Water (kg) per kg API']]],Table_Process_Details[Total '[Water (kg) per kg API'] of Unique Inputs],0))</f>
        <v>25 wt% reagent I (organic) in DMF</v>
      </c>
      <c r="IA12" s="22">
        <f ca="1">IF(LARGE(Table_Process_Details[Total '[Water (kg) per kg API'] of Unique Inputs],Table_Process_Details[[#This Row],[Table Row]])=0,NA(),LARGE(Table_Process_Details[Total '[Water (kg) per kg API'] of Unique Inputs],Table_Process_Details[[#This Row],[Table Row]]))</f>
        <v>24.047755110052929</v>
      </c>
      <c r="IB12" s="1">
        <f ca="1">SUM(OFFSET(Table_Process_Details['[Water (kg) per kg API'] of Unique Inputs Sorted by '[Water (kg) per kg API']],0,0,Table_Process_Details[[#This Row],[Table Row]]))</f>
        <v>777.41307989136487</v>
      </c>
      <c r="IC12" s="1" t="str">
        <f ca="1">"("&amp;TEXT(Table_Process_Details[[#This Row],['[Water (kg) per kg API'] of Unique Inputs Sorted by '[Water (kg) per kg API']]]/SUMIF(Table_Process_Details['[Water (kg) per kg API'] of Unique Inputs Sorted by '[Water (kg) per kg API']],"&lt;&gt;#N/A"),"0%")&amp;")"</f>
        <v>(3%)</v>
      </c>
      <c r="ID12" s="1">
        <f ca="1">INDEX(Table_Process_Details[Total '[Water (kg) per kg API'] of Unique Inputs (REAGENT)], MATCH(Table_Process_Details[[#This Row],[Unique Inputs Sorted by '[Water (kg) per kg API']]],Table_Process_Details[Unique Process Inputs],0))</f>
        <v>8.0906510542627554</v>
      </c>
      <c r="IE12" s="1">
        <f ca="1">INDEX(Table_Process_Details[Total '[Water (kg) per kg API'] of Unique Inputs (METAL)], MATCH(Table_Process_Details[[#This Row],[Unique Inputs Sorted by '[Water (kg) per kg API']]],Table_Process_Details[Unique Process Inputs],0))</f>
        <v>0</v>
      </c>
      <c r="IF12" s="1">
        <f ca="1">INDEX(Table_Process_Details[Total '[Water (kg) per kg API'] of Unique Inputs (SOLVENT)], MATCH(Table_Process_Details[[#This Row],[Unique Inputs Sorted by '[Water (kg) per kg API']]],Table_Process_Details[Unique Process Inputs],0))</f>
        <v>15.957104055790174</v>
      </c>
      <c r="IG12" s="1">
        <f ca="1">INDEX(Table_Process_Details[Total '[Water (kg) per kg API'] of Unique Inputs (WATER)], MATCH(Table_Process_Details[[#This Row],[Unique Inputs Sorted by '[Water (kg) per kg API']]],Table_Process_Details[Unique Process Inputs],0))</f>
        <v>0</v>
      </c>
      <c r="IH12" s="1">
        <f ca="1">INDEX(Table_Process_Details[Total '[Water (kg) per kg API'] of Unique Inputs (ENZ&amp;PLNT)], MATCH(Table_Process_Details[[#This Row],[Unique Inputs Sorted by '[Water (kg) per kg API']]],Table_Process_Details[Unique Process Inputs],0))</f>
        <v>0</v>
      </c>
      <c r="II12" s="1">
        <f ca="1">INDEX(Table_Process_Details[Total '[Water (kg) per kg API'] of Unique Inputs (OTHER)], MATCH(Table_Process_Details[[#This Row],[Unique Inputs Sorted by '[Water (kg) per kg API']]],Table_Process_Details[Unique Process Inputs],0))</f>
        <v>0</v>
      </c>
    </row>
    <row r="13" spans="1:250" s="119" customFormat="1" x14ac:dyDescent="0.25">
      <c r="A13" s="126" t="str">
        <f>A12</f>
        <v>1c) Virtual solution prep for (1): 15 wt% reagent C (inorganic) in water</v>
      </c>
      <c r="B13" s="127" t="s">
        <v>5</v>
      </c>
      <c r="C13" s="127" t="s">
        <v>155</v>
      </c>
      <c r="D13" s="126" t="s">
        <v>155</v>
      </c>
      <c r="E13" s="126" t="str">
        <f>'1. Define Process Steps'!C9</f>
        <v>15 wt% reagent C (inorganic) in water</v>
      </c>
      <c r="F13" s="165">
        <f>F12+F11</f>
        <v>100</v>
      </c>
      <c r="G13" s="128"/>
      <c r="H13" s="128"/>
      <c r="I13" s="128"/>
      <c r="J13" s="128" t="str">
        <f>INDEX(Process_Steps[Reference],MATCH(Table_Process_Details[[#This Row],[Step Name]],Process_Steps[Name],0))</f>
        <v>Reference Document  for Step 1</v>
      </c>
      <c r="K13" s="129" t="str">
        <f>INDEX(Process_Steps[Real or Virtual?],MATCH(Table_Process_Details[[#This Row],[Step Name]],Process_Steps[Name],0))</f>
        <v>Virtual</v>
      </c>
      <c r="L13"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3"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3" s="128">
        <f>INDEX(Table_Process_Details[Physical Mass (kg)],MATCH(1,INDEX(((Table_Process_Details[Step Name]=Table_Process_Details[[#This Row],[Step Name]])*(Table_Process_Details[Input or Output]="Output")),0),0))</f>
        <v>100</v>
      </c>
      <c r="O13" s="130">
        <f ca="1">INDEX(Process_Steps[Step Scale Factor for 1kg Packaged API],MATCH(Table_Process_Details[[#This Row],[Step Name]],Process_Steps[Name],0))</f>
        <v>1.1184164089156933E-2</v>
      </c>
      <c r="P13"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v>
      </c>
      <c r="Q13"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v>
      </c>
      <c r="R13" s="128">
        <f ca="1">_xlfn.SWITCH(Run_Reset_PNG,"Reset",Table_Process_Details[[#This Row],[X Init]],"Run",Table_Process_Details[[#This Row],[X Moved]],"Freeze",Table_Process_Details[[#This Row],[X Mover]])</f>
        <v>-5.6286105276860896</v>
      </c>
      <c r="S13" s="128">
        <f ca="1">_xlfn.SWITCH(Run_Reset_PNG,"Reset",Table_Process_Details[[#This Row],[Y Init]],"Run",Table_Process_Details[[#This Row],[Y Moved]],"Freeze",Table_Process_Details[[#This Row],[Y Mover]])</f>
        <v>12.997984013490795</v>
      </c>
      <c r="T13" s="128" cm="1">
        <f t="array" aca="1" ref="T1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-1.8843466920845009</v>
      </c>
      <c r="U13" s="128" cm="1">
        <f t="array" aca="1" ref="U1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-1.2809326706868147</v>
      </c>
      <c r="V13" s="128" cm="1">
        <f t="array" aca="1" ref="V13" ca="1">SUM(--(SQRT((Table_Process_Details[[#This Row],[X Mover]]-Table_Process_Details[X Mover])^2+(Table_Process_Details[[#This Row],[Y Mover]]-Table_Process_Details[Y Mover])^2)&lt;Collision_Distance))</f>
        <v>17</v>
      </c>
      <c r="W13" s="128" cm="1">
        <f t="array" aca="1" ref="W1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9.3885406410907868E-2</v>
      </c>
      <c r="X13" s="128" cm="1">
        <f t="array" aca="1" ref="X1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0.36129355352119508</v>
      </c>
      <c r="Y13" s="128" cm="1">
        <f t="array" aca="1" ref="Y1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13" s="128">
        <f>0</f>
        <v>0</v>
      </c>
      <c r="AA13" s="128">
        <f>0</f>
        <v>0</v>
      </c>
      <c r="AB13"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2.8143052638430448</v>
      </c>
      <c r="AC13" s="128" cm="1">
        <f t="array" aca="1" ref="AC1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-6.4989920067453975</v>
      </c>
      <c r="AD13" s="128">
        <f>MIN(1,COUNTA(Table_Process_Details[[#This Row],[target x]]),COUNTA(Table_Process_Details[[#This Row],[target y]]))*COUNTA(Table_Process_Details[Step Name])</f>
        <v>98</v>
      </c>
      <c r="AE13"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-5.6794419146281214</v>
      </c>
      <c r="AF13"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12.976749972402434</v>
      </c>
      <c r="AG13"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13" s="128" t="e" cm="1">
        <f t="array" ref="AH13">INDEX(Table_Process_Details[X Mover],MATCH(1,INDEX((Table_Process_Details[Input or Output]="Output")*(Table_Process_Details[Step Name]=Table_Process_Details[[#This Row],[Step Name]])*(Table_Process_Details[[#This Row],[Input or Output]]="Input"),0),0))</f>
        <v>#N/A</v>
      </c>
      <c r="AI13" s="128" t="e" cm="1">
        <f t="array" ref="AI13">INDEX(Table_Process_Details[Y Mover],MATCH(1,INDEX((Table_Process_Details[Input or Output]="Output")*(Table_Process_Details[Step Name]=Table_Process_Details[[#This Row],[Step Name]])*(Table_Process_Details[[#This Row],[Input or Output]]="Input"),0),0))</f>
        <v>#N/A</v>
      </c>
      <c r="AJ13" s="128" t="e">
        <f>SQRT((Table_Process_Details[[#This Row],[X End (To Node Center)]]-Table_Process_Details[[#This Row],[X Guide]])^2+(Table_Process_Details[[#This Row],[Y End (to Node Center)]]-Table_Process_Details[[#This Row],[Y Guide]])^2)</f>
        <v>#N/A</v>
      </c>
      <c r="AK13" s="128" t="e" cm="1">
        <f t="array" ref="AK13">INDEX(Table_Process_Details[X Mover],MATCH(1,INDEX((Table_Process_Details[Step Name]=Table_Process_Details[[#This Row],[LCA Data Source Subclass]])*(Table_Process_Details[Input or Output]="Output"),0)*(Table_Process_Details[[#This Row],[Input or Output]]="Input"),0))</f>
        <v>#N/A</v>
      </c>
      <c r="AL13" s="128" t="e" cm="1">
        <f t="array" ref="AL13">INDEX(Table_Process_Details[X Mover],MATCH(1,INDEX(((Table_Process_Details[Table Row]=Table_Process_Details[[#This Row],[Table Row]])*(1)),0)*(Table_Process_Details[[#This Row],[Input or Output]]="Input"),0))</f>
        <v>#N/A</v>
      </c>
      <c r="AM13" s="128" t="e" cm="1">
        <f t="array" ref="AM13">(Table_Process_Details[[#This Row],[X End (To Node Center)]]*Table_Process_Details[[#This Row],[r0]]-Table_Process_Details[[#This Row],[X End (To Node Center)]]*Arrow_Offset+Table_Process_Details[[#This Row],[X Guide]]*Arrow_Offset)/Table_Process_Details[[#This Row],[r0]]</f>
        <v>#N/A</v>
      </c>
      <c r="AN13" s="128" t="e">
        <f>IF(NOT(Table_Process_Details[[#This Row],[Display As]]="None"),Table_Process_Details[[#This Row],[X Start Prefilter]],NA())</f>
        <v>#N/A</v>
      </c>
      <c r="AO13" s="128" t="e">
        <f>IF(NOT(Table_Process_Details[[#This Row],[Display As]]="None"),Table_Process_Details[[#This Row],[X Guide Prefilter]],NA())</f>
        <v>#N/A</v>
      </c>
      <c r="AP13" s="128" t="e">
        <f>IF(NOT(Table_Process_Details[[#This Row],[Display As]]="None"),Table_Process_Details[[#This Row],[X End (to Stop Radius) Prefilter]],NA())</f>
        <v>#N/A</v>
      </c>
      <c r="AQ13" s="128" t="e">
        <f>NA()</f>
        <v>#N/A</v>
      </c>
      <c r="AR13" s="128" t="e" cm="1">
        <f t="array" ref="AR13">INDEX(Table_Process_Details[Y Mover],MATCH(1,INDEX((Table_Process_Details[Step Name]=Table_Process_Details[[#This Row],[LCA Data Source Subclass]])*(Table_Process_Details[Input or Output]="Output"),0)*(Table_Process_Details[[#This Row],[Input or Output]]="Input"),0))</f>
        <v>#N/A</v>
      </c>
      <c r="AS13" s="128" t="e" cm="1">
        <f t="array" ref="AS13">INDEX(Table_Process_Details[Y Mover],MATCH(1,INDEX(((Table_Process_Details[Table Row]=Table_Process_Details[[#This Row],[Table Row]])*(1)),0)*(Table_Process_Details[[#This Row],[Input or Output]]="Input"),0))</f>
        <v>#N/A</v>
      </c>
      <c r="AT13" s="128" t="e" cm="1">
        <f t="array" ref="AT13">(Table_Process_Details[[#This Row],[Y Guide]]*Arrow_Offset-Table_Process_Details[[#This Row],[Y End (to Node Center)]]*Arrow_Offset+Table_Process_Details[[#This Row],[Y End (to Node Center)]]*Table_Process_Details[[#This Row],[r0]])/Table_Process_Details[[#This Row],[r0]]</f>
        <v>#N/A</v>
      </c>
      <c r="AU13" s="128" t="e">
        <f>IF(NOT(Table_Process_Details[[#This Row],[Display As]]="None"),Table_Process_Details[[#This Row],[Y Start Prefilter]],NA())</f>
        <v>#N/A</v>
      </c>
      <c r="AV13" s="128" t="e">
        <f>IF(NOT(Table_Process_Details[[#This Row],[Display As]]="None"),Table_Process_Details[[#This Row],[Y Guide Prefilter]],NA())</f>
        <v>#N/A</v>
      </c>
      <c r="AW13" s="128" t="e">
        <f>IF(NOT(Table_Process_Details[[#This Row],[Display As]]="None"),Table_Process_Details[[#This Row],[Y End (to Stop Radius) Prefilter]],NA())</f>
        <v>#N/A</v>
      </c>
      <c r="AX13" s="128" t="e">
        <f>NA()</f>
        <v>#N/A</v>
      </c>
      <c r="AY13" s="128" t="e">
        <f>IF(Table_Process_Details[[#This Row],[Display As]]="Real Step",Table_Process_Details[[#This Row],[X Mover]],NA())</f>
        <v>#N/A</v>
      </c>
      <c r="AZ13" s="128" t="e">
        <f>IF(Table_Process_Details[[#This Row],[Display As]]="Real Step",Table_Process_Details[[#This Row],[Y Mover]],NA())</f>
        <v>#N/A</v>
      </c>
      <c r="BA13" s="128">
        <f ca="1">IF(Table_Process_Details[[#This Row],[Display As]]="Raw Material",Table_Process_Details[[#This Row],[X Mover]],NA())</f>
        <v>-5.6286105276860896</v>
      </c>
      <c r="BB13" s="128">
        <f ca="1">IF(Table_Process_Details[[#This Row],[Display As]]="Raw Material",Table_Process_Details[[#This Row],[Y Mover]],NA())</f>
        <v>12.997984013490795</v>
      </c>
      <c r="BC13" s="128">
        <f ca="1">IF(OR(Table_Process_Details[[#This Row],[Display As]]="Real Step",Table_Process_Details[[#This Row],[Display As]]="Raw Material"),Table_Process_Details[[#This Row],[X Mover]],NA())</f>
        <v>-5.6286105276860896</v>
      </c>
      <c r="BD13" s="128">
        <f ca="1">IF(OR(Table_Process_Details[[#This Row],[Display As]]="Real Step",Table_Process_Details[[#This Row],[Display As]]="Raw Material"),Table_Process_Details[[#This Row],[Y Mover]],NA())</f>
        <v>12.997984013490795</v>
      </c>
      <c r="BE13" s="126">
        <f>ROW()-ROW(Table_Process_Details[[#Headers],[Table Row]])</f>
        <v>9</v>
      </c>
      <c r="BF13" s="122" t="str" cm="1">
        <f t="array" aca="1" ref="BF13" ca="1">INDEX(Table_Process_Details[Display Name],MATCH(0,IF(Table_Process_Details[Input or Output]="Input",INDEX(COUNTIF(OFFSET(Table_Process_Details[[#Headers],[Unique Process Inputs]],0,0,Table_Process_Details[[#This Row],[Table Row]],1),Table_Process_Details[Display Name]),),""),0))</f>
        <v>reagent D (organic)</v>
      </c>
      <c r="BG13" s="122">
        <f ca="1">Table_Process_Details[[#This Row],[Physical Mass (kg)]]*Table_Process_Details[[#This Row],[Step Scale Factor for 1kg Packaged API]]</f>
        <v>1.1184164089156934</v>
      </c>
      <c r="BH13"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3" s="122">
        <f ca="1">MATCH(Table_Process_Details[[#This Row],[LCA Data Source Class]],INDIRECT(Table_Process_Details[[#This Row],[Input or Output]]),0)</f>
        <v>1</v>
      </c>
      <c r="BJ13" s="122">
        <f ca="1">MATCH(Table_Process_Details[[#This Row],[LCA Data Source Subclass]],INDIRECT(Table_Process_Details[[#This Row],[LCA Data Source Class]]&amp;"[Name]"),0)</f>
        <v>1</v>
      </c>
      <c r="BK13" s="122">
        <f ca="1">IFERROR(INDEX(INDIRECT(Table_Process_Details[[#This Row],[LCA Data Source Class]]&amp;"[Mass Net (kg)]"),MATCH(Table_Process_Details[[#This Row],[LCA Data Source Subclass]],INDIRECT(Table_Process_Details[[#This Row],[LCA Data Source Class]]&amp;"[Name]"),0)),0)</f>
        <v>0</v>
      </c>
      <c r="BL13" s="122">
        <f ca="1">IFERROR(INDEX(INDIRECT(Table_Process_Details[[#This Row],[LCA Data Source Class]]&amp;"[Energy (MJ)]"),MATCH(Table_Process_Details[[#This Row],[LCA Data Source Subclass]],INDIRECT(Table_Process_Details[[#This Row],[LCA Data Source Class]]&amp;"[Name]"),0)),0)</f>
        <v>0</v>
      </c>
      <c r="BM13" s="122">
        <f ca="1">IFERROR(INDEX(INDIRECT(Table_Process_Details[[#This Row],[LCA Data Source Class]]&amp;"[GWP (kg CO2 equiv.)]"),MATCH(Table_Process_Details[[#This Row],[LCA Data Source Subclass]],INDIRECT(Table_Process_Details[[#This Row],[LCA Data Source Class]]&amp;"[Name]"),0)),0)</f>
        <v>0</v>
      </c>
      <c r="BN13" s="122">
        <f ca="1">IFERROR(INDEX(INDIRECT(Table_Process_Details[[#This Row],[LCA Data Source Class]]&amp;"[Acidification (kg SO2 equiv.)]"),MATCH(Table_Process_Details[[#This Row],[LCA Data Source Subclass]],INDIRECT(Table_Process_Details[[#This Row],[LCA Data Source Class]]&amp;"[Name]"),0)),0)</f>
        <v>0</v>
      </c>
      <c r="BO13" s="122">
        <f ca="1">IFERROR(INDEX(INDIRECT(Table_Process_Details[[#This Row],[LCA Data Source Class]]&amp;"[Eutrophication (kg posphate equiv.)]"),MATCH(Table_Process_Details[[#This Row],[LCA Data Source Subclass]],INDIRECT(Table_Process_Details[[#This Row],[LCA Data Source Class]]&amp;"[Name]"),0)),0)</f>
        <v>0</v>
      </c>
      <c r="BP13" s="122">
        <f ca="1">IFERROR(INDEX(INDIRECT(Table_Process_Details[[#This Row],[LCA Data Source Class]]&amp;"[Water (kg)]"),MATCH(Table_Process_Details[[#This Row],[LCA Data Source Subclass]],INDIRECT(Table_Process_Details[[#This Row],[LCA Data Source Class]]&amp;"[Name]"),0)),0)</f>
        <v>0</v>
      </c>
      <c r="BQ13" s="129">
        <f ca="1">(Table_Process_Details[[#This Row],[Input or Output]]="Input")*(Table_Process_Details[[#This Row],[LCA Data Source Class]]&lt;&gt;"Process_Steps")*Table_Process_Details[[#This Row],[Scaled Physical Mass per kg API for All Inputs &amp; Outputs]]</f>
        <v>0</v>
      </c>
      <c r="BR13" s="129">
        <f ca="1">(Table_Process_Details[[#This Row],[Material Class]]="REAGENT")*Table_Process_Details[[#This Row],[Physical Mass per kg API]]</f>
        <v>0</v>
      </c>
      <c r="BS13" s="129">
        <f ca="1">(Table_Process_Details[[#This Row],[Material Class]]="METAL")*Table_Process_Details[[#This Row],[Physical Mass per kg API]]</f>
        <v>0</v>
      </c>
      <c r="BT13" s="129">
        <f ca="1">(Table_Process_Details[[#This Row],[Material Class]]="SOLVENT")*Table_Process_Details[[#This Row],[Physical Mass per kg API]]</f>
        <v>0</v>
      </c>
      <c r="BU13" s="129">
        <f ca="1">(Table_Process_Details[[#This Row],[Material Class]]="WATER")*Table_Process_Details[[#This Row],[Physical Mass per kg API]]</f>
        <v>0</v>
      </c>
      <c r="BV13" s="129">
        <f ca="1">(Table_Process_Details[[#This Row],[Material Class]]="ENZ&amp;PLNT")*Table_Process_Details[[#This Row],[Physical Mass per kg API]]</f>
        <v>0</v>
      </c>
      <c r="BW13" s="129">
        <f ca="1">(Table_Process_Details[[#This Row],[Material Class]]="OTHER")*Table_Process_Details[[#This Row],[Physical Mass per kg API]]</f>
        <v>0</v>
      </c>
      <c r="BX13"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3"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3"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3"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3"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3"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3"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3" s="131">
        <f ca="1">SUMIFS(Table_Process_Details[RV Physical Mass per kg API],Table_Process_Details[Display Name],Table_Process_Details[[#This Row],[Unique Process Inputs]],Table_Process_Details[Input or Output],"Input")</f>
        <v>1.2198798873354835</v>
      </c>
      <c r="CF13" s="131">
        <f ca="1">SUMIFS(Table_Process_Details[RV Physical Mass per kg API (REAGENT)],Table_Process_Details[Display Name],Table_Process_Details[[#This Row],[Unique Process Inputs]],Table_Process_Details[Input or Output],"Input")</f>
        <v>1.2198798873354835</v>
      </c>
      <c r="CG13" s="131">
        <f ca="1">SUMIFS(Table_Process_Details[RV Physical Mass per kg API (METAL)],Table_Process_Details[Display Name],Table_Process_Details[[#This Row],[Unique Process Inputs]],Table_Process_Details[Input or Output],"Input")</f>
        <v>0</v>
      </c>
      <c r="CH13" s="131">
        <f ca="1">SUMIFS(Table_Process_Details[RV Physical Mass per kg API (SOLVENT)],Table_Process_Details[Display Name],Table_Process_Details[[#This Row],[Unique Process Inputs]],Table_Process_Details[Input or Output],"Input")</f>
        <v>0</v>
      </c>
      <c r="CI13" s="131">
        <f ca="1">SUMIFS(Table_Process_Details[RV Physical Mass per kg API (WATER)],Table_Process_Details[Display Name],Table_Process_Details[[#This Row],[Unique Process Inputs]],Table_Process_Details[Input or Output],"Input")</f>
        <v>0</v>
      </c>
      <c r="CJ13" s="131">
        <f ca="1">SUMIFS(Table_Process_Details[RV Physical Mass per kg API (ENZ&amp;PLNT)],Table_Process_Details[Display Name],Table_Process_Details[[#This Row],[Unique Process Inputs]],Table_Process_Details[Input or Output],"Input")</f>
        <v>0</v>
      </c>
      <c r="CK13" s="131">
        <f ca="1">SUMIFS(Table_Process_Details[RV Physical Mass per kg API (OTHER)],Table_Process_Details[Display Name],Table_Process_Details[[#This Row],[Unique Process Inputs]],Table_Process_Details[Input or Output],"Input")</f>
        <v>0</v>
      </c>
      <c r="CL13" s="126" t="str">
        <f ca="1">INDEX(Table_Process_Details[Unique Process Inputs],MATCH(Table_Process_Details[[#This Row],['[Physical Mass per kg API'] of Unique Inputs Sorted by '[Physical Mass per kg API']]],Table_Process_Details[Total '[Physical Mass per kg API'] of Unique Inputs],0))</f>
        <v>reagent T (organic)</v>
      </c>
      <c r="CM13" s="126">
        <f ca="1">IF(LARGE(Table_Process_Details[Total '[Physical Mass per kg API'] of Unique Inputs],Table_Process_Details[[#This Row],[Table Row]])=0,NA(),LARGE(Table_Process_Details[Total '[Physical Mass per kg API'] of Unique Inputs],Table_Process_Details[[#This Row],[Table Row]]))</f>
        <v>4.4044778858506479</v>
      </c>
      <c r="CN13" s="126">
        <f ca="1">SUM(OFFSET(Table_Process_Details['[Physical Mass per kg API'] of Unique Inputs Sorted by '[Physical Mass per kg API']],0,0,Table_Process_Details[[#This Row],[Table Row]]))</f>
        <v>120.37656360081675</v>
      </c>
      <c r="CO13" s="126" t="str">
        <f ca="1">"("&amp;TEXT(Table_Process_Details[[#This Row],['[Physical Mass per kg API'] of Unique Inputs Sorted by '[Physical Mass per kg API']]]/SUMIF(Table_Process_Details['[Physical Mass per kg API'] of Unique Inputs Sorted by '[Physical Mass per kg API']],"&lt;&gt;#N/A"),"0%")&amp;")"</f>
        <v>(3%)</v>
      </c>
      <c r="CP13" s="126">
        <f ca="1">INDEX(Table_Process_Details[Total '[Physical Mass per kg API'] of Unique Inputs (REAGENT)],MATCH(Table_Process_Details[[#This Row],[Unique Inputs Sorted by '[Physical Mass per kg API']]],Table_Process_Details[Unique Process Inputs],0))</f>
        <v>4.4044778858506479</v>
      </c>
      <c r="CQ13" s="126">
        <f ca="1">INDEX(Table_Process_Details[Total '[Physical Mass per kg API'] of Unique Inputs (METAL)],MATCH(Table_Process_Details[[#This Row],[Unique Inputs Sorted by '[Physical Mass per kg API']]],Table_Process_Details[Unique Process Inputs],0))</f>
        <v>0</v>
      </c>
      <c r="CR13" s="126">
        <f ca="1">INDEX(Table_Process_Details[Total '[Physical Mass per kg API'] of Unique Inputs (SOLVENT)],MATCH(Table_Process_Details[[#This Row],[Unique Inputs Sorted by '[Physical Mass per kg API']]],Table_Process_Details[Unique Process Inputs],0))</f>
        <v>0</v>
      </c>
      <c r="CS13" s="126">
        <f ca="1">INDEX(Table_Process_Details[Total '[Physical Mass per kg API'] of Unique Inputs (WATER)],MATCH(Table_Process_Details[[#This Row],[Unique Inputs Sorted by '[Physical Mass per kg API']]],Table_Process_Details[Unique Process Inputs],0))</f>
        <v>0</v>
      </c>
      <c r="CT13" s="126">
        <f ca="1">INDEX(Table_Process_Details[Total '[Physical Mass per kg API'] of Unique Inputs (ENZ&amp;PLNT)],MATCH(Table_Process_Details[[#This Row],[Unique Inputs Sorted by '[Physical Mass per kg API']]],Table_Process_Details[Unique Process Inputs],0))</f>
        <v>0</v>
      </c>
      <c r="CU13" s="126">
        <f ca="1">INDEX(Table_Process_Details[Total '[Physical Mass per kg API'] of Unique Inputs (OTHER)],MATCH(Table_Process_Details[[#This Row],[Unique Inputs Sorted by '[Physical Mass per kg API']]],Table_Process_Details[Unique Process Inputs],0))</f>
        <v>0</v>
      </c>
      <c r="CV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3" s="126">
        <f ca="1">SUMIFS(Table_Process_Details[RV Mass Net (kg) per kg API],Table_Process_Details[Display Name],Table_Process_Details[[#This Row],[Unique Process Inputs]],Table_Process_Details[Input or Output],"Input")</f>
        <v>2.5448168277217289</v>
      </c>
      <c r="DD13" s="126">
        <f ca="1">SUMIFS(Table_Process_Details[RV Mass Net (kg) per kg API (REAGENT)],Table_Process_Details[Display Name],Table_Process_Details[[#This Row],[Unique Process Inputs]],Table_Process_Details[Input or Output],"Input")</f>
        <v>2.5448168277217289</v>
      </c>
      <c r="DE13" s="126">
        <f ca="1">SUMIFS(Table_Process_Details[RV Mass Net (kg) per kg API (METAL)],Table_Process_Details[Display Name],Table_Process_Details[[#This Row],[Unique Process Inputs]],Table_Process_Details[Input or Output],"Input")</f>
        <v>0</v>
      </c>
      <c r="DF13" s="126">
        <f ca="1">SUMIFS(Table_Process_Details[RV Mass Net (kg) per kg API (SOLVENT)],Table_Process_Details[Display Name],Table_Process_Details[[#This Row],[Unique Process Inputs]],Table_Process_Details[Input or Output],"Input")</f>
        <v>0</v>
      </c>
      <c r="DG13" s="126">
        <f ca="1">SUMIFS(Table_Process_Details[RV Mass Net (kg) per kg API (WATER)],Table_Process_Details[Display Name],Table_Process_Details[[#This Row],[Unique Process Inputs]],Table_Process_Details[Input or Output],"Input")</f>
        <v>0</v>
      </c>
      <c r="DH13" s="126">
        <f ca="1">SUMIFS(Table_Process_Details[RV Mass Net (kg) per kg API (ENZ&amp;PLNT)],Table_Process_Details[Display Name],Table_Process_Details[[#This Row],[Unique Process Inputs]],Table_Process_Details[Input or Output],"Input")</f>
        <v>0</v>
      </c>
      <c r="DI13" s="126">
        <f ca="1">SUMIFS(Table_Process_Details[RV Mass Net (kg) per kg API (OTHER)],Table_Process_Details[Display Name],Table_Process_Details[[#This Row],[Unique Process Inputs]],Table_Process_Details[Input or Output],"Input")</f>
        <v>0</v>
      </c>
      <c r="DJ13" s="126" t="str">
        <f ca="1">INDEX(Table_Process_Details[Unique Process Inputs],MATCH(Table_Process_Details[[#This Row],['[Mass Net (kg) per kg API'] of Unique Inputs Sorted by '[Mass Net (kg) per kg API']]],Table_Process_Details[Total '[Mass Net (kg) per kg API'] of Unique Inputs],0))</f>
        <v>95 wt% reagent M (organic)</v>
      </c>
      <c r="DK13" s="126">
        <f ca="1">IF(LARGE(Table_Process_Details[Total '[Mass Net (kg) per kg API'] of Unique Inputs],Table_Process_Details[[#This Row],[Table Row]])=0,NA(),LARGE(Table_Process_Details[Total '[Mass Net (kg) per kg API'] of Unique Inputs],Table_Process_Details[[#This Row],[Table Row]]))</f>
        <v>2.8036186748357519</v>
      </c>
      <c r="DL13" s="126">
        <f ca="1">SUM(OFFSET(Table_Process_Details['[Mass Net (kg) per kg API'] of Unique Inputs Sorted by '[Mass Net (kg) per kg API']],0,0,Table_Process_Details[[#This Row],[Table Row]]))</f>
        <v>112.98476852497988</v>
      </c>
      <c r="DM13" s="126" t="str">
        <f ca="1">"("&amp;TEXT(Table_Process_Details[[#This Row],['[Mass Net (kg) per kg API'] of Unique Inputs Sorted by '[Mass Net (kg) per kg API']]]/SUMIF(Table_Process_Details['[Mass Net (kg) per kg API'] of Unique Inputs Sorted by '[Mass Net (kg) per kg API']],"&lt;&gt;#N/A"),"0%")&amp;")"</f>
        <v>(2%)</v>
      </c>
      <c r="DN13" s="126">
        <f ca="1">INDEX(Table_Process_Details[Total '[Mass Net (kg) per kg API'] of Unique Inputs (REAGENT)], MATCH(Table_Process_Details[[#This Row],[Unique Inputs Sorted by '[Mass Net (kg) per kg API']]],Table_Process_Details[Unique Process Inputs],0))</f>
        <v>2.8034501743439186</v>
      </c>
      <c r="DO13" s="126">
        <f ca="1">INDEX(Table_Process_Details[Total '[Mass Net (kg) per kg API'] of Unique Inputs (METAL)], MATCH(Table_Process_Details[[#This Row],[Unique Inputs Sorted by '[Mass Net (kg) per kg API']]],Table_Process_Details[Unique Process Inputs],0))</f>
        <v>0</v>
      </c>
      <c r="DP13" s="126">
        <f ca="1">INDEX(Table_Process_Details[Total '[Mass Net (kg) per kg API'] of Unique Inputs (SOLVENT)], MATCH(Table_Process_Details[[#This Row],[Unique Inputs Sorted by '[Mass Net (kg) per kg API']]],Table_Process_Details[Unique Process Inputs],0))</f>
        <v>0</v>
      </c>
      <c r="DQ13" s="126">
        <f ca="1">INDEX(Table_Process_Details[Total '[Mass Net (kg) per kg API'] of Unique Inputs (WATER)], MATCH(Table_Process_Details[[#This Row],[Unique Inputs Sorted by '[Mass Net (kg) per kg API']]],Table_Process_Details[Unique Process Inputs],0))</f>
        <v>1.6850049183336405E-4</v>
      </c>
      <c r="DR13" s="126">
        <f ca="1">INDEX(Table_Process_Details[Total '[Mass Net (kg) per kg API'] of Unique Inputs (ENZ&amp;PLNT)], MATCH(Table_Process_Details[[#This Row],[Unique Inputs Sorted by '[Mass Net (kg) per kg API']]],Table_Process_Details[Unique Process Inputs],0))</f>
        <v>0</v>
      </c>
      <c r="DS13" s="126">
        <f ca="1">INDEX(Table_Process_Details[Total '[Mass Net (kg) per kg API'] of Unique Inputs (OTHER)], MATCH(Table_Process_Details[[#This Row],[Unique Inputs Sorted by '[Mass Net (kg) per kg API']]],Table_Process_Details[Unique Process Inputs],0))</f>
        <v>0</v>
      </c>
      <c r="DT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3" s="131">
        <f ca="1">SUMIFS(Table_Process_Details[RV Energy (MJ) per kg API],Table_Process_Details[Display Name],Table_Process_Details[[#This Row],[Unique Process Inputs]],Table_Process_Details[Input or Output],"Input")</f>
        <v>91.329099598221532</v>
      </c>
      <c r="EB13" s="131">
        <f ca="1">SUMIFS(Table_Process_Details[RV Energy (MJ) per kg API (REAGENT)],Table_Process_Details[Display Name],Table_Process_Details[[#This Row],[Unique Process Inputs]],Table_Process_Details[Input or Output],"Input")</f>
        <v>91.329099598221532</v>
      </c>
      <c r="EC13" s="131">
        <f ca="1">SUMIFS(Table_Process_Details[RV Energy (MJ) per kg API (METAL)],Table_Process_Details[Display Name],Table_Process_Details[[#This Row],[Unique Process Inputs]],Table_Process_Details[Input or Output],"Input")</f>
        <v>0</v>
      </c>
      <c r="ED13" s="131">
        <f ca="1">SUMIFS(Table_Process_Details[RV Energy (MJ) per kg API (SOLVENT)],Table_Process_Details[Display Name],Table_Process_Details[[#This Row],[Unique Process Inputs]],Table_Process_Details[Input or Output],"Input")</f>
        <v>0</v>
      </c>
      <c r="EE13" s="131">
        <f ca="1">SUMIFS(Table_Process_Details[RV Energy (MJ) per kg API (WATER)],Table_Process_Details[Display Name],Table_Process_Details[[#This Row],[Unique Process Inputs]],Table_Process_Details[Input or Output],"Input")</f>
        <v>0</v>
      </c>
      <c r="EF13" s="131">
        <f ca="1">SUMIFS(Table_Process_Details[RV Energy (MJ) per kg API (ENZ&amp;PLNT)],Table_Process_Details[Display Name],Table_Process_Details[[#This Row],[Unique Process Inputs]],Table_Process_Details[Input or Output],"Input")</f>
        <v>0</v>
      </c>
      <c r="EG13" s="131">
        <f ca="1">SUMIFS(Table_Process_Details[RV Energy (MJ) per kg API (OTHER)],Table_Process_Details[Display Name],Table_Process_Details[[#This Row],[Unique Process Inputs]],Table_Process_Details[Input or Output],"Input")</f>
        <v>0</v>
      </c>
      <c r="EH13" s="131" t="str">
        <f ca="1">INDEX(Table_Process_Details[Unique Process Inputs],MATCH(Table_Process_Details[[#This Row],['[Energy (MJ) per kg API'] of Unique Inputs Sorted by '[Energy (MJ) per kg API']]],Table_Process_Details[Total '[Energy (MJ) per kg API'] of Unique Inputs],0))</f>
        <v>reagent D (organic)</v>
      </c>
      <c r="EI13" s="126">
        <f ca="1">IF(LARGE(Table_Process_Details[Total '[Energy (MJ) per kg API'] of Unique Inputs],Table_Process_Details[[#This Row],[Table Row]])=0,NA(),LARGE(Table_Process_Details[Total '[Energy (MJ) per kg API'] of Unique Inputs],Table_Process_Details[[#This Row],[Table Row]]))</f>
        <v>91.329099598221532</v>
      </c>
      <c r="EJ13" s="126">
        <f ca="1">SUM(OFFSET(Table_Process_Details['[Energy (MJ) per kg API'] of Unique Inputs Sorted by '[Energy (MJ) per kg API']],0,0,Table_Process_Details[[#This Row],[Table Row]]))</f>
        <v>4737.6933227526997</v>
      </c>
      <c r="EK13" s="126" t="str">
        <f ca="1">"("&amp;TEXT(Table_Process_Details[[#This Row],['[Energy (MJ) per kg API'] of Unique Inputs Sorted by '[Energy (MJ) per kg API']]]/SUMIF(Table_Process_Details['[Energy (MJ) per kg API'] of Unique Inputs Sorted by '[Energy (MJ) per kg API']],"&lt;&gt;#N/A"),"0%")&amp;")"</f>
        <v>(2%)</v>
      </c>
      <c r="EL13" s="126">
        <f ca="1">INDEX(Table_Process_Details[Total '[Energy (MJ) per kg API'] of Unique Inputs (REAGENT)], MATCH(Table_Process_Details[[#This Row],[Unique Inputs Sorted by '[Energy (MJ) per kg API']]],Table_Process_Details[Unique Process Inputs],0))</f>
        <v>91.329099598221532</v>
      </c>
      <c r="EM13" s="126">
        <f ca="1">INDEX(Table_Process_Details[Total '[Energy (MJ) per kg API'] of Unique Inputs (METAL)], MATCH(Table_Process_Details[[#This Row],[Unique Inputs Sorted by '[Energy (MJ) per kg API']]],Table_Process_Details[Unique Process Inputs],0))</f>
        <v>0</v>
      </c>
      <c r="EN13" s="126">
        <f ca="1">INDEX(Table_Process_Details[Total '[Energy (MJ) per kg API'] of Unique Inputs (SOLVENT)], MATCH(Table_Process_Details[[#This Row],[Unique Inputs Sorted by '[Energy (MJ) per kg API']]],Table_Process_Details[Unique Process Inputs],0))</f>
        <v>0</v>
      </c>
      <c r="EO13" s="126">
        <f ca="1">INDEX(Table_Process_Details[Total '[Energy (MJ) per kg API'] of Unique Inputs (WATER)], MATCH(Table_Process_Details[[#This Row],[Unique Inputs Sorted by '[Energy (MJ) per kg API']]],Table_Process_Details[Unique Process Inputs],0))</f>
        <v>0</v>
      </c>
      <c r="EP13" s="126">
        <f ca="1">INDEX(Table_Process_Details[Total '[Energy (MJ) per kg API'] of Unique Inputs (ENZ&amp;PLNT)], MATCH(Table_Process_Details[[#This Row],[Unique Inputs Sorted by '[Energy (MJ) per kg API']]],Table_Process_Details[Unique Process Inputs],0))</f>
        <v>0</v>
      </c>
      <c r="EQ13" s="126">
        <f ca="1">INDEX(Table_Process_Details[Total '[Energy (MJ) per kg API'] of Unique Inputs (OTHER)], MATCH(Table_Process_Details[[#This Row],[Unique Inputs Sorted by '[Energy (MJ) per kg API']]],Table_Process_Details[Unique Process Inputs],0))</f>
        <v>0</v>
      </c>
      <c r="ER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3" s="126">
        <f ca="1">SUMIFS(Table_Process_Details[RV GWP (kg CO2 equiv.) per kg API],Table_Process_Details[Display Name],Table_Process_Details[[#This Row],[Unique Process Inputs]],Table_Process_Details[Input or Output],"Input")</f>
        <v>3.2014571139800156</v>
      </c>
      <c r="EZ13" s="131">
        <f ca="1">SUMIFS(Table_Process_Details[RV GWP (kg CO2 equiv.) per kg API (REAGENT)],Table_Process_Details[Display Name],Table_Process_Details[[#This Row],[Unique Process Inputs]],Table_Process_Details[Input or Output],"Input")</f>
        <v>3.2014571139800156</v>
      </c>
      <c r="FA13" s="131">
        <f ca="1">SUMIFS(Table_Process_Details[RV GWP (kg CO2 equiv.) per kg API (METAL)],Table_Process_Details[Display Name],Table_Process_Details[[#This Row],[Unique Process Inputs]],Table_Process_Details[Input or Output],"Input")</f>
        <v>0</v>
      </c>
      <c r="FB13" s="131">
        <f ca="1">SUMIFS(Table_Process_Details[RV GWP (kg CO2 equiv.) per kg API (SOLVENT)],Table_Process_Details[Display Name],Table_Process_Details[[#This Row],[Unique Process Inputs]],Table_Process_Details[Input or Output],"Input")</f>
        <v>0</v>
      </c>
      <c r="FC13" s="131">
        <f ca="1">SUMIFS(Table_Process_Details[RV GWP (kg CO2 equiv.) per kg API (WATER)],Table_Process_Details[Display Name],Table_Process_Details[[#This Row],[Unique Process Inputs]],Table_Process_Details[Input or Output],"Input")</f>
        <v>0</v>
      </c>
      <c r="FD13" s="131">
        <f ca="1">SUMIFS(Table_Process_Details[RV GWP (kg CO2 equiv.) per kg API (ENZ&amp;PLNT)],Table_Process_Details[Display Name],Table_Process_Details[[#This Row],[Unique Process Inputs]],Table_Process_Details[Input or Output],"Input")</f>
        <v>0</v>
      </c>
      <c r="FE13" s="131">
        <f ca="1">SUMIFS(Table_Process_Details[RV GWP (kg CO2 equiv.) per kg API (OTHER)],Table_Process_Details[Display Name],Table_Process_Details[[#This Row],[Unique Process Inputs]],Table_Process_Details[Input or Output],"Input")</f>
        <v>0</v>
      </c>
      <c r="FF13" s="126" t="str">
        <f ca="1">INDEX(Table_Process_Details[Unique Process Inputs],MATCH(Table_Process_Details[[#This Row],['[GWP (kg CO2 equiv.) per kg API'] of Unique Inputs Sorted by '[GWP (kg CO2 equiv.) per kg API']]],Table_Process_Details[Total '[GWP (kg CO2 equiv.) per kg API'] of Unique Inputs],0))</f>
        <v>reagent D (organic)</v>
      </c>
      <c r="FG13" s="126">
        <f ca="1">IF(LARGE(Table_Process_Details[Total '[GWP (kg CO2 equiv.) per kg API'] of Unique Inputs],Table_Process_Details[[#This Row],[Table Row]])=0,NA(),LARGE(Table_Process_Details[Total '[GWP (kg CO2 equiv.) per kg API'] of Unique Inputs],Table_Process_Details[[#This Row],[Table Row]]))</f>
        <v>3.2014571139800156</v>
      </c>
      <c r="FH13" s="126">
        <f ca="1">SUM(OFFSET(Table_Process_Details['[GWP (kg CO2 equiv.) per kg API'] of Unique Inputs Sorted by '[GWP (kg CO2 equiv.) per kg API']],0,0,Table_Process_Details[[#This Row],[Table Row]]))</f>
        <v>139.96907247998348</v>
      </c>
      <c r="FI13" s="126" t="str">
        <f ca="1">"("&amp;TEXT(Table_Process_Details[[#This Row],['[GWP (kg CO2 equiv.) per kg API'] of Unique Inputs Sorted by '[GWP (kg CO2 equiv.) per kg API']]]/SUMIF(Table_Process_Details['[GWP (kg CO2 equiv.) per kg API'] of Unique Inputs Sorted by '[GWP (kg CO2 equiv.) per kg API']],"&lt;&gt;#N/A"),"0%")&amp;")"</f>
        <v>(2%)</v>
      </c>
      <c r="FJ13" s="126">
        <f ca="1">INDEX(Table_Process_Details[Total '[GWP (kg CO2 equiv.) per kg API'] of Unique Inputs (REAGENT)], MATCH(Table_Process_Details[[#This Row],[Unique Inputs Sorted by '[GWP (kg CO2 equiv.) per kg API']]],Table_Process_Details[Unique Process Inputs],0))</f>
        <v>3.2014571139800156</v>
      </c>
      <c r="FK13" s="126">
        <f ca="1">INDEX(Table_Process_Details[Total '[GWP (kg CO2 equiv.) per kg API'] of Unique Inputs (METAL)], MATCH(Table_Process_Details[[#This Row],[Unique Inputs Sorted by '[GWP (kg CO2 equiv.) per kg API']]],Table_Process_Details[Unique Process Inputs],0))</f>
        <v>0</v>
      </c>
      <c r="FL13" s="126">
        <f ca="1">INDEX(Table_Process_Details[Total '[GWP (kg CO2 equiv.) per kg API'] of Unique Inputs (SOLVENT)], MATCH(Table_Process_Details[[#This Row],[Unique Inputs Sorted by '[GWP (kg CO2 equiv.) per kg API']]],Table_Process_Details[Unique Process Inputs],0))</f>
        <v>0</v>
      </c>
      <c r="FM13" s="126">
        <f ca="1">INDEX(Table_Process_Details[Total '[GWP (kg CO2 equiv.) per kg API'] of Unique Inputs (WATER)], MATCH(Table_Process_Details[[#This Row],[Unique Inputs Sorted by '[GWP (kg CO2 equiv.) per kg API']]],Table_Process_Details[Unique Process Inputs],0))</f>
        <v>0</v>
      </c>
      <c r="FN13" s="126">
        <f ca="1">INDEX(Table_Process_Details[Total '[GWP (kg CO2 equiv.) per kg API'] of Unique Inputs (ENZ&amp;PLNT)], MATCH(Table_Process_Details[[#This Row],[Unique Inputs Sorted by '[GWP (kg CO2 equiv.) per kg API']]],Table_Process_Details[Unique Process Inputs],0))</f>
        <v>0</v>
      </c>
      <c r="FO13" s="126">
        <f ca="1">INDEX(Table_Process_Details[Total '[GWP (kg CO2 equiv.) per kg API'] of Unique Inputs (OTHER)], MATCH(Table_Process_Details[[#This Row],[Unique Inputs Sorted by '[GWP (kg CO2 equiv.) per kg API']]],Table_Process_Details[Unique Process Inputs],0))</f>
        <v>0</v>
      </c>
      <c r="FP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3" s="126">
        <f ca="1">SUMIFS(Table_Process_Details[RV Acidification (kg SO2 equiv.) per kg API],Table_Process_Details[Display Name],Table_Process_Details[[#This Row],[Unique Process Inputs]],Table_Process_Details[Input or Output],"Input")</f>
        <v>1.3690850729033123E-2</v>
      </c>
      <c r="FX13" s="131">
        <f ca="1">SUMIFS(Table_Process_Details[RV Acidification (kg SO2 equiv.) per kg API (REAGENT)],Table_Process_Details[Display Name],Table_Process_Details[[#This Row],[Unique Process Inputs]],Table_Process_Details[Input or Output],"Input")</f>
        <v>1.3690850729033123E-2</v>
      </c>
      <c r="FY13" s="131">
        <f ca="1">SUMIFS(Table_Process_Details[RV Acidification (kg SO2 equiv.) per kg API (METAL)],Table_Process_Details[Display Name],Table_Process_Details[[#This Row],[Unique Process Inputs]],Table_Process_Details[Input or Output],"Input")</f>
        <v>0</v>
      </c>
      <c r="FZ13" s="131">
        <f ca="1">SUMIFS(Table_Process_Details[RV Acidification (kg SO2 equiv.) per kg API (SOLVENT)],Table_Process_Details[Display Name],Table_Process_Details[[#This Row],[Unique Process Inputs]],Table_Process_Details[Input or Output],"Input")</f>
        <v>0</v>
      </c>
      <c r="GA13" s="131">
        <f ca="1">SUMIFS(Table_Process_Details[RV Acidification (kg SO2 equiv.) per kg API (WATER)],Table_Process_Details[Display Name],Table_Process_Details[[#This Row],[Unique Process Inputs]],Table_Process_Details[Input or Output],"Input")</f>
        <v>0</v>
      </c>
      <c r="GB13" s="131">
        <f ca="1">SUMIFS(Table_Process_Details[RV Acidification (kg SO2 equiv.) per kg API (ENZ&amp;PLNT)],Table_Process_Details[Display Name],Table_Process_Details[[#This Row],[Unique Process Inputs]],Table_Process_Details[Input or Output],"Input")</f>
        <v>0</v>
      </c>
      <c r="GC13" s="131">
        <f ca="1">SUMIFS(Table_Process_Details[RV Acidification (kg SO2 equiv.) per kg API (OTHER)],Table_Process_Details[Display Name],Table_Process_Details[[#This Row],[Unique Process Inputs]],Table_Process_Details[Input or Output],"Input")</f>
        <v>0</v>
      </c>
      <c r="GD13"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25 wt% reagent I (organic) in DMF</v>
      </c>
      <c r="GE13" s="126">
        <f ca="1">IF(LARGE(Table_Process_Details[Total '[Acidification (kg SO2 equiv.) per kg API'] of Unique Inputs],Table_Process_Details[[#This Row],[Table Row]])=0,NA(),LARGE(Table_Process_Details[Total '[Acidification (kg SO2 equiv.) per kg API'] of Unique Inputs],Table_Process_Details[[#This Row],[Table Row]]))</f>
        <v>1.9942517972223524E-2</v>
      </c>
      <c r="GF13" s="126">
        <f ca="1">SUM(OFFSET(Table_Process_Details['[Acidification (kg SO2 equiv.) per kg API'] of Unique Inputs Sorted by '[Acidification (kg SO2 equiv.) per kg API']],0,0,Table_Process_Details[[#This Row],[Table Row]]))</f>
        <v>0.55983587293016024</v>
      </c>
      <c r="GG13"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(3%)</v>
      </c>
      <c r="GH13" s="126">
        <f ca="1">INDEX(Table_Process_Details[Total '[Acidification (kg SO2 equiv.) per kg API'] of Unique Inputs (REAGENT)], MATCH(Table_Process_Details[[#This Row],[Unique Inputs Sorted by '[Acidification (kg SO2 equiv.) per kg API']]],Table_Process_Details[Unique Process Inputs],0))</f>
        <v>6.1789945367306696E-3</v>
      </c>
      <c r="GI13" s="126">
        <f ca="1">INDEX(Table_Process_Details[Total '[Acidification (kg SO2 equiv.) per kg API'] of Unique Inputs (METAL)], MATCH(Table_Process_Details[[#This Row],[Unique Inputs Sorted by '[Acidification (kg SO2 equiv.) per kg API']]],Table_Process_Details[Unique Process Inputs],0))</f>
        <v>0</v>
      </c>
      <c r="GJ13" s="126">
        <f ca="1">INDEX(Table_Process_Details[Total '[Acidification (kg SO2 equiv.) per kg API'] of Unique Inputs (SOLVENT)], MATCH(Table_Process_Details[[#This Row],[Unique Inputs Sorted by '[Acidification (kg SO2 equiv.) per kg API']]],Table_Process_Details[Unique Process Inputs],0))</f>
        <v>1.3763523435492855E-2</v>
      </c>
      <c r="GK13" s="126">
        <f ca="1">INDEX(Table_Process_Details[Total '[Acidification (kg SO2 equiv.) per kg API'] of Unique Inputs (WATER)], MATCH(Table_Process_Details[[#This Row],[Unique Inputs Sorted by '[Acidification (kg SO2 equiv.) per kg API']]],Table_Process_Details[Unique Process Inputs],0))</f>
        <v>0</v>
      </c>
      <c r="GL13" s="126">
        <f ca="1">INDEX(Table_Process_Details[Total '[Acidification (kg SO2 equiv.) per kg API'] of Unique Inputs (ENZ&amp;PLNT)], MATCH(Table_Process_Details[[#This Row],[Unique Inputs Sorted by '[Acidification (kg SO2 equiv.) per kg API']]],Table_Process_Details[Unique Process Inputs],0))</f>
        <v>0</v>
      </c>
      <c r="GM13" s="126">
        <f ca="1">INDEX(Table_Process_Details[Total '[Acidification (kg SO2 equiv.) per kg API'] of Unique Inputs (OTHER)], MATCH(Table_Process_Details[[#This Row],[Unique Inputs Sorted by '[Acidification (kg SO2 equiv.) per kg API']]],Table_Process_Details[Unique Process Inputs],0))</f>
        <v>0</v>
      </c>
      <c r="GN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3" s="126">
        <f ca="1">SUMIFS(Table_Process_Details[RV Eutrophication (kg phosphate equiv.) per kg API],Table_Process_Details[Display Name],Table_Process_Details[[#This Row],[Unique Process Inputs]],Table_Process_Details[Input or Output],"Input")</f>
        <v>1.0962394032659225E-2</v>
      </c>
      <c r="GV13" s="131">
        <f ca="1">SUMIFS(Table_Process_Details[RV Eutrophication (kg phosphate equiv.) per kg API (REAGENT)],Table_Process_Details[Display Name],Table_Process_Details[[#This Row],[Unique Process Inputs]],Table_Process_Details[Input or Output],"Input")</f>
        <v>1.0962394032659225E-2</v>
      </c>
      <c r="GW13" s="131">
        <f ca="1">SUMIFS(Table_Process_Details[RV Eutrophication (kg phosphate equiv.) per kg API (METAL)],Table_Process_Details[Display Name],Table_Process_Details[[#This Row],[Unique Process Inputs]],Table_Process_Details[Input or Output],"Input")</f>
        <v>0</v>
      </c>
      <c r="GX13" s="131">
        <f ca="1">SUMIFS(Table_Process_Details[RV Eutrophication (kg phosphate equiv.) per kg API (SOLVENT)],Table_Process_Details[Display Name],Table_Process_Details[[#This Row],[Unique Process Inputs]],Table_Process_Details[Input or Output],"Input")</f>
        <v>0</v>
      </c>
      <c r="GY13" s="131">
        <f ca="1">SUMIFS(Table_Process_Details[RV Eutrophication (kg phosphate equiv.) per kg API (WATER)],Table_Process_Details[Display Name],Table_Process_Details[[#This Row],[Unique Process Inputs]],Table_Process_Details[Input or Output],"Input")</f>
        <v>0</v>
      </c>
      <c r="GZ13" s="131">
        <f ca="1">SUMIFS(Table_Process_Details[RV Eutrophication (kg phosphate equiv.) per kg API (ENZ&amp;PLNT)],Table_Process_Details[Display Name],Table_Process_Details[[#This Row],[Unique Process Inputs]],Table_Process_Details[Input or Output],"Input")</f>
        <v>0</v>
      </c>
      <c r="HA13" s="131">
        <f ca="1">SUMIFS(Table_Process_Details[RV Eutrophication (kg phosphate equiv.) per kg API (OTHER)],Table_Process_Details[Display Name],Table_Process_Details[[#This Row],[Unique Process Inputs]],Table_Process_Details[Input or Output],"Input")</f>
        <v>0</v>
      </c>
      <c r="HB13"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0.3 M reagent L (organic) in water</v>
      </c>
      <c r="HC13" s="126">
        <f ca="1">IF(LARGE(Table_Process_Details[Total '[Eutrophication (kg posphate equiv.) per kg API'] of Unique Inputs],Table_Process_Details[[#This Row],[Table Row]])=0,NA(),LARGE(Table_Process_Details[Total '[Eutrophication (kg posphate equiv.) per kg API'] of Unique Inputs],Table_Process_Details[[#This Row],[Table Row]]))</f>
        <v>9.9015405168808805E-3</v>
      </c>
      <c r="HD13" s="126">
        <f ca="1">SUM(OFFSET(Table_Process_Details['[Eutrophication (kg posphate equiv.) per kg API'] of Unique Inputs Sorted by '[Eutrophication (kg posphate equiv.) per kg API']],0,0,Table_Process_Details[[#This Row],[Table Row]]))</f>
        <v>1.3491402832109949</v>
      </c>
      <c r="HE13"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(1%)</v>
      </c>
      <c r="HF13" s="131">
        <f ca="1">INDEX(Table_Process_Details[Total '[Eutrophication (kg posphate equiv.) per kg API'] of Unique Inputs (REAGENT)], MATCH(Table_Process_Details[[#This Row],[Unique Inputs Sorted by '[Eutrophication (kg posphate equiv.) per kg API']]],Table_Process_Details[Unique Process Inputs],0))</f>
        <v>9.8951590632196575E-3</v>
      </c>
      <c r="HG13" s="131">
        <f ca="1">INDEX(Table_Process_Details[Total '[Eutrophication (kg posphate equiv.) per kg API'] of Unique Inputs (METAL)], MATCH(Table_Process_Details[[#This Row],[Unique Inputs Sorted by '[Eutrophication (kg posphate equiv.) per kg API']]],Table_Process_Details[Unique Process Inputs],0))</f>
        <v>0</v>
      </c>
      <c r="HH13" s="131">
        <f ca="1">INDEX(Table_Process_Details[Total '[Eutrophication (kg posphate equiv.) per kg API'] of Unique Inputs (SOLVENT)], MATCH(Table_Process_Details[[#This Row],[Unique Inputs Sorted by '[Eutrophication (kg posphate equiv.) per kg API']]],Table_Process_Details[Unique Process Inputs],0))</f>
        <v>0</v>
      </c>
      <c r="HI13" s="131">
        <f ca="1">INDEX(Table_Process_Details[Total '[Eutrophication (kg posphate equiv.) per kg API'] of Unique Inputs (WATER)], MATCH(Table_Process_Details[[#This Row],[Unique Inputs Sorted by '[Eutrophication (kg posphate equiv.) per kg API']]],Table_Process_Details[Unique Process Inputs],0))</f>
        <v>6.3814536612222489E-6</v>
      </c>
      <c r="HJ13" s="131">
        <f ca="1">INDEX(Table_Process_Details[Total '[Eutrophication (kg posphate equiv.) per kg API'] of Unique Inputs (ENZ&amp;PLNT)], MATCH(Table_Process_Details[[#This Row],[Unique Inputs Sorted by '[Eutrophication (kg posphate equiv.) per kg API']]],Table_Process_Details[Unique Process Inputs],0))</f>
        <v>0</v>
      </c>
      <c r="HK13" s="131">
        <f ca="1">INDEX(Table_Process_Details[Total '[Eutrophication (kg posphate equiv.) per kg API'] of Unique Inputs (OTHER)], MATCH(Table_Process_Details[[#This Row],[Unique Inputs Sorted by '[Eutrophication (kg posphate equiv.) per kg API']]],Table_Process_Details[Unique Process Inputs],0))</f>
        <v>0</v>
      </c>
      <c r="HL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3" s="131">
        <f ca="1">SUMIFS(Table_Process_Details[RV Water (kg) per kg API],Table_Process_Details[Display Name],Table_Process_Details[[#This Row],[Unique Process Inputs]],Table_Process_Details[Input or Output],"Input")</f>
        <v>17.926524327890665</v>
      </c>
      <c r="HT13" s="131">
        <f ca="1">SUMIFS(Table_Process_Details[RV Water (kg) per kg API (REAGENT)],Table_Process_Details[Display Name],Table_Process_Details[[#This Row],[Unique Process Inputs]],Table_Process_Details[Input or Output],"Input")</f>
        <v>17.926524327890665</v>
      </c>
      <c r="HU13" s="131">
        <f ca="1">SUMIFS(Table_Process_Details[RV Water (kg) per kg API (METAL)],Table_Process_Details[Display Name],Table_Process_Details[[#This Row],[Unique Process Inputs]],Table_Process_Details[Input or Output],"Input")</f>
        <v>0</v>
      </c>
      <c r="HV13" s="131">
        <f ca="1">SUMIFS(Table_Process_Details[RV Water (kg) per kg API (SOLVENT)],Table_Process_Details[Display Name],Table_Process_Details[[#This Row],[Unique Process Inputs]],Table_Process_Details[Input or Output],"Input")</f>
        <v>0</v>
      </c>
      <c r="HW13" s="131">
        <f ca="1">SUMIFS(Table_Process_Details[RV Water (kg) per kg API (WATER)],Table_Process_Details[Display Name],Table_Process_Details[[#This Row],[Unique Process Inputs]],Table_Process_Details[Input or Output],"Input")</f>
        <v>0</v>
      </c>
      <c r="HX13" s="131">
        <f ca="1">SUMIFS(Table_Process_Details[RV Water (kg) per kg API (ENZ&amp;PLNT)],Table_Process_Details[Display Name],Table_Process_Details[[#This Row],[Unique Process Inputs]],Table_Process_Details[Input or Output],"Input")</f>
        <v>0</v>
      </c>
      <c r="HY13" s="131">
        <f ca="1">SUMIFS(Table_Process_Details[RV Water (kg) per kg API (OTHER)],Table_Process_Details[Display Name],Table_Process_Details[[#This Row],[Unique Process Inputs]],Table_Process_Details[Input or Output],"Input")</f>
        <v>0</v>
      </c>
      <c r="HZ13" s="126" t="str">
        <f ca="1">INDEX(Table_Process_Details[Unique Process Inputs],MATCH(Table_Process_Details[[#This Row],['[Water (kg) per kg API'] of Unique Inputs Sorted by '[Water (kg) per kg API']]],Table_Process_Details[Total '[Water (kg) per kg API'] of Unique Inputs],0))</f>
        <v>0.3 M reagent L (organic) in water</v>
      </c>
      <c r="IA13" s="126">
        <f ca="1">IF(LARGE(Table_Process_Details[Total '[Water (kg) per kg API'] of Unique Inputs],Table_Process_Details[[#This Row],[Table Row]])=0,NA(),LARGE(Table_Process_Details[Total '[Water (kg) per kg API'] of Unique Inputs],Table_Process_Details[[#This Row],[Table Row]]))</f>
        <v>19.659047841687453</v>
      </c>
      <c r="IB13" s="131">
        <f ca="1">SUM(OFFSET(Table_Process_Details['[Water (kg) per kg API'] of Unique Inputs Sorted by '[Water (kg) per kg API']],0,0,Table_Process_Details[[#This Row],[Table Row]]))</f>
        <v>797.0721277330523</v>
      </c>
      <c r="IC13" s="131" t="str">
        <f ca="1">"("&amp;TEXT(Table_Process_Details[[#This Row],['[Water (kg) per kg API'] of Unique Inputs Sorted by '[Water (kg) per kg API']]]/SUMIF(Table_Process_Details['[Water (kg) per kg API'] of Unique Inputs Sorted by '[Water (kg) per kg API']],"&lt;&gt;#N/A"),"0%")&amp;")"</f>
        <v>(2%)</v>
      </c>
      <c r="ID13" s="131">
        <f ca="1">INDEX(Table_Process_Details[Total '[Water (kg) per kg API'] of Unique Inputs (REAGENT)], MATCH(Table_Process_Details[[#This Row],[Unique Inputs Sorted by '[Water (kg) per kg API']]],Table_Process_Details[Unique Process Inputs],0))</f>
        <v>16.181302108525401</v>
      </c>
      <c r="IE13" s="131">
        <f ca="1">INDEX(Table_Process_Details[Total '[Water (kg) per kg API'] of Unique Inputs (METAL)], MATCH(Table_Process_Details[[#This Row],[Unique Inputs Sorted by '[Water (kg) per kg API']]],Table_Process_Details[Unique Process Inputs],0))</f>
        <v>0</v>
      </c>
      <c r="IF13" s="131">
        <f ca="1">INDEX(Table_Process_Details[Total '[Water (kg) per kg API'] of Unique Inputs (SOLVENT)], MATCH(Table_Process_Details[[#This Row],[Unique Inputs Sorted by '[Water (kg) per kg API']]],Table_Process_Details[Unique Process Inputs],0))</f>
        <v>0</v>
      </c>
      <c r="IG13" s="131">
        <f ca="1">INDEX(Table_Process_Details[Total '[Water (kg) per kg API'] of Unique Inputs (WATER)], MATCH(Table_Process_Details[[#This Row],[Unique Inputs Sorted by '[Water (kg) per kg API']]],Table_Process_Details[Unique Process Inputs],0))</f>
        <v>3.4777457331620512</v>
      </c>
      <c r="IH13" s="131">
        <f ca="1">INDEX(Table_Process_Details[Total '[Water (kg) per kg API'] of Unique Inputs (ENZ&amp;PLNT)], MATCH(Table_Process_Details[[#This Row],[Unique Inputs Sorted by '[Water (kg) per kg API']]],Table_Process_Details[Unique Process Inputs],0))</f>
        <v>0</v>
      </c>
      <c r="II13" s="131">
        <f ca="1">INDEX(Table_Process_Details[Total '[Water (kg) per kg API'] of Unique Inputs (OTHER)], MATCH(Table_Process_Details[[#This Row],[Unique Inputs Sorted by '[Water (kg) per kg API']]],Table_Process_Details[Unique Process Inputs],0))</f>
        <v>0</v>
      </c>
    </row>
    <row r="14" spans="1:250" customFormat="1" x14ac:dyDescent="0.25">
      <c r="A14" s="22" t="str">
        <f>'1. Define Process Steps'!A10</f>
        <v>1d) Virtual salt prep for (1): nickel salt</v>
      </c>
      <c r="B14" s="21" t="s">
        <v>4</v>
      </c>
      <c r="C14" s="21" t="s">
        <v>8</v>
      </c>
      <c r="D14" s="22" t="s">
        <v>165</v>
      </c>
      <c r="E14" s="22" t="s">
        <v>816</v>
      </c>
      <c r="F14" s="26">
        <v>58.69</v>
      </c>
      <c r="G14" s="26"/>
      <c r="H14" s="26" t="s">
        <v>849</v>
      </c>
      <c r="I14" s="26"/>
      <c r="J14" s="26" t="str">
        <f>INDEX(Process_Steps[Reference],MATCH(Table_Process_Details[[#This Row],[Step Name]],Process_Steps[Name],0))</f>
        <v>Reference Document  for Step 1</v>
      </c>
      <c r="K14" s="27" t="str">
        <f>INDEX(Process_Steps[Real or Virtual?],MATCH(Table_Process_Details[[#This Row],[Step Name]],Process_Steps[Name],0))</f>
        <v>Virtual</v>
      </c>
      <c r="L1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1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METAL</v>
      </c>
      <c r="N14" s="26">
        <f>INDEX(Table_Process_Details[Physical Mass (kg)],MATCH(1,INDEX(((Table_Process_Details[Step Name]=Table_Process_Details[[#This Row],[Step Name]])*(Table_Process_Details[Input or Output]="Output")),0),0))</f>
        <v>158.69</v>
      </c>
      <c r="O14" s="29">
        <f ca="1">INDEX(Process_Steps[Step Scale Factor for 1kg Packaged API],MATCH(Table_Process_Details[[#This Row],[Step Name]],Process_Steps[Name],0))</f>
        <v>8.8097580890076038E-5</v>
      </c>
      <c r="P1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3.3333333333333335</v>
      </c>
      <c r="Q1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16.333333333333332</v>
      </c>
      <c r="R14" s="26">
        <f ca="1">_xlfn.SWITCH(Run_Reset_PNG,"Reset",Table_Process_Details[[#This Row],[X Init]],"Run",Table_Process_Details[[#This Row],[X Moved]],"Freeze",Table_Process_Details[[#This Row],[X Mover]])</f>
        <v>-12.528110561301558</v>
      </c>
      <c r="S14" s="26">
        <f ca="1">_xlfn.SWITCH(Run_Reset_PNG,"Reset",Table_Process_Details[[#This Row],[Y Init]],"Run",Table_Process_Details[[#This Row],[Y Moved]],"Freeze",Table_Process_Details[[#This Row],[Y Mover]])</f>
        <v>27.629030685869921</v>
      </c>
      <c r="T14" s="26" cm="1">
        <f t="array" aca="1" ref="T1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-4.4377608283373782</v>
      </c>
      <c r="U14" s="26" cm="1">
        <f t="array" aca="1" ref="U1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8.4848288961007184E-2</v>
      </c>
      <c r="V14" s="26" cm="1">
        <f t="array" aca="1" ref="V14" ca="1">SUM(--(SQRT((Table_Process_Details[[#This Row],[X Mover]]-Table_Process_Details[X Mover])^2+(Table_Process_Details[[#This Row],[Y Mover]]-Table_Process_Details[Y Mover])^2)&lt;Collision_Distance))</f>
        <v>7</v>
      </c>
      <c r="W14" s="26" cm="1">
        <f t="array" aca="1" ref="W1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0.54170151375959852</v>
      </c>
      <c r="X14" s="26" cm="1">
        <f t="array" aca="1" ref="X1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0.12494823794267515</v>
      </c>
      <c r="Y14" s="26" cm="1">
        <f t="array" aca="1" ref="Y1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4" s="26">
        <f>0</f>
        <v>0</v>
      </c>
      <c r="AA14" s="26">
        <f>0</f>
        <v>0</v>
      </c>
      <c r="AB1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6.264055280650779</v>
      </c>
      <c r="AC14" s="26" cm="1">
        <f t="array" aca="1" ref="AC1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-13.814515342934961</v>
      </c>
      <c r="AD14" s="26">
        <f>MIN(1,COUNTA(Table_Process_Details[[#This Row],[target x]]),COUNTA(Table_Process_Details[[#This Row],[target y]]))*COUNTA(Table_Process_Details[Step Name])</f>
        <v>98</v>
      </c>
      <c r="AE1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-12.556455948726372</v>
      </c>
      <c r="AF1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27.625135665675035</v>
      </c>
      <c r="AG1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4" s="26" cm="1">
        <f t="array" aca="1" ref="AH14" ca="1">INDEX(Table_Process_Details[X Mover],MATCH(1,INDEX((Table_Process_Details[Input or Output]="Output")*(Table_Process_Details[Step Name]=Table_Process_Details[[#This Row],[Step Name]])*(Table_Process_Details[[#This Row],[Input or Output]]="Input"),0),0))</f>
        <v>-8.5214632532720813</v>
      </c>
      <c r="AI14" s="26" cm="1">
        <f t="array" aca="1" ref="AI14" ca="1">INDEX(Table_Process_Details[Y Mover],MATCH(1,INDEX((Table_Process_Details[Input or Output]="Output")*(Table_Process_Details[Step Name]=Table_Process_Details[[#This Row],[Step Name]])*(Table_Process_Details[[#This Row],[Input or Output]]="Input"),0),0))</f>
        <v>28.553199270376069</v>
      </c>
      <c r="AJ14" s="26" t="e">
        <f ca="1">SQRT((Table_Process_Details[[#This Row],[X End (To Node Center)]]-Table_Process_Details[[#This Row],[X Guide]])^2+(Table_Process_Details[[#This Row],[Y End (to Node Center)]]-Table_Process_Details[[#This Row],[Y Guide]])^2)</f>
        <v>#N/A</v>
      </c>
      <c r="AK14" s="26" t="e" cm="1">
        <f t="array" ref="AK14">INDEX(Table_Process_Details[X Mover],MATCH(1,INDEX((Table_Process_Details[Step Name]=Table_Process_Details[[#This Row],[LCA Data Source Subclass]])*(Table_Process_Details[Input or Output]="Output"),0)*(Table_Process_Details[[#This Row],[Input or Output]]="Input"),0))</f>
        <v>#N/A</v>
      </c>
      <c r="AL14" s="26" cm="1">
        <f t="array" aca="1" ref="AL14" ca="1">INDEX(Table_Process_Details[X Mover],MATCH(1,INDEX(((Table_Process_Details[Table Row]=Table_Process_Details[[#This Row],[Table Row]])*(1)),0)*(Table_Process_Details[[#This Row],[Input or Output]]="Input"),0))</f>
        <v>-12.528110561301558</v>
      </c>
      <c r="AM14" s="26" t="e" cm="1">
        <f t="array" aca="1" ref="AM14" ca="1">(Table_Process_Details[[#This Row],[X End (To Node Center)]]*Table_Process_Details[[#This Row],[r0]]-Table_Process_Details[[#This Row],[X End (To Node Center)]]*Arrow_Offset+Table_Process_Details[[#This Row],[X Guide]]*Arrow_Offset)/Table_Process_Details[[#This Row],[r0]]</f>
        <v>#N/A</v>
      </c>
      <c r="AN14" s="26" t="e">
        <f>IF(NOT(Table_Process_Details[[#This Row],[Display As]]="None"),Table_Process_Details[[#This Row],[X Start Prefilter]],NA())</f>
        <v>#N/A</v>
      </c>
      <c r="AO14" s="26" t="e">
        <f>IF(NOT(Table_Process_Details[[#This Row],[Display As]]="None"),Table_Process_Details[[#This Row],[X Guide Prefilter]],NA())</f>
        <v>#N/A</v>
      </c>
      <c r="AP14" s="26" t="e">
        <f>IF(NOT(Table_Process_Details[[#This Row],[Display As]]="None"),Table_Process_Details[[#This Row],[X End (to Stop Radius) Prefilter]],NA())</f>
        <v>#N/A</v>
      </c>
      <c r="AQ14" s="26" t="e">
        <f>NA()</f>
        <v>#N/A</v>
      </c>
      <c r="AR14" s="26" t="e" cm="1">
        <f t="array" ref="AR14">INDEX(Table_Process_Details[Y Mover],MATCH(1,INDEX((Table_Process_Details[Step Name]=Table_Process_Details[[#This Row],[LCA Data Source Subclass]])*(Table_Process_Details[Input or Output]="Output"),0)*(Table_Process_Details[[#This Row],[Input or Output]]="Input"),0))</f>
        <v>#N/A</v>
      </c>
      <c r="AS14" s="26" cm="1">
        <f t="array" aca="1" ref="AS14" ca="1">INDEX(Table_Process_Details[Y Mover],MATCH(1,INDEX(((Table_Process_Details[Table Row]=Table_Process_Details[[#This Row],[Table Row]])*(1)),0)*(Table_Process_Details[[#This Row],[Input or Output]]="Input"),0))</f>
        <v>27.629030685869921</v>
      </c>
      <c r="AT14" s="26" t="e" cm="1">
        <f t="array" aca="1" ref="AT14" ca="1">(Table_Process_Details[[#This Row],[Y Guide]]*Arrow_Offset-Table_Process_Details[[#This Row],[Y End (to Node Center)]]*Arrow_Offset+Table_Process_Details[[#This Row],[Y End (to Node Center)]]*Table_Process_Details[[#This Row],[r0]])/Table_Process_Details[[#This Row],[r0]]</f>
        <v>#N/A</v>
      </c>
      <c r="AU14" s="26" t="e">
        <f>IF(NOT(Table_Process_Details[[#This Row],[Display As]]="None"),Table_Process_Details[[#This Row],[Y Start Prefilter]],NA())</f>
        <v>#N/A</v>
      </c>
      <c r="AV14" s="26" t="e">
        <f>IF(NOT(Table_Process_Details[[#This Row],[Display As]]="None"),Table_Process_Details[[#This Row],[Y Guide Prefilter]],NA())</f>
        <v>#N/A</v>
      </c>
      <c r="AW14" s="26" t="e">
        <f>IF(NOT(Table_Process_Details[[#This Row],[Display As]]="None"),Table_Process_Details[[#This Row],[Y End (to Stop Radius) Prefilter]],NA())</f>
        <v>#N/A</v>
      </c>
      <c r="AX14" s="26" t="e">
        <f>NA()</f>
        <v>#N/A</v>
      </c>
      <c r="AY14" s="26" t="e">
        <f>IF(Table_Process_Details[[#This Row],[Display As]]="Real Step",Table_Process_Details[[#This Row],[X Mover]],NA())</f>
        <v>#N/A</v>
      </c>
      <c r="AZ14" s="26" t="e">
        <f>IF(Table_Process_Details[[#This Row],[Display As]]="Real Step",Table_Process_Details[[#This Row],[Y Mover]],NA())</f>
        <v>#N/A</v>
      </c>
      <c r="BA14" s="26" t="e">
        <f>IF(Table_Process_Details[[#This Row],[Display As]]="Raw Material",Table_Process_Details[[#This Row],[X Mover]],NA())</f>
        <v>#N/A</v>
      </c>
      <c r="BB14" s="26" t="e">
        <f>IF(Table_Process_Details[[#This Row],[Display As]]="Raw Material",Table_Process_Details[[#This Row],[Y Mover]],NA())</f>
        <v>#N/A</v>
      </c>
      <c r="BC14" s="26" t="e">
        <f>IF(OR(Table_Process_Details[[#This Row],[Display As]]="Real Step",Table_Process_Details[[#This Row],[Display As]]="Raw Material"),Table_Process_Details[[#This Row],[X Mover]],NA())</f>
        <v>#N/A</v>
      </c>
      <c r="BD14" s="26" t="e">
        <f>IF(OR(Table_Process_Details[[#This Row],[Display As]]="Real Step",Table_Process_Details[[#This Row],[Display As]]="Raw Material"),Table_Process_Details[[#This Row],[Y Mover]],NA())</f>
        <v>#N/A</v>
      </c>
      <c r="BE14" s="22">
        <f>ROW()-ROW(Table_Process_Details[[#Headers],[Table Row]])</f>
        <v>10</v>
      </c>
      <c r="BF14" s="23" t="str" cm="1">
        <f t="array" aca="1" ref="BF14" ca="1">INDEX(Table_Process_Details[Display Name],MATCH(0,IF(Table_Process_Details[Input or Output]="Input",INDEX(COUNTIF(OFFSET(Table_Process_Details[[#Headers],[Unique Process Inputs]],0,0,Table_Process_Details[[#This Row],[Table Row]],1),Table_Process_Details[Display Name]),),""),0))</f>
        <v>DMF</v>
      </c>
      <c r="BG14" s="23">
        <f ca="1">Table_Process_Details[[#This Row],[Physical Mass (kg)]]*Table_Process_Details[[#This Row],[Step Scale Factor for 1kg Packaged API]]</f>
        <v>5.1704470224385622E-3</v>
      </c>
      <c r="BH1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4" s="23">
        <f ca="1">MATCH(Table_Process_Details[[#This Row],[LCA Data Source Class]],INDIRECT(Table_Process_Details[[#This Row],[Input or Output]]),0)</f>
        <v>7</v>
      </c>
      <c r="BJ14" s="23">
        <f ca="1">MATCH(Table_Process_Details[[#This Row],[LCA Data Source Subclass]],INDIRECT(Table_Process_Details[[#This Row],[LCA Data Source Class]]&amp;"[Name]"),0)</f>
        <v>5</v>
      </c>
      <c r="BK14" s="23">
        <f ca="1">IFERROR(INDEX(INDIRECT(Table_Process_Details[[#This Row],[LCA Data Source Class]]&amp;"[Mass Net (kg)]"),MATCH(Table_Process_Details[[#This Row],[LCA Data Source Subclass]],INDIRECT(Table_Process_Details[[#This Row],[LCA Data Source Class]]&amp;"[Name]"),0)),0)</f>
        <v>2.555356500000002</v>
      </c>
      <c r="BL14" s="23">
        <f ca="1">IFERROR(INDEX(INDIRECT(Table_Process_Details[[#This Row],[LCA Data Source Class]]&amp;"[Energy (MJ)]"),MATCH(Table_Process_Details[[#This Row],[LCA Data Source Subclass]],INDIRECT(Table_Process_Details[[#This Row],[LCA Data Source Class]]&amp;"[Name]"),0)),0)</f>
        <v>9.3610845000000076</v>
      </c>
      <c r="BM14" s="23">
        <f ca="1">IFERROR(INDEX(INDIRECT(Table_Process_Details[[#This Row],[LCA Data Source Class]]&amp;"[GWP (kg CO2 equiv.)]"),MATCH(Table_Process_Details[[#This Row],[LCA Data Source Subclass]],INDIRECT(Table_Process_Details[[#This Row],[LCA Data Source Class]]&amp;"[Name]"),0)),0)</f>
        <v>0.54366890000000057</v>
      </c>
      <c r="BN14" s="23">
        <f ca="1">IFERROR(INDEX(INDIRECT(Table_Process_Details[[#This Row],[LCA Data Source Class]]&amp;"[Acidification (kg SO2 equiv.)]"),MATCH(Table_Process_Details[[#This Row],[LCA Data Source Subclass]],INDIRECT(Table_Process_Details[[#This Row],[LCA Data Source Class]]&amp;"[Name]"),0)),0)</f>
        <v>8.534537500000007E-2</v>
      </c>
      <c r="BO14" s="23">
        <f ca="1">IFERROR(INDEX(INDIRECT(Table_Process_Details[[#This Row],[LCA Data Source Class]]&amp;"[Eutrophication (kg posphate equiv.)]"),MATCH(Table_Process_Details[[#This Row],[LCA Data Source Subclass]],INDIRECT(Table_Process_Details[[#This Row],[LCA Data Source Class]]&amp;"[Name]"),0)),0)</f>
        <v>6.7292865000000051E-3</v>
      </c>
      <c r="BP14" s="23">
        <f ca="1">IFERROR(INDEX(INDIRECT(Table_Process_Details[[#This Row],[LCA Data Source Class]]&amp;"[Water (kg)]"),MATCH(Table_Process_Details[[#This Row],[LCA Data Source Subclass]],INDIRECT(Table_Process_Details[[#This Row],[LCA Data Source Class]]&amp;"[Name]"),0)),0)</f>
        <v>14.038997000000013</v>
      </c>
      <c r="BQ14" s="27">
        <f ca="1">(Table_Process_Details[[#This Row],[Input or Output]]="Input")*(Table_Process_Details[[#This Row],[LCA Data Source Class]]&lt;&gt;"Process_Steps")*Table_Process_Details[[#This Row],[Scaled Physical Mass per kg API for All Inputs &amp; Outputs]]</f>
        <v>5.1704470224385622E-3</v>
      </c>
      <c r="BR14" s="27">
        <f ca="1">(Table_Process_Details[[#This Row],[Material Class]]="REAGENT")*Table_Process_Details[[#This Row],[Physical Mass per kg API]]</f>
        <v>0</v>
      </c>
      <c r="BS14" s="27">
        <f ca="1">(Table_Process_Details[[#This Row],[Material Class]]="METAL")*Table_Process_Details[[#This Row],[Physical Mass per kg API]]</f>
        <v>5.1704470224385622E-3</v>
      </c>
      <c r="BT14" s="27">
        <f ca="1">(Table_Process_Details[[#This Row],[Material Class]]="SOLVENT")*Table_Process_Details[[#This Row],[Physical Mass per kg API]]</f>
        <v>0</v>
      </c>
      <c r="BU14" s="27">
        <f ca="1">(Table_Process_Details[[#This Row],[Material Class]]="WATER")*Table_Process_Details[[#This Row],[Physical Mass per kg API]]</f>
        <v>0</v>
      </c>
      <c r="BV14" s="27">
        <f ca="1">(Table_Process_Details[[#This Row],[Material Class]]="ENZ&amp;PLNT")*Table_Process_Details[[#This Row],[Physical Mass per kg API]]</f>
        <v>0</v>
      </c>
      <c r="BW14" s="27">
        <f ca="1">(Table_Process_Details[[#This Row],[Material Class]]="OTHER")*Table_Process_Details[[#This Row],[Physical Mass per kg API]]</f>
        <v>0</v>
      </c>
      <c r="BX1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4" s="1">
        <f ca="1">SUMIFS(Table_Process_Details[RV Physical Mass per kg API],Table_Process_Details[Display Name],Table_Process_Details[[#This Row],[Unique Process Inputs]],Table_Process_Details[Input or Output],"Input")</f>
        <v>10.559512832662099</v>
      </c>
      <c r="CF14" s="1">
        <f ca="1">SUMIFS(Table_Process_Details[RV Physical Mass per kg API (REAGENT)],Table_Process_Details[Display Name],Table_Process_Details[[#This Row],[Unique Process Inputs]],Table_Process_Details[Input or Output],"Input")</f>
        <v>0</v>
      </c>
      <c r="CG14" s="1">
        <f ca="1">SUMIFS(Table_Process_Details[RV Physical Mass per kg API (METAL)],Table_Process_Details[Display Name],Table_Process_Details[[#This Row],[Unique Process Inputs]],Table_Process_Details[Input or Output],"Input")</f>
        <v>0</v>
      </c>
      <c r="CH14" s="1">
        <f ca="1">SUMIFS(Table_Process_Details[RV Physical Mass per kg API (SOLVENT)],Table_Process_Details[Display Name],Table_Process_Details[[#This Row],[Unique Process Inputs]],Table_Process_Details[Input or Output],"Input")</f>
        <v>10.559512832662099</v>
      </c>
      <c r="CI14" s="1">
        <f ca="1">SUMIFS(Table_Process_Details[RV Physical Mass per kg API (WATER)],Table_Process_Details[Display Name],Table_Process_Details[[#This Row],[Unique Process Inputs]],Table_Process_Details[Input or Output],"Input")</f>
        <v>0</v>
      </c>
      <c r="CJ14" s="1">
        <f ca="1">SUMIFS(Table_Process_Details[RV Physical Mass per kg API (ENZ&amp;PLNT)],Table_Process_Details[Display Name],Table_Process_Details[[#This Row],[Unique Process Inputs]],Table_Process_Details[Input or Output],"Input")</f>
        <v>0</v>
      </c>
      <c r="CK14" s="1">
        <f ca="1">SUMIFS(Table_Process_Details[RV Physical Mass per kg API (OTHER)],Table_Process_Details[Display Name],Table_Process_Details[[#This Row],[Unique Process Inputs]],Table_Process_Details[Input or Output],"Input")</f>
        <v>0</v>
      </c>
      <c r="CL14" s="22" t="str">
        <f ca="1">INDEX(Table_Process_Details[Unique Process Inputs],MATCH(Table_Process_Details[[#This Row],['[Physical Mass per kg API'] of Unique Inputs Sorted by '[Physical Mass per kg API']]],Table_Process_Details[Total '[Physical Mass per kg API'] of Unique Inputs],0))</f>
        <v>20 wt% reagent J (inorganic) in water</v>
      </c>
      <c r="CM14" s="22">
        <f ca="1">IF(LARGE(Table_Process_Details[Total '[Physical Mass per kg API'] of Unique Inputs],Table_Process_Details[[#This Row],[Table Row]])=0,NA(),LARGE(Table_Process_Details[Total '[Physical Mass per kg API'] of Unique Inputs],Table_Process_Details[[#This Row],[Table Row]]))</f>
        <v>4.4044778858506186</v>
      </c>
      <c r="CN14" s="22">
        <f ca="1">SUM(OFFSET(Table_Process_Details['[Physical Mass per kg API'] of Unique Inputs Sorted by '[Physical Mass per kg API']],0,0,Table_Process_Details[[#This Row],[Table Row]]))</f>
        <v>124.78104148666738</v>
      </c>
      <c r="CO14" s="22" t="str">
        <f ca="1">"("&amp;TEXT(Table_Process_Details[[#This Row],['[Physical Mass per kg API'] of Unique Inputs Sorted by '[Physical Mass per kg API']]]/SUMIF(Table_Process_Details['[Physical Mass per kg API'] of Unique Inputs Sorted by '[Physical Mass per kg API']],"&lt;&gt;#N/A"),"0%")&amp;")"</f>
        <v>(3%)</v>
      </c>
      <c r="CP14" s="22">
        <f ca="1">INDEX(Table_Process_Details[Total '[Physical Mass per kg API'] of Unique Inputs (REAGENT)],MATCH(Table_Process_Details[[#This Row],[Unique Inputs Sorted by '[Physical Mass per kg API']]],Table_Process_Details[Unique Process Inputs],0))</f>
        <v>0.9574951925762214</v>
      </c>
      <c r="CQ14" s="22">
        <f ca="1">INDEX(Table_Process_Details[Total '[Physical Mass per kg API'] of Unique Inputs (METAL)],MATCH(Table_Process_Details[[#This Row],[Unique Inputs Sorted by '[Physical Mass per kg API']]],Table_Process_Details[Unique Process Inputs],0))</f>
        <v>0</v>
      </c>
      <c r="CR14" s="22">
        <f ca="1">INDEX(Table_Process_Details[Total '[Physical Mass per kg API'] of Unique Inputs (SOLVENT)],MATCH(Table_Process_Details[[#This Row],[Unique Inputs Sorted by '[Physical Mass per kg API']]],Table_Process_Details[Unique Process Inputs],0))</f>
        <v>0</v>
      </c>
      <c r="CS14" s="22">
        <f ca="1">INDEX(Table_Process_Details[Total '[Physical Mass per kg API'] of Unique Inputs (WATER)],MATCH(Table_Process_Details[[#This Row],[Unique Inputs Sorted by '[Physical Mass per kg API']]],Table_Process_Details[Unique Process Inputs],0))</f>
        <v>3.4469826932743972</v>
      </c>
      <c r="CT14" s="22">
        <f ca="1">INDEX(Table_Process_Details[Total '[Physical Mass per kg API'] of Unique Inputs (ENZ&amp;PLNT)],MATCH(Table_Process_Details[[#This Row],[Unique Inputs Sorted by '[Physical Mass per kg API']]],Table_Process_Details[Unique Process Inputs],0))</f>
        <v>0</v>
      </c>
      <c r="CU14" s="22">
        <f ca="1">INDEX(Table_Process_Details[Total '[Physical Mass per kg API'] of Unique Inputs (OTHER)],MATCH(Table_Process_Details[[#This Row],[Unique Inputs Sorted by '[Physical Mass per kg API']]],Table_Process_Details[Unique Process Inputs],0))</f>
        <v>0</v>
      </c>
      <c r="CV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4" s="22">
        <f ca="1">SUMIFS(Table_Process_Details[RV Mass Net (kg) per kg API],Table_Process_Details[Display Name],Table_Process_Details[[#This Row],[Unique Process Inputs]],Table_Process_Details[Input or Output],"Input")</f>
        <v>17.542697124668418</v>
      </c>
      <c r="DD14" s="22">
        <f ca="1">SUMIFS(Table_Process_Details[RV Mass Net (kg) per kg API (REAGENT)],Table_Process_Details[Display Name],Table_Process_Details[[#This Row],[Unique Process Inputs]],Table_Process_Details[Input or Output],"Input")</f>
        <v>0</v>
      </c>
      <c r="DE14" s="22">
        <f ca="1">SUMIFS(Table_Process_Details[RV Mass Net (kg) per kg API (METAL)],Table_Process_Details[Display Name],Table_Process_Details[[#This Row],[Unique Process Inputs]],Table_Process_Details[Input or Output],"Input")</f>
        <v>0</v>
      </c>
      <c r="DF14" s="22">
        <f ca="1">SUMIFS(Table_Process_Details[RV Mass Net (kg) per kg API (SOLVENT)],Table_Process_Details[Display Name],Table_Process_Details[[#This Row],[Unique Process Inputs]],Table_Process_Details[Input or Output],"Input")</f>
        <v>17.542697124668418</v>
      </c>
      <c r="DG14" s="22">
        <f ca="1">SUMIFS(Table_Process_Details[RV Mass Net (kg) per kg API (WATER)],Table_Process_Details[Display Name],Table_Process_Details[[#This Row],[Unique Process Inputs]],Table_Process_Details[Input or Output],"Input")</f>
        <v>0</v>
      </c>
      <c r="DH14" s="22">
        <f ca="1">SUMIFS(Table_Process_Details[RV Mass Net (kg) per kg API (ENZ&amp;PLNT)],Table_Process_Details[Display Name],Table_Process_Details[[#This Row],[Unique Process Inputs]],Table_Process_Details[Input or Output],"Input")</f>
        <v>0</v>
      </c>
      <c r="DI14" s="22">
        <f ca="1">SUMIFS(Table_Process_Details[RV Mass Net (kg) per kg API (OTHER)],Table_Process_Details[Display Name],Table_Process_Details[[#This Row],[Unique Process Inputs]],Table_Process_Details[Input or Output],"Input")</f>
        <v>0</v>
      </c>
      <c r="DJ14" s="22" t="str">
        <f ca="1">INDEX(Table_Process_Details[Unique Process Inputs],MATCH(Table_Process_Details[[#This Row],['[Mass Net (kg) per kg API'] of Unique Inputs Sorted by '[Mass Net (kg) per kg API']]],Table_Process_Details[Total '[Mass Net (kg) per kg API'] of Unique Inputs],0))</f>
        <v>reagent D (organic)</v>
      </c>
      <c r="DK14" s="22">
        <f ca="1">IF(LARGE(Table_Process_Details[Total '[Mass Net (kg) per kg API'] of Unique Inputs],Table_Process_Details[[#This Row],[Table Row]])=0,NA(),LARGE(Table_Process_Details[Total '[Mass Net (kg) per kg API'] of Unique Inputs],Table_Process_Details[[#This Row],[Table Row]]))</f>
        <v>2.5448168277217289</v>
      </c>
      <c r="DL14" s="22">
        <f ca="1">SUM(OFFSET(Table_Process_Details['[Mass Net (kg) per kg API'] of Unique Inputs Sorted by '[Mass Net (kg) per kg API']],0,0,Table_Process_Details[[#This Row],[Table Row]]))</f>
        <v>115.52958535270162</v>
      </c>
      <c r="DM14" s="22" t="str">
        <f ca="1">"("&amp;TEXT(Table_Process_Details[[#This Row],['[Mass Net (kg) per kg API'] of Unique Inputs Sorted by '[Mass Net (kg) per kg API']]]/SUMIF(Table_Process_Details['[Mass Net (kg) per kg API'] of Unique Inputs Sorted by '[Mass Net (kg) per kg API']],"&lt;&gt;#N/A"),"0%")&amp;")"</f>
        <v>(2%)</v>
      </c>
      <c r="DN14" s="22">
        <f ca="1">INDEX(Table_Process_Details[Total '[Mass Net (kg) per kg API'] of Unique Inputs (REAGENT)], MATCH(Table_Process_Details[[#This Row],[Unique Inputs Sorted by '[Mass Net (kg) per kg API']]],Table_Process_Details[Unique Process Inputs],0))</f>
        <v>2.5448168277217289</v>
      </c>
      <c r="DO14" s="22">
        <f ca="1">INDEX(Table_Process_Details[Total '[Mass Net (kg) per kg API'] of Unique Inputs (METAL)], MATCH(Table_Process_Details[[#This Row],[Unique Inputs Sorted by '[Mass Net (kg) per kg API']]],Table_Process_Details[Unique Process Inputs],0))</f>
        <v>0</v>
      </c>
      <c r="DP14" s="22">
        <f ca="1">INDEX(Table_Process_Details[Total '[Mass Net (kg) per kg API'] of Unique Inputs (SOLVENT)], MATCH(Table_Process_Details[[#This Row],[Unique Inputs Sorted by '[Mass Net (kg) per kg API']]],Table_Process_Details[Unique Process Inputs],0))</f>
        <v>0</v>
      </c>
      <c r="DQ14" s="22">
        <f ca="1">INDEX(Table_Process_Details[Total '[Mass Net (kg) per kg API'] of Unique Inputs (WATER)], MATCH(Table_Process_Details[[#This Row],[Unique Inputs Sorted by '[Mass Net (kg) per kg API']]],Table_Process_Details[Unique Process Inputs],0))</f>
        <v>0</v>
      </c>
      <c r="DR14" s="22">
        <f ca="1">INDEX(Table_Process_Details[Total '[Mass Net (kg) per kg API'] of Unique Inputs (ENZ&amp;PLNT)], MATCH(Table_Process_Details[[#This Row],[Unique Inputs Sorted by '[Mass Net (kg) per kg API']]],Table_Process_Details[Unique Process Inputs],0))</f>
        <v>0</v>
      </c>
      <c r="DS14" s="22">
        <f ca="1">INDEX(Table_Process_Details[Total '[Mass Net (kg) per kg API'] of Unique Inputs (OTHER)], MATCH(Table_Process_Details[[#This Row],[Unique Inputs Sorted by '[Mass Net (kg) per kg API']]],Table_Process_Details[Unique Process Inputs],0))</f>
        <v>0</v>
      </c>
      <c r="DT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4" s="1">
        <f ca="1">SUMIFS(Table_Process_Details[RV Energy (MJ) per kg API],Table_Process_Details[Display Name],Table_Process_Details[[#This Row],[Unique Process Inputs]],Table_Process_Details[Input or Output],"Input")</f>
        <v>608.12952450173657</v>
      </c>
      <c r="EB14" s="1">
        <f ca="1">SUMIFS(Table_Process_Details[RV Energy (MJ) per kg API (REAGENT)],Table_Process_Details[Display Name],Table_Process_Details[[#This Row],[Unique Process Inputs]],Table_Process_Details[Input or Output],"Input")</f>
        <v>0</v>
      </c>
      <c r="EC14" s="1">
        <f ca="1">SUMIFS(Table_Process_Details[RV Energy (MJ) per kg API (METAL)],Table_Process_Details[Display Name],Table_Process_Details[[#This Row],[Unique Process Inputs]],Table_Process_Details[Input or Output],"Input")</f>
        <v>0</v>
      </c>
      <c r="ED14" s="1">
        <f ca="1">SUMIFS(Table_Process_Details[RV Energy (MJ) per kg API (SOLVENT)],Table_Process_Details[Display Name],Table_Process_Details[[#This Row],[Unique Process Inputs]],Table_Process_Details[Input or Output],"Input")</f>
        <v>608.12952450173657</v>
      </c>
      <c r="EE14" s="1">
        <f ca="1">SUMIFS(Table_Process_Details[RV Energy (MJ) per kg API (WATER)],Table_Process_Details[Display Name],Table_Process_Details[[#This Row],[Unique Process Inputs]],Table_Process_Details[Input or Output],"Input")</f>
        <v>0</v>
      </c>
      <c r="EF14" s="1">
        <f ca="1">SUMIFS(Table_Process_Details[RV Energy (MJ) per kg API (ENZ&amp;PLNT)],Table_Process_Details[Display Name],Table_Process_Details[[#This Row],[Unique Process Inputs]],Table_Process_Details[Input or Output],"Input")</f>
        <v>0</v>
      </c>
      <c r="EG14" s="1">
        <f ca="1">SUMIFS(Table_Process_Details[RV Energy (MJ) per kg API (OTHER)],Table_Process_Details[Display Name],Table_Process_Details[[#This Row],[Unique Process Inputs]],Table_Process_Details[Input or Output],"Input")</f>
        <v>0</v>
      </c>
      <c r="EH14" s="1" t="str">
        <f ca="1">INDEX(Table_Process_Details[Unique Process Inputs],MATCH(Table_Process_Details[[#This Row],['[Energy (MJ) per kg API'] of Unique Inputs Sorted by '[Energy (MJ) per kg API']]],Table_Process_Details[Total '[Energy (MJ) per kg API'] of Unique Inputs],0))</f>
        <v>reagent M (organic)</v>
      </c>
      <c r="EI14" s="22">
        <f ca="1">IF(LARGE(Table_Process_Details[Total '[Energy (MJ) per kg API'] of Unique Inputs],Table_Process_Details[[#This Row],[Table Row]])=0,NA(),LARGE(Table_Process_Details[Total '[Energy (MJ) per kg API'] of Unique Inputs],Table_Process_Details[[#This Row],[Table Row]]))</f>
        <v>83.851363246451641</v>
      </c>
      <c r="EJ14" s="22">
        <f ca="1">SUM(OFFSET(Table_Process_Details['[Energy (MJ) per kg API'] of Unique Inputs Sorted by '[Energy (MJ) per kg API']],0,0,Table_Process_Details[[#This Row],[Table Row]]))</f>
        <v>4821.5446859991516</v>
      </c>
      <c r="EK14" s="22" t="str">
        <f ca="1">"("&amp;TEXT(Table_Process_Details[[#This Row],['[Energy (MJ) per kg API'] of Unique Inputs Sorted by '[Energy (MJ) per kg API']]]/SUMIF(Table_Process_Details['[Energy (MJ) per kg API'] of Unique Inputs Sorted by '[Energy (MJ) per kg API']],"&lt;&gt;#N/A"),"0%")&amp;")"</f>
        <v>(2%)</v>
      </c>
      <c r="EL14" s="22">
        <f ca="1">INDEX(Table_Process_Details[Total '[Energy (MJ) per kg API'] of Unique Inputs (REAGENT)], MATCH(Table_Process_Details[[#This Row],[Unique Inputs Sorted by '[Energy (MJ) per kg API']]],Table_Process_Details[Unique Process Inputs],0))</f>
        <v>83.851363246451641</v>
      </c>
      <c r="EM14" s="22">
        <f ca="1">INDEX(Table_Process_Details[Total '[Energy (MJ) per kg API'] of Unique Inputs (METAL)], MATCH(Table_Process_Details[[#This Row],[Unique Inputs Sorted by '[Energy (MJ) per kg API']]],Table_Process_Details[Unique Process Inputs],0))</f>
        <v>0</v>
      </c>
      <c r="EN14" s="22">
        <f ca="1">INDEX(Table_Process_Details[Total '[Energy (MJ) per kg API'] of Unique Inputs (SOLVENT)], MATCH(Table_Process_Details[[#This Row],[Unique Inputs Sorted by '[Energy (MJ) per kg API']]],Table_Process_Details[Unique Process Inputs],0))</f>
        <v>0</v>
      </c>
      <c r="EO14" s="22">
        <f ca="1">INDEX(Table_Process_Details[Total '[Energy (MJ) per kg API'] of Unique Inputs (WATER)], MATCH(Table_Process_Details[[#This Row],[Unique Inputs Sorted by '[Energy (MJ) per kg API']]],Table_Process_Details[Unique Process Inputs],0))</f>
        <v>0</v>
      </c>
      <c r="EP14" s="22">
        <f ca="1">INDEX(Table_Process_Details[Total '[Energy (MJ) per kg API'] of Unique Inputs (ENZ&amp;PLNT)], MATCH(Table_Process_Details[[#This Row],[Unique Inputs Sorted by '[Energy (MJ) per kg API']]],Table_Process_Details[Unique Process Inputs],0))</f>
        <v>0</v>
      </c>
      <c r="EQ14" s="22">
        <f ca="1">INDEX(Table_Process_Details[Total '[Energy (MJ) per kg API'] of Unique Inputs (OTHER)], MATCH(Table_Process_Details[[#This Row],[Unique Inputs Sorted by '[Energy (MJ) per kg API']]],Table_Process_Details[Unique Process Inputs],0))</f>
        <v>0</v>
      </c>
      <c r="ER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4" s="22">
        <f ca="1">SUMIFS(Table_Process_Details[RV GWP (kg CO2 equiv.) per kg API],Table_Process_Details[Display Name],Table_Process_Details[[#This Row],[Unique Process Inputs]],Table_Process_Details[Input or Output],"Input")</f>
        <v>19.911060691270269</v>
      </c>
      <c r="EZ14" s="1">
        <f ca="1">SUMIFS(Table_Process_Details[RV GWP (kg CO2 equiv.) per kg API (REAGENT)],Table_Process_Details[Display Name],Table_Process_Details[[#This Row],[Unique Process Inputs]],Table_Process_Details[Input or Output],"Input")</f>
        <v>0</v>
      </c>
      <c r="FA14" s="1">
        <f ca="1">SUMIFS(Table_Process_Details[RV GWP (kg CO2 equiv.) per kg API (METAL)],Table_Process_Details[Display Name],Table_Process_Details[[#This Row],[Unique Process Inputs]],Table_Process_Details[Input or Output],"Input")</f>
        <v>0</v>
      </c>
      <c r="FB14" s="1">
        <f ca="1">SUMIFS(Table_Process_Details[RV GWP (kg CO2 equiv.) per kg API (SOLVENT)],Table_Process_Details[Display Name],Table_Process_Details[[#This Row],[Unique Process Inputs]],Table_Process_Details[Input or Output],"Input")</f>
        <v>19.911060691270269</v>
      </c>
      <c r="FC14" s="1">
        <f ca="1">SUMIFS(Table_Process_Details[RV GWP (kg CO2 equiv.) per kg API (WATER)],Table_Process_Details[Display Name],Table_Process_Details[[#This Row],[Unique Process Inputs]],Table_Process_Details[Input or Output],"Input")</f>
        <v>0</v>
      </c>
      <c r="FD14" s="1">
        <f ca="1">SUMIFS(Table_Process_Details[RV GWP (kg CO2 equiv.) per kg API (ENZ&amp;PLNT)],Table_Process_Details[Display Name],Table_Process_Details[[#This Row],[Unique Process Inputs]],Table_Process_Details[Input or Output],"Input")</f>
        <v>0</v>
      </c>
      <c r="FE14" s="1">
        <f ca="1">SUMIFS(Table_Process_Details[RV GWP (kg CO2 equiv.) per kg API (OTHER)],Table_Process_Details[Display Name],Table_Process_Details[[#This Row],[Unique Process Inputs]],Table_Process_Details[Input or Output],"Input")</f>
        <v>0</v>
      </c>
      <c r="FF14" s="22" t="str">
        <f ca="1">INDEX(Table_Process_Details[Unique Process Inputs],MATCH(Table_Process_Details[[#This Row],['[GWP (kg CO2 equiv.) per kg API'] of Unique Inputs Sorted by '[GWP (kg CO2 equiv.) per kg API']]],Table_Process_Details[Total '[GWP (kg CO2 equiv.) per kg API'] of Unique Inputs],0))</f>
        <v>reagent M (organic)</v>
      </c>
      <c r="FG14" s="22">
        <f ca="1">IF(LARGE(Table_Process_Details[Total '[GWP (kg CO2 equiv.) per kg API'] of Unique Inputs],Table_Process_Details[[#This Row],[Table Row]])=0,NA(),LARGE(Table_Process_Details[Total '[GWP (kg CO2 equiv.) per kg API'] of Unique Inputs],Table_Process_Details[[#This Row],[Table Row]]))</f>
        <v>2.9393319825032256</v>
      </c>
      <c r="FH14" s="22">
        <f ca="1">SUM(OFFSET(Table_Process_Details['[GWP (kg CO2 equiv.) per kg API'] of Unique Inputs Sorted by '[GWP (kg CO2 equiv.) per kg API']],0,0,Table_Process_Details[[#This Row],[Table Row]]))</f>
        <v>142.90840446248671</v>
      </c>
      <c r="FI14" s="22" t="str">
        <f ca="1">"("&amp;TEXT(Table_Process_Details[[#This Row],['[GWP (kg CO2 equiv.) per kg API'] of Unique Inputs Sorted by '[GWP (kg CO2 equiv.) per kg API']]]/SUMIF(Table_Process_Details['[GWP (kg CO2 equiv.) per kg API'] of Unique Inputs Sorted by '[GWP (kg CO2 equiv.) per kg API']],"&lt;&gt;#N/A"),"0%")&amp;")"</f>
        <v>(2%)</v>
      </c>
      <c r="FJ14" s="22">
        <f ca="1">INDEX(Table_Process_Details[Total '[GWP (kg CO2 equiv.) per kg API'] of Unique Inputs (REAGENT)], MATCH(Table_Process_Details[[#This Row],[Unique Inputs Sorted by '[GWP (kg CO2 equiv.) per kg API']]],Table_Process_Details[Unique Process Inputs],0))</f>
        <v>2.9393319825032256</v>
      </c>
      <c r="FK14" s="22">
        <f ca="1">INDEX(Table_Process_Details[Total '[GWP (kg CO2 equiv.) per kg API'] of Unique Inputs (METAL)], MATCH(Table_Process_Details[[#This Row],[Unique Inputs Sorted by '[GWP (kg CO2 equiv.) per kg API']]],Table_Process_Details[Unique Process Inputs],0))</f>
        <v>0</v>
      </c>
      <c r="FL14" s="22">
        <f ca="1">INDEX(Table_Process_Details[Total '[GWP (kg CO2 equiv.) per kg API'] of Unique Inputs (SOLVENT)], MATCH(Table_Process_Details[[#This Row],[Unique Inputs Sorted by '[GWP (kg CO2 equiv.) per kg API']]],Table_Process_Details[Unique Process Inputs],0))</f>
        <v>0</v>
      </c>
      <c r="FM14" s="22">
        <f ca="1">INDEX(Table_Process_Details[Total '[GWP (kg CO2 equiv.) per kg API'] of Unique Inputs (WATER)], MATCH(Table_Process_Details[[#This Row],[Unique Inputs Sorted by '[GWP (kg CO2 equiv.) per kg API']]],Table_Process_Details[Unique Process Inputs],0))</f>
        <v>0</v>
      </c>
      <c r="FN14" s="22">
        <f ca="1">INDEX(Table_Process_Details[Total '[GWP (kg CO2 equiv.) per kg API'] of Unique Inputs (ENZ&amp;PLNT)], MATCH(Table_Process_Details[[#This Row],[Unique Inputs Sorted by '[GWP (kg CO2 equiv.) per kg API']]],Table_Process_Details[Unique Process Inputs],0))</f>
        <v>0</v>
      </c>
      <c r="FO14" s="22">
        <f ca="1">INDEX(Table_Process_Details[Total '[GWP (kg CO2 equiv.) per kg API'] of Unique Inputs (OTHER)], MATCH(Table_Process_Details[[#This Row],[Unique Inputs Sorted by '[GWP (kg CO2 equiv.) per kg API']]],Table_Process_Details[Unique Process Inputs],0))</f>
        <v>0</v>
      </c>
      <c r="FP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4" s="22">
        <f ca="1">SUMIFS(Table_Process_Details[RV Acidification (kg SO2 equiv.) per kg API],Table_Process_Details[Display Name],Table_Process_Details[[#This Row],[Unique Process Inputs]],Table_Process_Details[Input or Output],"Input")</f>
        <v>8.7992935738799488E-2</v>
      </c>
      <c r="FX14" s="1">
        <f ca="1">SUMIFS(Table_Process_Details[RV Acidification (kg SO2 equiv.) per kg API (REAGENT)],Table_Process_Details[Display Name],Table_Process_Details[[#This Row],[Unique Process Inputs]],Table_Process_Details[Input or Output],"Input")</f>
        <v>0</v>
      </c>
      <c r="FY14" s="1">
        <f ca="1">SUMIFS(Table_Process_Details[RV Acidification (kg SO2 equiv.) per kg API (METAL)],Table_Process_Details[Display Name],Table_Process_Details[[#This Row],[Unique Process Inputs]],Table_Process_Details[Input or Output],"Input")</f>
        <v>0</v>
      </c>
      <c r="FZ14" s="1">
        <f ca="1">SUMIFS(Table_Process_Details[RV Acidification (kg SO2 equiv.) per kg API (SOLVENT)],Table_Process_Details[Display Name],Table_Process_Details[[#This Row],[Unique Process Inputs]],Table_Process_Details[Input or Output],"Input")</f>
        <v>8.7992935738799488E-2</v>
      </c>
      <c r="GA14" s="1">
        <f ca="1">SUMIFS(Table_Process_Details[RV Acidification (kg SO2 equiv.) per kg API (WATER)],Table_Process_Details[Display Name],Table_Process_Details[[#This Row],[Unique Process Inputs]],Table_Process_Details[Input or Output],"Input")</f>
        <v>0</v>
      </c>
      <c r="GB14" s="1">
        <f ca="1">SUMIFS(Table_Process_Details[RV Acidification (kg SO2 equiv.) per kg API (ENZ&amp;PLNT)],Table_Process_Details[Display Name],Table_Process_Details[[#This Row],[Unique Process Inputs]],Table_Process_Details[Input or Output],"Input")</f>
        <v>0</v>
      </c>
      <c r="GC14" s="1">
        <f ca="1">SUMIFS(Table_Process_Details[RV Acidification (kg SO2 equiv.) per kg API (OTHER)],Table_Process_Details[Display Name],Table_Process_Details[[#This Row],[Unique Process Inputs]],Table_Process_Details[Input or Output],"Input")</f>
        <v>0</v>
      </c>
      <c r="GD14"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D (organic)</v>
      </c>
      <c r="GE14" s="22">
        <f ca="1">IF(LARGE(Table_Process_Details[Total '[Acidification (kg SO2 equiv.) per kg API'] of Unique Inputs],Table_Process_Details[[#This Row],[Table Row]])=0,NA(),LARGE(Table_Process_Details[Total '[Acidification (kg SO2 equiv.) per kg API'] of Unique Inputs],Table_Process_Details[[#This Row],[Table Row]]))</f>
        <v>1.3690850729033123E-2</v>
      </c>
      <c r="GF14" s="22">
        <f ca="1">SUM(OFFSET(Table_Process_Details['[Acidification (kg SO2 equiv.) per kg API'] of Unique Inputs Sorted by '[Acidification (kg SO2 equiv.) per kg API']],0,0,Table_Process_Details[[#This Row],[Table Row]]))</f>
        <v>0.57352672365919333</v>
      </c>
      <c r="GG14"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v>
      </c>
      <c r="GH14" s="22">
        <f ca="1">INDEX(Table_Process_Details[Total '[Acidification (kg SO2 equiv.) per kg API'] of Unique Inputs (REAGENT)], MATCH(Table_Process_Details[[#This Row],[Unique Inputs Sorted by '[Acidification (kg SO2 equiv.) per kg API']]],Table_Process_Details[Unique Process Inputs],0))</f>
        <v>1.3690850729033123E-2</v>
      </c>
      <c r="GI14" s="22">
        <f ca="1">INDEX(Table_Process_Details[Total '[Acidification (kg SO2 equiv.) per kg API'] of Unique Inputs (METAL)], MATCH(Table_Process_Details[[#This Row],[Unique Inputs Sorted by '[Acidification (kg SO2 equiv.) per kg API']]],Table_Process_Details[Unique Process Inputs],0))</f>
        <v>0</v>
      </c>
      <c r="GJ14" s="22">
        <f ca="1">INDEX(Table_Process_Details[Total '[Acidification (kg SO2 equiv.) per kg API'] of Unique Inputs (SOLVENT)], MATCH(Table_Process_Details[[#This Row],[Unique Inputs Sorted by '[Acidification (kg SO2 equiv.) per kg API']]],Table_Process_Details[Unique Process Inputs],0))</f>
        <v>0</v>
      </c>
      <c r="GK14" s="22">
        <f ca="1">INDEX(Table_Process_Details[Total '[Acidification (kg SO2 equiv.) per kg API'] of Unique Inputs (WATER)], MATCH(Table_Process_Details[[#This Row],[Unique Inputs Sorted by '[Acidification (kg SO2 equiv.) per kg API']]],Table_Process_Details[Unique Process Inputs],0))</f>
        <v>0</v>
      </c>
      <c r="GL14" s="22">
        <f ca="1">INDEX(Table_Process_Details[Total '[Acidification (kg SO2 equiv.) per kg API'] of Unique Inputs (ENZ&amp;PLNT)], MATCH(Table_Process_Details[[#This Row],[Unique Inputs Sorted by '[Acidification (kg SO2 equiv.) per kg API']]],Table_Process_Details[Unique Process Inputs],0))</f>
        <v>0</v>
      </c>
      <c r="GM14" s="22">
        <f ca="1">INDEX(Table_Process_Details[Total '[Acidification (kg SO2 equiv.) per kg API'] of Unique Inputs (OTHER)], MATCH(Table_Process_Details[[#This Row],[Unique Inputs Sorted by '[Acidification (kg SO2 equiv.) per kg API']]],Table_Process_Details[Unique Process Inputs],0))</f>
        <v>0</v>
      </c>
      <c r="GN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4" s="22">
        <f ca="1">SUMIFS(Table_Process_Details[RV Eutrophication (kg phosphate equiv.) per kg API],Table_Process_Details[Display Name],Table_Process_Details[[#This Row],[Unique Process Inputs]],Table_Process_Details[Input or Output],"Input")</f>
        <v>0.93818488030620062</v>
      </c>
      <c r="GV14" s="1">
        <f ca="1">SUMIFS(Table_Process_Details[RV Eutrophication (kg phosphate equiv.) per kg API (REAGENT)],Table_Process_Details[Display Name],Table_Process_Details[[#This Row],[Unique Process Inputs]],Table_Process_Details[Input or Output],"Input")</f>
        <v>0</v>
      </c>
      <c r="GW14" s="1">
        <f ca="1">SUMIFS(Table_Process_Details[RV Eutrophication (kg phosphate equiv.) per kg API (METAL)],Table_Process_Details[Display Name],Table_Process_Details[[#This Row],[Unique Process Inputs]],Table_Process_Details[Input or Output],"Input")</f>
        <v>0</v>
      </c>
      <c r="GX14" s="1">
        <f ca="1">SUMIFS(Table_Process_Details[RV Eutrophication (kg phosphate equiv.) per kg API (SOLVENT)],Table_Process_Details[Display Name],Table_Process_Details[[#This Row],[Unique Process Inputs]],Table_Process_Details[Input or Output],"Input")</f>
        <v>0.93818488030620062</v>
      </c>
      <c r="GY14" s="1">
        <f ca="1">SUMIFS(Table_Process_Details[RV Eutrophication (kg phosphate equiv.) per kg API (WATER)],Table_Process_Details[Display Name],Table_Process_Details[[#This Row],[Unique Process Inputs]],Table_Process_Details[Input or Output],"Input")</f>
        <v>0</v>
      </c>
      <c r="GZ14" s="1">
        <f ca="1">SUMIFS(Table_Process_Details[RV Eutrophication (kg phosphate equiv.) per kg API (ENZ&amp;PLNT)],Table_Process_Details[Display Name],Table_Process_Details[[#This Row],[Unique Process Inputs]],Table_Process_Details[Input or Output],"Input")</f>
        <v>0</v>
      </c>
      <c r="HA14" s="1">
        <f ca="1">SUMIFS(Table_Process_Details[RV Eutrophication (kg phosphate equiv.) per kg API (OTHER)],Table_Process_Details[Display Name],Table_Process_Details[[#This Row],[Unique Process Inputs]],Table_Process_Details[Input or Output],"Input")</f>
        <v>0</v>
      </c>
      <c r="HB14"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V (organic)</v>
      </c>
      <c r="HC14" s="22">
        <f ca="1">IF(LARGE(Table_Process_Details[Total '[Eutrophication (kg posphate equiv.) per kg API'] of Unique Inputs],Table_Process_Details[[#This Row],[Table Row]])=0,NA(),LARGE(Table_Process_Details[Total '[Eutrophication (kg posphate equiv.) per kg API'] of Unique Inputs],Table_Process_Details[[#This Row],[Table Row]]))</f>
        <v>7.1891628980645167E-3</v>
      </c>
      <c r="HD14" s="22">
        <f ca="1">SUM(OFFSET(Table_Process_Details['[Eutrophication (kg posphate equiv.) per kg API'] of Unique Inputs Sorted by '[Eutrophication (kg posphate equiv.) per kg API']],0,0,Table_Process_Details[[#This Row],[Table Row]]))</f>
        <v>1.3563294461090594</v>
      </c>
      <c r="HE14"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(1%)</v>
      </c>
      <c r="HF14" s="1">
        <f ca="1">INDEX(Table_Process_Details[Total '[Eutrophication (kg posphate equiv.) per kg API'] of Unique Inputs (REAGENT)], MATCH(Table_Process_Details[[#This Row],[Unique Inputs Sorted by '[Eutrophication (kg posphate equiv.) per kg API']]],Table_Process_Details[Unique Process Inputs],0))</f>
        <v>7.1891628980645167E-3</v>
      </c>
      <c r="HG14" s="1">
        <f ca="1">INDEX(Table_Process_Details[Total '[Eutrophication (kg posphate equiv.) per kg API'] of Unique Inputs (METAL)], MATCH(Table_Process_Details[[#This Row],[Unique Inputs Sorted by '[Eutrophication (kg posphate equiv.) per kg API']]],Table_Process_Details[Unique Process Inputs],0))</f>
        <v>0</v>
      </c>
      <c r="HH14" s="1">
        <f ca="1">INDEX(Table_Process_Details[Total '[Eutrophication (kg posphate equiv.) per kg API'] of Unique Inputs (SOLVENT)], MATCH(Table_Process_Details[[#This Row],[Unique Inputs Sorted by '[Eutrophication (kg posphate equiv.) per kg API']]],Table_Process_Details[Unique Process Inputs],0))</f>
        <v>0</v>
      </c>
      <c r="HI14" s="1">
        <f ca="1">INDEX(Table_Process_Details[Total '[Eutrophication (kg posphate equiv.) per kg API'] of Unique Inputs (WATER)], MATCH(Table_Process_Details[[#This Row],[Unique Inputs Sorted by '[Eutrophication (kg posphate equiv.) per kg API']]],Table_Process_Details[Unique Process Inputs],0))</f>
        <v>0</v>
      </c>
      <c r="HJ14" s="1">
        <f ca="1">INDEX(Table_Process_Details[Total '[Eutrophication (kg posphate equiv.) per kg API'] of Unique Inputs (ENZ&amp;PLNT)], MATCH(Table_Process_Details[[#This Row],[Unique Inputs Sorted by '[Eutrophication (kg posphate equiv.) per kg API']]],Table_Process_Details[Unique Process Inputs],0))</f>
        <v>0</v>
      </c>
      <c r="HK14" s="1">
        <f ca="1">INDEX(Table_Process_Details[Total '[Eutrophication (kg posphate equiv.) per kg API'] of Unique Inputs (OTHER)], MATCH(Table_Process_Details[[#This Row],[Unique Inputs Sorted by '[Eutrophication (kg posphate equiv.) per kg API']]],Table_Process_Details[Unique Process Inputs],0))</f>
        <v>0</v>
      </c>
      <c r="HL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4" s="1">
        <f ca="1">SUMIFS(Table_Process_Details[RV Water (kg) per kg API],Table_Process_Details[Display Name],Table_Process_Details[[#This Row],[Unique Process Inputs]],Table_Process_Details[Input or Output],"Input")</f>
        <v>102.0169318081451</v>
      </c>
      <c r="HT14" s="1">
        <f ca="1">SUMIFS(Table_Process_Details[RV Water (kg) per kg API (REAGENT)],Table_Process_Details[Display Name],Table_Process_Details[[#This Row],[Unique Process Inputs]],Table_Process_Details[Input or Output],"Input")</f>
        <v>0</v>
      </c>
      <c r="HU14" s="1">
        <f ca="1">SUMIFS(Table_Process_Details[RV Water (kg) per kg API (METAL)],Table_Process_Details[Display Name],Table_Process_Details[[#This Row],[Unique Process Inputs]],Table_Process_Details[Input or Output],"Input")</f>
        <v>0</v>
      </c>
      <c r="HV14" s="1">
        <f ca="1">SUMIFS(Table_Process_Details[RV Water (kg) per kg API (SOLVENT)],Table_Process_Details[Display Name],Table_Process_Details[[#This Row],[Unique Process Inputs]],Table_Process_Details[Input or Output],"Input")</f>
        <v>102.0169318081451</v>
      </c>
      <c r="HW14" s="1">
        <f ca="1">SUMIFS(Table_Process_Details[RV Water (kg) per kg API (WATER)],Table_Process_Details[Display Name],Table_Process_Details[[#This Row],[Unique Process Inputs]],Table_Process_Details[Input or Output],"Input")</f>
        <v>0</v>
      </c>
      <c r="HX14" s="1">
        <f ca="1">SUMIFS(Table_Process_Details[RV Water (kg) per kg API (ENZ&amp;PLNT)],Table_Process_Details[Display Name],Table_Process_Details[[#This Row],[Unique Process Inputs]],Table_Process_Details[Input or Output],"Input")</f>
        <v>0</v>
      </c>
      <c r="HY14" s="1">
        <f ca="1">SUMIFS(Table_Process_Details[RV Water (kg) per kg API (OTHER)],Table_Process_Details[Display Name],Table_Process_Details[[#This Row],[Unique Process Inputs]],Table_Process_Details[Input or Output],"Input")</f>
        <v>0</v>
      </c>
      <c r="HZ14" s="22" t="str">
        <f ca="1">INDEX(Table_Process_Details[Unique Process Inputs],MATCH(Table_Process_Details[[#This Row],['[Water (kg) per kg API'] of Unique Inputs Sorted by '[Water (kg) per kg API']]],Table_Process_Details[Total '[Water (kg) per kg API'] of Unique Inputs],0))</f>
        <v>reagent D (organic)</v>
      </c>
      <c r="IA14" s="22">
        <f ca="1">IF(LARGE(Table_Process_Details[Total '[Water (kg) per kg API'] of Unique Inputs],Table_Process_Details[[#This Row],[Table Row]])=0,NA(),LARGE(Table_Process_Details[Total '[Water (kg) per kg API'] of Unique Inputs],Table_Process_Details[[#This Row],[Table Row]]))</f>
        <v>17.926524327890665</v>
      </c>
      <c r="IB14" s="1">
        <f ca="1">SUM(OFFSET(Table_Process_Details['[Water (kg) per kg API'] of Unique Inputs Sorted by '[Water (kg) per kg API']],0,0,Table_Process_Details[[#This Row],[Table Row]]))</f>
        <v>814.99865206094296</v>
      </c>
      <c r="IC14" s="1" t="str">
        <f ca="1">"("&amp;TEXT(Table_Process_Details[[#This Row],['[Water (kg) per kg API'] of Unique Inputs Sorted by '[Water (kg) per kg API']]]/SUMIF(Table_Process_Details['[Water (kg) per kg API'] of Unique Inputs Sorted by '[Water (kg) per kg API']],"&lt;&gt;#N/A"),"0%")&amp;")"</f>
        <v>(2%)</v>
      </c>
      <c r="ID14" s="1">
        <f ca="1">INDEX(Table_Process_Details[Total '[Water (kg) per kg API'] of Unique Inputs (REAGENT)], MATCH(Table_Process_Details[[#This Row],[Unique Inputs Sorted by '[Water (kg) per kg API']]],Table_Process_Details[Unique Process Inputs],0))</f>
        <v>17.926524327890665</v>
      </c>
      <c r="IE14" s="1">
        <f ca="1">INDEX(Table_Process_Details[Total '[Water (kg) per kg API'] of Unique Inputs (METAL)], MATCH(Table_Process_Details[[#This Row],[Unique Inputs Sorted by '[Water (kg) per kg API']]],Table_Process_Details[Unique Process Inputs],0))</f>
        <v>0</v>
      </c>
      <c r="IF14" s="1">
        <f ca="1">INDEX(Table_Process_Details[Total '[Water (kg) per kg API'] of Unique Inputs (SOLVENT)], MATCH(Table_Process_Details[[#This Row],[Unique Inputs Sorted by '[Water (kg) per kg API']]],Table_Process_Details[Unique Process Inputs],0))</f>
        <v>0</v>
      </c>
      <c r="IG14" s="1">
        <f ca="1">INDEX(Table_Process_Details[Total '[Water (kg) per kg API'] of Unique Inputs (WATER)], MATCH(Table_Process_Details[[#This Row],[Unique Inputs Sorted by '[Water (kg) per kg API']]],Table_Process_Details[Unique Process Inputs],0))</f>
        <v>0</v>
      </c>
      <c r="IH14" s="1">
        <f ca="1">INDEX(Table_Process_Details[Total '[Water (kg) per kg API'] of Unique Inputs (ENZ&amp;PLNT)], MATCH(Table_Process_Details[[#This Row],[Unique Inputs Sorted by '[Water (kg) per kg API']]],Table_Process_Details[Unique Process Inputs],0))</f>
        <v>0</v>
      </c>
      <c r="II14" s="1">
        <f ca="1">INDEX(Table_Process_Details[Total '[Water (kg) per kg API'] of Unique Inputs (OTHER)], MATCH(Table_Process_Details[[#This Row],[Unique Inputs Sorted by '[Water (kg) per kg API']]],Table_Process_Details[Unique Process Inputs],0))</f>
        <v>0</v>
      </c>
    </row>
    <row r="15" spans="1:250" customFormat="1" x14ac:dyDescent="0.25">
      <c r="A15" s="22" t="str">
        <f>A14</f>
        <v>1d) Virtual salt prep for (1): nickel salt</v>
      </c>
      <c r="B15" s="21" t="s">
        <v>4</v>
      </c>
      <c r="C15" s="21" t="s">
        <v>7</v>
      </c>
      <c r="D15" s="22" t="s">
        <v>158</v>
      </c>
      <c r="E15" s="22" t="s">
        <v>817</v>
      </c>
      <c r="F15" s="26">
        <v>100</v>
      </c>
      <c r="G15" s="26"/>
      <c r="H15" s="26" t="s">
        <v>850</v>
      </c>
      <c r="I15" s="26"/>
      <c r="J15" s="26" t="str">
        <f>INDEX(Process_Steps[Reference],MATCH(Table_Process_Details[[#This Row],[Step Name]],Process_Steps[Name],0))</f>
        <v>Reference Document  for Step 1</v>
      </c>
      <c r="K15" s="27" t="str">
        <f>INDEX(Process_Steps[Real or Virtual?],MATCH(Table_Process_Details[[#This Row],[Step Name]],Process_Steps[Name],0))</f>
        <v>Virtual</v>
      </c>
      <c r="L1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1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15" s="26">
        <f>INDEX(Table_Process_Details[Physical Mass (kg)],MATCH(1,INDEX(((Table_Process_Details[Step Name]=Table_Process_Details[[#This Row],[Step Name]])*(Table_Process_Details[Input or Output]="Output")),0),0))</f>
        <v>158.69</v>
      </c>
      <c r="O15" s="29">
        <f ca="1">INDEX(Process_Steps[Step Scale Factor for 1kg Packaged API],MATCH(Table_Process_Details[[#This Row],[Step Name]],Process_Steps[Name],0))</f>
        <v>8.8097580890076038E-5</v>
      </c>
      <c r="P1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3.6666666666666665</v>
      </c>
      <c r="Q1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16.666666666666668</v>
      </c>
      <c r="R15" s="26">
        <f ca="1">_xlfn.SWITCH(Run_Reset_PNG,"Reset",Table_Process_Details[[#This Row],[X Init]],"Run",Table_Process_Details[[#This Row],[X Moved]],"Freeze",Table_Process_Details[[#This Row],[X Mover]])</f>
        <v>-9.0854970092083089</v>
      </c>
      <c r="S15" s="26">
        <f ca="1">_xlfn.SWITCH(Run_Reset_PNG,"Reset",Table_Process_Details[[#This Row],[Y Init]],"Run",Table_Process_Details[[#This Row],[Y Moved]],"Freeze",Table_Process_Details[[#This Row],[Y Mover]])</f>
        <v>33.051234889369923</v>
      </c>
      <c r="T15" s="26" cm="1">
        <f t="array" aca="1" ref="T1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-0.76000239795328151</v>
      </c>
      <c r="U15" s="26" cm="1">
        <f t="array" aca="1" ref="U1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4.6054375509587615</v>
      </c>
      <c r="V15" s="26" cm="1">
        <f t="array" aca="1" ref="V15" ca="1">SUM(--(SQRT((Table_Process_Details[[#This Row],[X Mover]]-Table_Process_Details[X Mover])^2+(Table_Process_Details[[#This Row],[Y Mover]]-Table_Process_Details[Y Mover])^2)&lt;Collision_Distance))</f>
        <v>5</v>
      </c>
      <c r="W15" s="26" cm="1">
        <f t="array" aca="1" ref="W1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9.5385098382436154E-2</v>
      </c>
      <c r="X15" s="26" cm="1">
        <f t="array" aca="1" ref="X1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-0.76067356878892323</v>
      </c>
      <c r="Y15" s="26" cm="1">
        <f t="array" aca="1" ref="Y1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5" s="26">
        <f>0</f>
        <v>0</v>
      </c>
      <c r="AA15" s="26">
        <f>0</f>
        <v>0</v>
      </c>
      <c r="AB1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4.5427485046041545</v>
      </c>
      <c r="AC15" s="26" cm="1">
        <f t="array" aca="1" ref="AC1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-16.525617444684961</v>
      </c>
      <c r="AD15" s="26">
        <f>MIN(1,COUNTA(Table_Process_Details[[#This Row],[target x]]),COUNTA(Table_Process_Details[[#This Row],[target y]]))*COUNTA(Table_Process_Details[Step Name])</f>
        <v>98</v>
      </c>
      <c r="AE1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-9.0957578138389348</v>
      </c>
      <c r="AF1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33.04302008133719</v>
      </c>
      <c r="AG1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5" s="26" cm="1">
        <f t="array" aca="1" ref="AH15" ca="1">INDEX(Table_Process_Details[X Mover],MATCH(1,INDEX((Table_Process_Details[Input or Output]="Output")*(Table_Process_Details[Step Name]=Table_Process_Details[[#This Row],[Step Name]])*(Table_Process_Details[[#This Row],[Input or Output]]="Input"),0),0))</f>
        <v>-8.5214632532720813</v>
      </c>
      <c r="AI15" s="26" cm="1">
        <f t="array" aca="1" ref="AI15" ca="1">INDEX(Table_Process_Details[Y Mover],MATCH(1,INDEX((Table_Process_Details[Input or Output]="Output")*(Table_Process_Details[Step Name]=Table_Process_Details[[#This Row],[Step Name]])*(Table_Process_Details[[#This Row],[Input or Output]]="Input"),0),0))</f>
        <v>28.553199270376069</v>
      </c>
      <c r="AJ15" s="26" t="e">
        <f ca="1">SQRT((Table_Process_Details[[#This Row],[X End (To Node Center)]]-Table_Process_Details[[#This Row],[X Guide]])^2+(Table_Process_Details[[#This Row],[Y End (to Node Center)]]-Table_Process_Details[[#This Row],[Y Guide]])^2)</f>
        <v>#N/A</v>
      </c>
      <c r="AK15" s="26" t="e" cm="1">
        <f t="array" ref="AK15">INDEX(Table_Process_Details[X Mover],MATCH(1,INDEX((Table_Process_Details[Step Name]=Table_Process_Details[[#This Row],[LCA Data Source Subclass]])*(Table_Process_Details[Input or Output]="Output"),0)*(Table_Process_Details[[#This Row],[Input or Output]]="Input"),0))</f>
        <v>#N/A</v>
      </c>
      <c r="AL15" s="26" cm="1">
        <f t="array" aca="1" ref="AL15" ca="1">INDEX(Table_Process_Details[X Mover],MATCH(1,INDEX(((Table_Process_Details[Table Row]=Table_Process_Details[[#This Row],[Table Row]])*(1)),0)*(Table_Process_Details[[#This Row],[Input or Output]]="Input"),0))</f>
        <v>-9.0854970092083089</v>
      </c>
      <c r="AM15" s="26" t="e" cm="1">
        <f t="array" aca="1" ref="AM15" ca="1">(Table_Process_Details[[#This Row],[X End (To Node Center)]]*Table_Process_Details[[#This Row],[r0]]-Table_Process_Details[[#This Row],[X End (To Node Center)]]*Arrow_Offset+Table_Process_Details[[#This Row],[X Guide]]*Arrow_Offset)/Table_Process_Details[[#This Row],[r0]]</f>
        <v>#N/A</v>
      </c>
      <c r="AN15" s="26" t="e">
        <f>IF(NOT(Table_Process_Details[[#This Row],[Display As]]="None"),Table_Process_Details[[#This Row],[X Start Prefilter]],NA())</f>
        <v>#N/A</v>
      </c>
      <c r="AO15" s="26" t="e">
        <f>IF(NOT(Table_Process_Details[[#This Row],[Display As]]="None"),Table_Process_Details[[#This Row],[X Guide Prefilter]],NA())</f>
        <v>#N/A</v>
      </c>
      <c r="AP15" s="26" t="e">
        <f>IF(NOT(Table_Process_Details[[#This Row],[Display As]]="None"),Table_Process_Details[[#This Row],[X End (to Stop Radius) Prefilter]],NA())</f>
        <v>#N/A</v>
      </c>
      <c r="AQ15" s="26" t="e">
        <f>NA()</f>
        <v>#N/A</v>
      </c>
      <c r="AR15" s="26" t="e" cm="1">
        <f t="array" ref="AR15">INDEX(Table_Process_Details[Y Mover],MATCH(1,INDEX((Table_Process_Details[Step Name]=Table_Process_Details[[#This Row],[LCA Data Source Subclass]])*(Table_Process_Details[Input or Output]="Output"),0)*(Table_Process_Details[[#This Row],[Input or Output]]="Input"),0))</f>
        <v>#N/A</v>
      </c>
      <c r="AS15" s="26" cm="1">
        <f t="array" aca="1" ref="AS15" ca="1">INDEX(Table_Process_Details[Y Mover],MATCH(1,INDEX(((Table_Process_Details[Table Row]=Table_Process_Details[[#This Row],[Table Row]])*(1)),0)*(Table_Process_Details[[#This Row],[Input or Output]]="Input"),0))</f>
        <v>33.051234889369923</v>
      </c>
      <c r="AT15" s="26" t="e" cm="1">
        <f t="array" aca="1" ref="AT15" ca="1">(Table_Process_Details[[#This Row],[Y Guide]]*Arrow_Offset-Table_Process_Details[[#This Row],[Y End (to Node Center)]]*Arrow_Offset+Table_Process_Details[[#This Row],[Y End (to Node Center)]]*Table_Process_Details[[#This Row],[r0]])/Table_Process_Details[[#This Row],[r0]]</f>
        <v>#N/A</v>
      </c>
      <c r="AU15" s="26" t="e">
        <f>IF(NOT(Table_Process_Details[[#This Row],[Display As]]="None"),Table_Process_Details[[#This Row],[Y Start Prefilter]],NA())</f>
        <v>#N/A</v>
      </c>
      <c r="AV15" s="26" t="e">
        <f>IF(NOT(Table_Process_Details[[#This Row],[Display As]]="None"),Table_Process_Details[[#This Row],[Y Guide Prefilter]],NA())</f>
        <v>#N/A</v>
      </c>
      <c r="AW15" s="26" t="e">
        <f>IF(NOT(Table_Process_Details[[#This Row],[Display As]]="None"),Table_Process_Details[[#This Row],[Y End (to Stop Radius) Prefilter]],NA())</f>
        <v>#N/A</v>
      </c>
      <c r="AX15" s="26" t="e">
        <f>NA()</f>
        <v>#N/A</v>
      </c>
      <c r="AY15" s="26" t="e">
        <f>IF(Table_Process_Details[[#This Row],[Display As]]="Real Step",Table_Process_Details[[#This Row],[X Mover]],NA())</f>
        <v>#N/A</v>
      </c>
      <c r="AZ15" s="26" t="e">
        <f>IF(Table_Process_Details[[#This Row],[Display As]]="Real Step",Table_Process_Details[[#This Row],[Y Mover]],NA())</f>
        <v>#N/A</v>
      </c>
      <c r="BA15" s="26" t="e">
        <f>IF(Table_Process_Details[[#This Row],[Display As]]="Raw Material",Table_Process_Details[[#This Row],[X Mover]],NA())</f>
        <v>#N/A</v>
      </c>
      <c r="BB15" s="26" t="e">
        <f>IF(Table_Process_Details[[#This Row],[Display As]]="Raw Material",Table_Process_Details[[#This Row],[Y Mover]],NA())</f>
        <v>#N/A</v>
      </c>
      <c r="BC15" s="26" t="e">
        <f>IF(OR(Table_Process_Details[[#This Row],[Display As]]="Real Step",Table_Process_Details[[#This Row],[Display As]]="Raw Material"),Table_Process_Details[[#This Row],[X Mover]],NA())</f>
        <v>#N/A</v>
      </c>
      <c r="BD15" s="26" t="e">
        <f>IF(OR(Table_Process_Details[[#This Row],[Display As]]="Real Step",Table_Process_Details[[#This Row],[Display As]]="Raw Material"),Table_Process_Details[[#This Row],[Y Mover]],NA())</f>
        <v>#N/A</v>
      </c>
      <c r="BE15" s="22">
        <f>ROW()-ROW(Table_Process_Details[[#Headers],[Table Row]])</f>
        <v>11</v>
      </c>
      <c r="BF15" s="23" t="str" cm="1">
        <f t="array" aca="1" ref="BF15" ca="1">INDEX(Table_Process_Details[Display Name],MATCH(0,IF(Table_Process_Details[Input or Output]="Input",INDEX(COUNTIF(OFFSET(Table_Process_Details[[#Headers],[Unique Process Inputs]],0,0,Table_Process_Details[[#This Row],[Table Row]],1),Table_Process_Details[Display Name]),),""),0))</f>
        <v>reagent N (organic)</v>
      </c>
      <c r="BG15" s="23">
        <f ca="1">Table_Process_Details[[#This Row],[Physical Mass (kg)]]*Table_Process_Details[[#This Row],[Step Scale Factor for 1kg Packaged API]]</f>
        <v>8.8097580890076042E-3</v>
      </c>
      <c r="BH1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5" s="23">
        <f ca="1">MATCH(Table_Process_Details[[#This Row],[LCA Data Source Class]],INDIRECT(Table_Process_Details[[#This Row],[Input or Output]]),0)</f>
        <v>6</v>
      </c>
      <c r="BJ15" s="23">
        <f ca="1">MATCH(Table_Process_Details[[#This Row],[LCA Data Source Subclass]],INDIRECT(Table_Process_Details[[#This Row],[LCA Data Source Class]]&amp;"[Name]"),0)</f>
        <v>1</v>
      </c>
      <c r="BK15" s="23">
        <f ca="1">IFERROR(INDEX(INDIRECT(Table_Process_Details[[#This Row],[LCA Data Source Class]]&amp;"[Mass Net (kg)]"),MATCH(Table_Process_Details[[#This Row],[LCA Data Source Subclass]],INDIRECT(Table_Process_Details[[#This Row],[LCA Data Source Class]]&amp;"[Name]"),0)),0)</f>
        <v>1.34</v>
      </c>
      <c r="BL15" s="23">
        <f ca="1">IFERROR(INDEX(INDIRECT(Table_Process_Details[[#This Row],[LCA Data Source Class]]&amp;"[Energy (MJ)]"),MATCH(Table_Process_Details[[#This Row],[LCA Data Source Subclass]],INDIRECT(Table_Process_Details[[#This Row],[LCA Data Source Class]]&amp;"[Name]"),0)),0)</f>
        <v>10.63</v>
      </c>
      <c r="BM15" s="23">
        <f ca="1">IFERROR(INDEX(INDIRECT(Table_Process_Details[[#This Row],[LCA Data Source Class]]&amp;"[GWP (kg CO2 equiv.)]"),MATCH(Table_Process_Details[[#This Row],[LCA Data Source Subclass]],INDIRECT(Table_Process_Details[[#This Row],[LCA Data Source Class]]&amp;"[Name]"),0)),0)</f>
        <v>1.3854</v>
      </c>
      <c r="BN15" s="23">
        <f ca="1">IFERROR(INDEX(INDIRECT(Table_Process_Details[[#This Row],[LCA Data Source Class]]&amp;"[Acidification (kg SO2 equiv.)]"),MATCH(Table_Process_Details[[#This Row],[LCA Data Source Subclass]],INDIRECT(Table_Process_Details[[#This Row],[LCA Data Source Class]]&amp;"[Name]"),0)),0)</f>
        <v>1.3899999999999999E-2</v>
      </c>
      <c r="BO15" s="23">
        <f ca="1">IFERROR(INDEX(INDIRECT(Table_Process_Details[[#This Row],[LCA Data Source Class]]&amp;"[Eutrophication (kg posphate equiv.)]"),MATCH(Table_Process_Details[[#This Row],[LCA Data Source Subclass]],INDIRECT(Table_Process_Details[[#This Row],[LCA Data Source Class]]&amp;"[Name]"),0)),0)</f>
        <v>6.9999999999999999E-4</v>
      </c>
      <c r="BP15" s="23">
        <f ca="1">IFERROR(INDEX(INDIRECT(Table_Process_Details[[#This Row],[LCA Data Source Class]]&amp;"[Water (kg)]"),MATCH(Table_Process_Details[[#This Row],[LCA Data Source Subclass]],INDIRECT(Table_Process_Details[[#This Row],[LCA Data Source Class]]&amp;"[Name]"),0)),0)</f>
        <v>0.69123000000000001</v>
      </c>
      <c r="BQ15" s="27">
        <f ca="1">(Table_Process_Details[[#This Row],[Input or Output]]="Input")*(Table_Process_Details[[#This Row],[LCA Data Source Class]]&lt;&gt;"Process_Steps")*Table_Process_Details[[#This Row],[Scaled Physical Mass per kg API for All Inputs &amp; Outputs]]</f>
        <v>8.8097580890076042E-3</v>
      </c>
      <c r="BR15" s="27">
        <f ca="1">(Table_Process_Details[[#This Row],[Material Class]]="REAGENT")*Table_Process_Details[[#This Row],[Physical Mass per kg API]]</f>
        <v>8.8097580890076042E-3</v>
      </c>
      <c r="BS15" s="27">
        <f ca="1">(Table_Process_Details[[#This Row],[Material Class]]="METAL")*Table_Process_Details[[#This Row],[Physical Mass per kg API]]</f>
        <v>0</v>
      </c>
      <c r="BT15" s="27">
        <f ca="1">(Table_Process_Details[[#This Row],[Material Class]]="SOLVENT")*Table_Process_Details[[#This Row],[Physical Mass per kg API]]</f>
        <v>0</v>
      </c>
      <c r="BU15" s="27">
        <f ca="1">(Table_Process_Details[[#This Row],[Material Class]]="WATER")*Table_Process_Details[[#This Row],[Physical Mass per kg API]]</f>
        <v>0</v>
      </c>
      <c r="BV15" s="27">
        <f ca="1">(Table_Process_Details[[#This Row],[Material Class]]="ENZ&amp;PLNT")*Table_Process_Details[[#This Row],[Physical Mass per kg API]]</f>
        <v>0</v>
      </c>
      <c r="BW15" s="27">
        <f ca="1">(Table_Process_Details[[#This Row],[Material Class]]="OTHER")*Table_Process_Details[[#This Row],[Physical Mass per kg API]]</f>
        <v>0</v>
      </c>
      <c r="BX1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5" s="1">
        <f ca="1">SUMIFS(Table_Process_Details[RV Physical Mass per kg API],Table_Process_Details[Display Name],Table_Process_Details[[#This Row],[Unique Process Inputs]],Table_Process_Details[Input or Output],"Input")</f>
        <v>6.9901025556863547E-2</v>
      </c>
      <c r="CF15" s="1">
        <f ca="1">SUMIFS(Table_Process_Details[RV Physical Mass per kg API (REAGENT)],Table_Process_Details[Display Name],Table_Process_Details[[#This Row],[Unique Process Inputs]],Table_Process_Details[Input or Output],"Input")</f>
        <v>6.9901025556863547E-2</v>
      </c>
      <c r="CG15" s="1">
        <f ca="1">SUMIFS(Table_Process_Details[RV Physical Mass per kg API (METAL)],Table_Process_Details[Display Name],Table_Process_Details[[#This Row],[Unique Process Inputs]],Table_Process_Details[Input or Output],"Input")</f>
        <v>0</v>
      </c>
      <c r="CH15" s="1">
        <f ca="1">SUMIFS(Table_Process_Details[RV Physical Mass per kg API (SOLVENT)],Table_Process_Details[Display Name],Table_Process_Details[[#This Row],[Unique Process Inputs]],Table_Process_Details[Input or Output],"Input")</f>
        <v>0</v>
      </c>
      <c r="CI15" s="1">
        <f ca="1">SUMIFS(Table_Process_Details[RV Physical Mass per kg API (WATER)],Table_Process_Details[Display Name],Table_Process_Details[[#This Row],[Unique Process Inputs]],Table_Process_Details[Input or Output],"Input")</f>
        <v>0</v>
      </c>
      <c r="CJ15" s="1">
        <f ca="1">SUMIFS(Table_Process_Details[RV Physical Mass per kg API (ENZ&amp;PLNT)],Table_Process_Details[Display Name],Table_Process_Details[[#This Row],[Unique Process Inputs]],Table_Process_Details[Input or Output],"Input")</f>
        <v>0</v>
      </c>
      <c r="CK15" s="1">
        <f ca="1">SUMIFS(Table_Process_Details[RV Physical Mass per kg API (OTHER)],Table_Process_Details[Display Name],Table_Process_Details[[#This Row],[Unique Process Inputs]],Table_Process_Details[Input or Output],"Input")</f>
        <v>0</v>
      </c>
      <c r="CL15" s="22" t="str">
        <f ca="1">INDEX(Table_Process_Details[Unique Process Inputs],MATCH(Table_Process_Details[[#This Row],['[Physical Mass per kg API'] of Unique Inputs Sorted by '[Physical Mass per kg API']]],Table_Process_Details[Total '[Physical Mass per kg API'] of Unique Inputs],0))</f>
        <v>0.1 M reagent G (inorganic) in water</v>
      </c>
      <c r="CM15" s="22">
        <f ca="1">IF(LARGE(Table_Process_Details[Total '[Physical Mass per kg API'] of Unique Inputs],Table_Process_Details[[#This Row],[Table Row]])=0,NA(),LARGE(Table_Process_Details[Total '[Physical Mass per kg API'] of Unique Inputs],Table_Process_Details[[#This Row],[Table Row]]))</f>
        <v>4.1940615334094513</v>
      </c>
      <c r="CN15" s="22">
        <f ca="1">SUM(OFFSET(Table_Process_Details['[Physical Mass per kg API'] of Unique Inputs Sorted by '[Physical Mass per kg API']],0,0,Table_Process_Details[[#This Row],[Table Row]]))</f>
        <v>128.97510302007683</v>
      </c>
      <c r="CO15" s="22" t="str">
        <f ca="1">"("&amp;TEXT(Table_Process_Details[[#This Row],['[Physical Mass per kg API'] of Unique Inputs Sorted by '[Physical Mass per kg API']]]/SUMIF(Table_Process_Details['[Physical Mass per kg API'] of Unique Inputs Sorted by '[Physical Mass per kg API']],"&lt;&gt;#N/A"),"0%")&amp;")"</f>
        <v>(3%)</v>
      </c>
      <c r="CP15" s="22">
        <f ca="1">INDEX(Table_Process_Details[Total '[Physical Mass per kg API'] of Unique Inputs (REAGENT)],MATCH(Table_Process_Details[[#This Row],[Unique Inputs Sorted by '[Physical Mass per kg API']]],Table_Process_Details[Unique Process Inputs],0))</f>
        <v>1.8867616615357928E-2</v>
      </c>
      <c r="CQ15" s="22">
        <f ca="1">INDEX(Table_Process_Details[Total '[Physical Mass per kg API'] of Unique Inputs (METAL)],MATCH(Table_Process_Details[[#This Row],[Unique Inputs Sorted by '[Physical Mass per kg API']]],Table_Process_Details[Unique Process Inputs],0))</f>
        <v>0</v>
      </c>
      <c r="CR15" s="22">
        <f ca="1">INDEX(Table_Process_Details[Total '[Physical Mass per kg API'] of Unique Inputs (SOLVENT)],MATCH(Table_Process_Details[[#This Row],[Unique Inputs Sorted by '[Physical Mass per kg API']]],Table_Process_Details[Unique Process Inputs],0))</f>
        <v>0</v>
      </c>
      <c r="CS15" s="22">
        <f ca="1">INDEX(Table_Process_Details[Total '[Physical Mass per kg API'] of Unique Inputs (WATER)],MATCH(Table_Process_Details[[#This Row],[Unique Inputs Sorted by '[Physical Mass per kg API']]],Table_Process_Details[Unique Process Inputs],0))</f>
        <v>4.1751939167940932</v>
      </c>
      <c r="CT15" s="22">
        <f ca="1">INDEX(Table_Process_Details[Total '[Physical Mass per kg API'] of Unique Inputs (ENZ&amp;PLNT)],MATCH(Table_Process_Details[[#This Row],[Unique Inputs Sorted by '[Physical Mass per kg API']]],Table_Process_Details[Unique Process Inputs],0))</f>
        <v>0</v>
      </c>
      <c r="CU15" s="22">
        <f ca="1">INDEX(Table_Process_Details[Total '[Physical Mass per kg API'] of Unique Inputs (OTHER)],MATCH(Table_Process_Details[[#This Row],[Unique Inputs Sorted by '[Physical Mass per kg API']]],Table_Process_Details[Unique Process Inputs],0))</f>
        <v>0</v>
      </c>
      <c r="CV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5" s="22">
        <f ca="1">SUMIFS(Table_Process_Details[RV Mass Net (kg) per kg API],Table_Process_Details[Display Name],Table_Process_Details[[#This Row],[Unique Process Inputs]],Table_Process_Details[Input or Output],"Input")</f>
        <v>0.14582198457313539</v>
      </c>
      <c r="DD15" s="22">
        <f ca="1">SUMIFS(Table_Process_Details[RV Mass Net (kg) per kg API (REAGENT)],Table_Process_Details[Display Name],Table_Process_Details[[#This Row],[Unique Process Inputs]],Table_Process_Details[Input or Output],"Input")</f>
        <v>0.14582198457313539</v>
      </c>
      <c r="DE15" s="22">
        <f ca="1">SUMIFS(Table_Process_Details[RV Mass Net (kg) per kg API (METAL)],Table_Process_Details[Display Name],Table_Process_Details[[#This Row],[Unique Process Inputs]],Table_Process_Details[Input or Output],"Input")</f>
        <v>0</v>
      </c>
      <c r="DF15" s="22">
        <f ca="1">SUMIFS(Table_Process_Details[RV Mass Net (kg) per kg API (SOLVENT)],Table_Process_Details[Display Name],Table_Process_Details[[#This Row],[Unique Process Inputs]],Table_Process_Details[Input or Output],"Input")</f>
        <v>0</v>
      </c>
      <c r="DG15" s="22">
        <f ca="1">SUMIFS(Table_Process_Details[RV Mass Net (kg) per kg API (WATER)],Table_Process_Details[Display Name],Table_Process_Details[[#This Row],[Unique Process Inputs]],Table_Process_Details[Input or Output],"Input")</f>
        <v>0</v>
      </c>
      <c r="DH15" s="22">
        <f ca="1">SUMIFS(Table_Process_Details[RV Mass Net (kg) per kg API (ENZ&amp;PLNT)],Table_Process_Details[Display Name],Table_Process_Details[[#This Row],[Unique Process Inputs]],Table_Process_Details[Input or Output],"Input")</f>
        <v>0</v>
      </c>
      <c r="DI15" s="22">
        <f ca="1">SUMIFS(Table_Process_Details[RV Mass Net (kg) per kg API (OTHER)],Table_Process_Details[Display Name],Table_Process_Details[[#This Row],[Unique Process Inputs]],Table_Process_Details[Input or Output],"Input")</f>
        <v>0</v>
      </c>
      <c r="DJ15" s="22" t="str">
        <f ca="1">INDEX(Table_Process_Details[Unique Process Inputs],MATCH(Table_Process_Details[[#This Row],['[Mass Net (kg) per kg API'] of Unique Inputs Sorted by '[Mass Net (kg) per kg API']]],Table_Process_Details[Total '[Mass Net (kg) per kg API'] of Unique Inputs],0))</f>
        <v>reagent M (organic)</v>
      </c>
      <c r="DK15" s="22">
        <f ca="1">IF(LARGE(Table_Process_Details[Total '[Mass Net (kg) per kg API'] of Unique Inputs],Table_Process_Details[[#This Row],[Table Row]])=0,NA(),LARGE(Table_Process_Details[Total '[Mass Net (kg) per kg API'] of Unique Inputs],Table_Process_Details[[#This Row],[Table Row]]))</f>
        <v>2.3364553155096774</v>
      </c>
      <c r="DL15" s="22">
        <f ca="1">SUM(OFFSET(Table_Process_Details['[Mass Net (kg) per kg API'] of Unique Inputs Sorted by '[Mass Net (kg) per kg API']],0,0,Table_Process_Details[[#This Row],[Table Row]]))</f>
        <v>117.8660406682113</v>
      </c>
      <c r="DM15" s="22" t="str">
        <f ca="1">"("&amp;TEXT(Table_Process_Details[[#This Row],['[Mass Net (kg) per kg API'] of Unique Inputs Sorted by '[Mass Net (kg) per kg API']]]/SUMIF(Table_Process_Details['[Mass Net (kg) per kg API'] of Unique Inputs Sorted by '[Mass Net (kg) per kg API']],"&lt;&gt;#N/A"),"0%")&amp;")"</f>
        <v>(2%)</v>
      </c>
      <c r="DN15" s="22">
        <f ca="1">INDEX(Table_Process_Details[Total '[Mass Net (kg) per kg API'] of Unique Inputs (REAGENT)], MATCH(Table_Process_Details[[#This Row],[Unique Inputs Sorted by '[Mass Net (kg) per kg API']]],Table_Process_Details[Unique Process Inputs],0))</f>
        <v>2.3364553155096774</v>
      </c>
      <c r="DO15" s="22">
        <f ca="1">INDEX(Table_Process_Details[Total '[Mass Net (kg) per kg API'] of Unique Inputs (METAL)], MATCH(Table_Process_Details[[#This Row],[Unique Inputs Sorted by '[Mass Net (kg) per kg API']]],Table_Process_Details[Unique Process Inputs],0))</f>
        <v>0</v>
      </c>
      <c r="DP15" s="22">
        <f ca="1">INDEX(Table_Process_Details[Total '[Mass Net (kg) per kg API'] of Unique Inputs (SOLVENT)], MATCH(Table_Process_Details[[#This Row],[Unique Inputs Sorted by '[Mass Net (kg) per kg API']]],Table_Process_Details[Unique Process Inputs],0))</f>
        <v>0</v>
      </c>
      <c r="DQ15" s="22">
        <f ca="1">INDEX(Table_Process_Details[Total '[Mass Net (kg) per kg API'] of Unique Inputs (WATER)], MATCH(Table_Process_Details[[#This Row],[Unique Inputs Sorted by '[Mass Net (kg) per kg API']]],Table_Process_Details[Unique Process Inputs],0))</f>
        <v>0</v>
      </c>
      <c r="DR15" s="22">
        <f ca="1">INDEX(Table_Process_Details[Total '[Mass Net (kg) per kg API'] of Unique Inputs (ENZ&amp;PLNT)], MATCH(Table_Process_Details[[#This Row],[Unique Inputs Sorted by '[Mass Net (kg) per kg API']]],Table_Process_Details[Unique Process Inputs],0))</f>
        <v>0</v>
      </c>
      <c r="DS15" s="22">
        <f ca="1">INDEX(Table_Process_Details[Total '[Mass Net (kg) per kg API'] of Unique Inputs (OTHER)], MATCH(Table_Process_Details[[#This Row],[Unique Inputs Sorted by '[Mass Net (kg) per kg API']]],Table_Process_Details[Unique Process Inputs],0))</f>
        <v>0</v>
      </c>
      <c r="DT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5" s="1">
        <f ca="1">SUMIFS(Table_Process_Details[RV Energy (MJ) per kg API],Table_Process_Details[Display Name],Table_Process_Details[[#This Row],[Unique Process Inputs]],Table_Process_Details[Input or Output],"Input")</f>
        <v>5.2333002547036287</v>
      </c>
      <c r="EB15" s="1">
        <f ca="1">SUMIFS(Table_Process_Details[RV Energy (MJ) per kg API (REAGENT)],Table_Process_Details[Display Name],Table_Process_Details[[#This Row],[Unique Process Inputs]],Table_Process_Details[Input or Output],"Input")</f>
        <v>5.2333002547036287</v>
      </c>
      <c r="EC15" s="1">
        <f ca="1">SUMIFS(Table_Process_Details[RV Energy (MJ) per kg API (METAL)],Table_Process_Details[Display Name],Table_Process_Details[[#This Row],[Unique Process Inputs]],Table_Process_Details[Input or Output],"Input")</f>
        <v>0</v>
      </c>
      <c r="ED15" s="1">
        <f ca="1">SUMIFS(Table_Process_Details[RV Energy (MJ) per kg API (SOLVENT)],Table_Process_Details[Display Name],Table_Process_Details[[#This Row],[Unique Process Inputs]],Table_Process_Details[Input or Output],"Input")</f>
        <v>0</v>
      </c>
      <c r="EE15" s="1">
        <f ca="1">SUMIFS(Table_Process_Details[RV Energy (MJ) per kg API (WATER)],Table_Process_Details[Display Name],Table_Process_Details[[#This Row],[Unique Process Inputs]],Table_Process_Details[Input or Output],"Input")</f>
        <v>0</v>
      </c>
      <c r="EF15" s="1">
        <f ca="1">SUMIFS(Table_Process_Details[RV Energy (MJ) per kg API (ENZ&amp;PLNT)],Table_Process_Details[Display Name],Table_Process_Details[[#This Row],[Unique Process Inputs]],Table_Process_Details[Input or Output],"Input")</f>
        <v>0</v>
      </c>
      <c r="EG15" s="1">
        <f ca="1">SUMIFS(Table_Process_Details[RV Energy (MJ) per kg API (OTHER)],Table_Process_Details[Display Name],Table_Process_Details[[#This Row],[Unique Process Inputs]],Table_Process_Details[Input or Output],"Input")</f>
        <v>0</v>
      </c>
      <c r="EH15" s="1" t="str">
        <f ca="1">INDEX(Table_Process_Details[Unique Process Inputs],MATCH(Table_Process_Details[[#This Row],['[Energy (MJ) per kg API'] of Unique Inputs Sorted by '[Energy (MJ) per kg API']]],Table_Process_Details[Total '[Energy (MJ) per kg API'] of Unique Inputs],0))</f>
        <v>0.3 M reagent L (organic) in water</v>
      </c>
      <c r="EI15" s="22">
        <f ca="1">IF(LARGE(Table_Process_Details[Total '[Energy (MJ) per kg API'] of Unique Inputs],Table_Process_Details[[#This Row],[Table Row]])=0,NA(),LARGE(Table_Process_Details[Total '[Energy (MJ) per kg API'] of Unique Inputs],Table_Process_Details[[#This Row],[Table Row]]))</f>
        <v>82.490292633037214</v>
      </c>
      <c r="EJ15" s="22">
        <f ca="1">SUM(OFFSET(Table_Process_Details['[Energy (MJ) per kg API'] of Unique Inputs Sorted by '[Energy (MJ) per kg API']],0,0,Table_Process_Details[[#This Row],[Table Row]]))</f>
        <v>4904.0349786321885</v>
      </c>
      <c r="EK15" s="22" t="str">
        <f ca="1">"("&amp;TEXT(Table_Process_Details[[#This Row],['[Energy (MJ) per kg API'] of Unique Inputs Sorted by '[Energy (MJ) per kg API']]]/SUMIF(Table_Process_Details['[Energy (MJ) per kg API'] of Unique Inputs Sorted by '[Energy (MJ) per kg API']],"&lt;&gt;#N/A"),"0%")&amp;")"</f>
        <v>(2%)</v>
      </c>
      <c r="EL15" s="22">
        <f ca="1">INDEX(Table_Process_Details[Total '[Energy (MJ) per kg API'] of Unique Inputs (REAGENT)], MATCH(Table_Process_Details[[#This Row],[Unique Inputs Sorted by '[Energy (MJ) per kg API']]],Table_Process_Details[Unique Process Inputs],0))</f>
        <v>82.437829267282027</v>
      </c>
      <c r="EM15" s="22">
        <f ca="1">INDEX(Table_Process_Details[Total '[Energy (MJ) per kg API'] of Unique Inputs (METAL)], MATCH(Table_Process_Details[[#This Row],[Unique Inputs Sorted by '[Energy (MJ) per kg API']]],Table_Process_Details[Unique Process Inputs],0))</f>
        <v>0</v>
      </c>
      <c r="EN15" s="22">
        <f ca="1">INDEX(Table_Process_Details[Total '[Energy (MJ) per kg API'] of Unique Inputs (SOLVENT)], MATCH(Table_Process_Details[[#This Row],[Unique Inputs Sorted by '[Energy (MJ) per kg API']]],Table_Process_Details[Unique Process Inputs],0))</f>
        <v>0</v>
      </c>
      <c r="EO15" s="22">
        <f ca="1">INDEX(Table_Process_Details[Total '[Energy (MJ) per kg API'] of Unique Inputs (WATER)], MATCH(Table_Process_Details[[#This Row],[Unique Inputs Sorted by '[Energy (MJ) per kg API']]],Table_Process_Details[Unique Process Inputs],0))</f>
        <v>5.2463365755184482E-2</v>
      </c>
      <c r="EP15" s="22">
        <f ca="1">INDEX(Table_Process_Details[Total '[Energy (MJ) per kg API'] of Unique Inputs (ENZ&amp;PLNT)], MATCH(Table_Process_Details[[#This Row],[Unique Inputs Sorted by '[Energy (MJ) per kg API']]],Table_Process_Details[Unique Process Inputs],0))</f>
        <v>0</v>
      </c>
      <c r="EQ15" s="22">
        <f ca="1">INDEX(Table_Process_Details[Total '[Energy (MJ) per kg API'] of Unique Inputs (OTHER)], MATCH(Table_Process_Details[[#This Row],[Unique Inputs Sorted by '[Energy (MJ) per kg API']]],Table_Process_Details[Unique Process Inputs],0))</f>
        <v>0</v>
      </c>
      <c r="ER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5" s="22">
        <f ca="1">SUMIFS(Table_Process_Details[RV GWP (kg CO2 equiv.) per kg API],Table_Process_Details[Display Name],Table_Process_Details[[#This Row],[Unique Process Inputs]],Table_Process_Details[Input or Output],"Input")</f>
        <v>0.18344850002595031</v>
      </c>
      <c r="EZ15" s="1">
        <f ca="1">SUMIFS(Table_Process_Details[RV GWP (kg CO2 equiv.) per kg API (REAGENT)],Table_Process_Details[Display Name],Table_Process_Details[[#This Row],[Unique Process Inputs]],Table_Process_Details[Input or Output],"Input")</f>
        <v>0.18344850002595031</v>
      </c>
      <c r="FA15" s="1">
        <f ca="1">SUMIFS(Table_Process_Details[RV GWP (kg CO2 equiv.) per kg API (METAL)],Table_Process_Details[Display Name],Table_Process_Details[[#This Row],[Unique Process Inputs]],Table_Process_Details[Input or Output],"Input")</f>
        <v>0</v>
      </c>
      <c r="FB15" s="1">
        <f ca="1">SUMIFS(Table_Process_Details[RV GWP (kg CO2 equiv.) per kg API (SOLVENT)],Table_Process_Details[Display Name],Table_Process_Details[[#This Row],[Unique Process Inputs]],Table_Process_Details[Input or Output],"Input")</f>
        <v>0</v>
      </c>
      <c r="FC15" s="1">
        <f ca="1">SUMIFS(Table_Process_Details[RV GWP (kg CO2 equiv.) per kg API (WATER)],Table_Process_Details[Display Name],Table_Process_Details[[#This Row],[Unique Process Inputs]],Table_Process_Details[Input or Output],"Input")</f>
        <v>0</v>
      </c>
      <c r="FD15" s="1">
        <f ca="1">SUMIFS(Table_Process_Details[RV GWP (kg CO2 equiv.) per kg API (ENZ&amp;PLNT)],Table_Process_Details[Display Name],Table_Process_Details[[#This Row],[Unique Process Inputs]],Table_Process_Details[Input or Output],"Input")</f>
        <v>0</v>
      </c>
      <c r="FE15" s="1">
        <f ca="1">SUMIFS(Table_Process_Details[RV GWP (kg CO2 equiv.) per kg API (OTHER)],Table_Process_Details[Display Name],Table_Process_Details[[#This Row],[Unique Process Inputs]],Table_Process_Details[Input or Output],"Input")</f>
        <v>0</v>
      </c>
      <c r="FF15" s="22" t="str">
        <f ca="1">INDEX(Table_Process_Details[Unique Process Inputs],MATCH(Table_Process_Details[[#This Row],['[GWP (kg CO2 equiv.) per kg API'] of Unique Inputs Sorted by '[GWP (kg CO2 equiv.) per kg API']]],Table_Process_Details[Total '[GWP (kg CO2 equiv.) per kg API'] of Unique Inputs],0))</f>
        <v>95 wt% reagent M (organic)</v>
      </c>
      <c r="FG15" s="22">
        <f ca="1">IF(LARGE(Table_Process_Details[Total '[GWP (kg CO2 equiv.) per kg API'] of Unique Inputs],Table_Process_Details[[#This Row],[Table Row]])=0,NA(),LARGE(Table_Process_Details[Total '[GWP (kg CO2 equiv.) per kg API'] of Unique Inputs],Table_Process_Details[[#This Row],[Table Row]]))</f>
        <v>2.898544585281706</v>
      </c>
      <c r="FH15" s="22">
        <f ca="1">SUM(OFFSET(Table_Process_Details['[GWP (kg CO2 equiv.) per kg API'] of Unique Inputs Sorted by '[GWP (kg CO2 equiv.) per kg API']],0,0,Table_Process_Details[[#This Row],[Table Row]]))</f>
        <v>145.80694904776843</v>
      </c>
      <c r="FI15" s="22" t="str">
        <f ca="1">"("&amp;TEXT(Table_Process_Details[[#This Row],['[GWP (kg CO2 equiv.) per kg API'] of Unique Inputs Sorted by '[GWP (kg CO2 equiv.) per kg API']]]/SUMIF(Table_Process_Details['[GWP (kg CO2 equiv.) per kg API'] of Unique Inputs Sorted by '[GWP (kg CO2 equiv.) per kg API']],"&lt;&gt;#N/A"),"0%")&amp;")"</f>
        <v>(2%)</v>
      </c>
      <c r="FJ15" s="22">
        <f ca="1">INDEX(Table_Process_Details[Total '[GWP (kg CO2 equiv.) per kg API'] of Unique Inputs (REAGENT)], MATCH(Table_Process_Details[[#This Row],[Unique Inputs Sorted by '[GWP (kg CO2 equiv.) per kg API']]],Table_Process_Details[Unique Process Inputs],0))</f>
        <v>2.8984327399522876</v>
      </c>
      <c r="FK15" s="22">
        <f ca="1">INDEX(Table_Process_Details[Total '[GWP (kg CO2 equiv.) per kg API'] of Unique Inputs (METAL)], MATCH(Table_Process_Details[[#This Row],[Unique Inputs Sorted by '[GWP (kg CO2 equiv.) per kg API']]],Table_Process_Details[Unique Process Inputs],0))</f>
        <v>0</v>
      </c>
      <c r="FL15" s="22">
        <f ca="1">INDEX(Table_Process_Details[Total '[GWP (kg CO2 equiv.) per kg API'] of Unique Inputs (SOLVENT)], MATCH(Table_Process_Details[[#This Row],[Unique Inputs Sorted by '[GWP (kg CO2 equiv.) per kg API']]],Table_Process_Details[Unique Process Inputs],0))</f>
        <v>0</v>
      </c>
      <c r="FM15" s="22">
        <f ca="1">INDEX(Table_Process_Details[Total '[GWP (kg CO2 equiv.) per kg API'] of Unique Inputs (WATER)], MATCH(Table_Process_Details[[#This Row],[Unique Inputs Sorted by '[GWP (kg CO2 equiv.) per kg API']]],Table_Process_Details[Unique Process Inputs],0))</f>
        <v>1.1184532941824198E-4</v>
      </c>
      <c r="FN15" s="22">
        <f ca="1">INDEX(Table_Process_Details[Total '[GWP (kg CO2 equiv.) per kg API'] of Unique Inputs (ENZ&amp;PLNT)], MATCH(Table_Process_Details[[#This Row],[Unique Inputs Sorted by '[GWP (kg CO2 equiv.) per kg API']]],Table_Process_Details[Unique Process Inputs],0))</f>
        <v>0</v>
      </c>
      <c r="FO15" s="22">
        <f ca="1">INDEX(Table_Process_Details[Total '[GWP (kg CO2 equiv.) per kg API'] of Unique Inputs (OTHER)], MATCH(Table_Process_Details[[#This Row],[Unique Inputs Sorted by '[GWP (kg CO2 equiv.) per kg API']]],Table_Process_Details[Unique Process Inputs],0))</f>
        <v>0</v>
      </c>
      <c r="FP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5" s="22">
        <f ca="1">SUMIFS(Table_Process_Details[RV Acidification (kg SO2 equiv.) per kg API],Table_Process_Details[Display Name],Table_Process_Details[[#This Row],[Unique Process Inputs]],Table_Process_Details[Input or Output],"Input")</f>
        <v>7.8450716061536231E-4</v>
      </c>
      <c r="FX15" s="1">
        <f ca="1">SUMIFS(Table_Process_Details[RV Acidification (kg SO2 equiv.) per kg API (REAGENT)],Table_Process_Details[Display Name],Table_Process_Details[[#This Row],[Unique Process Inputs]],Table_Process_Details[Input or Output],"Input")</f>
        <v>7.8450716061536231E-4</v>
      </c>
      <c r="FY15" s="1">
        <f ca="1">SUMIFS(Table_Process_Details[RV Acidification (kg SO2 equiv.) per kg API (METAL)],Table_Process_Details[Display Name],Table_Process_Details[[#This Row],[Unique Process Inputs]],Table_Process_Details[Input or Output],"Input")</f>
        <v>0</v>
      </c>
      <c r="FZ15" s="1">
        <f ca="1">SUMIFS(Table_Process_Details[RV Acidification (kg SO2 equiv.) per kg API (SOLVENT)],Table_Process_Details[Display Name],Table_Process_Details[[#This Row],[Unique Process Inputs]],Table_Process_Details[Input or Output],"Input")</f>
        <v>0</v>
      </c>
      <c r="GA15" s="1">
        <f ca="1">SUMIFS(Table_Process_Details[RV Acidification (kg SO2 equiv.) per kg API (WATER)],Table_Process_Details[Display Name],Table_Process_Details[[#This Row],[Unique Process Inputs]],Table_Process_Details[Input or Output],"Input")</f>
        <v>0</v>
      </c>
      <c r="GB15" s="1">
        <f ca="1">SUMIFS(Table_Process_Details[RV Acidification (kg SO2 equiv.) per kg API (ENZ&amp;PLNT)],Table_Process_Details[Display Name],Table_Process_Details[[#This Row],[Unique Process Inputs]],Table_Process_Details[Input or Output],"Input")</f>
        <v>0</v>
      </c>
      <c r="GC15" s="1">
        <f ca="1">SUMIFS(Table_Process_Details[RV Acidification (kg SO2 equiv.) per kg API (OTHER)],Table_Process_Details[Display Name],Table_Process_Details[[#This Row],[Unique Process Inputs]],Table_Process_Details[Input or Output],"Input")</f>
        <v>0</v>
      </c>
      <c r="GD15"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20 wt% reagent J (inorganic) in water</v>
      </c>
      <c r="GE15" s="22">
        <f ca="1">IF(LARGE(Table_Process_Details[Total '[Acidification (kg SO2 equiv.) per kg API'] of Unique Inputs],Table_Process_Details[[#This Row],[Table Row]])=0,NA(),LARGE(Table_Process_Details[Total '[Acidification (kg SO2 equiv.) per kg API'] of Unique Inputs],Table_Process_Details[[#This Row],[Table Row]]))</f>
        <v>1.3322596885906479E-2</v>
      </c>
      <c r="GF15" s="22">
        <f ca="1">SUM(OFFSET(Table_Process_Details['[Acidification (kg SO2 equiv.) per kg API'] of Unique Inputs Sorted by '[Acidification (kg SO2 equiv.) per kg API']],0,0,Table_Process_Details[[#This Row],[Table Row]]))</f>
        <v>0.58684932054509975</v>
      </c>
      <c r="GG15"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v>
      </c>
      <c r="GH15" s="22">
        <f ca="1">INDEX(Table_Process_Details[Total '[Acidification (kg SO2 equiv.) per kg API'] of Unique Inputs (REAGENT)], MATCH(Table_Process_Details[[#This Row],[Unique Inputs Sorted by '[Acidification (kg SO2 equiv.) per kg API']]],Table_Process_Details[Unique Process Inputs],0))</f>
        <v>1.3309183176809477E-2</v>
      </c>
      <c r="GI15" s="22">
        <f ca="1">INDEX(Table_Process_Details[Total '[Acidification (kg SO2 equiv.) per kg API'] of Unique Inputs (METAL)], MATCH(Table_Process_Details[[#This Row],[Unique Inputs Sorted by '[Acidification (kg SO2 equiv.) per kg API']]],Table_Process_Details[Unique Process Inputs],0))</f>
        <v>0</v>
      </c>
      <c r="GJ15" s="22">
        <f ca="1">INDEX(Table_Process_Details[Total '[Acidification (kg SO2 equiv.) per kg API'] of Unique Inputs (SOLVENT)], MATCH(Table_Process_Details[[#This Row],[Unique Inputs Sorted by '[Acidification (kg SO2 equiv.) per kg API']]],Table_Process_Details[Unique Process Inputs],0))</f>
        <v>0</v>
      </c>
      <c r="GK15" s="22">
        <f ca="1">INDEX(Table_Process_Details[Total '[Acidification (kg SO2 equiv.) per kg API'] of Unique Inputs (WATER)], MATCH(Table_Process_Details[[#This Row],[Unique Inputs Sorted by '[Acidification (kg SO2 equiv.) per kg API']]],Table_Process_Details[Unique Process Inputs],0))</f>
        <v>1.3413709097002253E-5</v>
      </c>
      <c r="GL15" s="22">
        <f ca="1">INDEX(Table_Process_Details[Total '[Acidification (kg SO2 equiv.) per kg API'] of Unique Inputs (ENZ&amp;PLNT)], MATCH(Table_Process_Details[[#This Row],[Unique Inputs Sorted by '[Acidification (kg SO2 equiv.) per kg API']]],Table_Process_Details[Unique Process Inputs],0))</f>
        <v>0</v>
      </c>
      <c r="GM15" s="22">
        <f ca="1">INDEX(Table_Process_Details[Total '[Acidification (kg SO2 equiv.) per kg API'] of Unique Inputs (OTHER)], MATCH(Table_Process_Details[[#This Row],[Unique Inputs Sorted by '[Acidification (kg SO2 equiv.) per kg API']]],Table_Process_Details[Unique Process Inputs],0))</f>
        <v>0</v>
      </c>
      <c r="GN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5" s="22">
        <f ca="1">SUMIFS(Table_Process_Details[RV Eutrophication (kg phosphate equiv.) per kg API],Table_Process_Details[Display Name],Table_Process_Details[[#This Row],[Unique Process Inputs]],Table_Process_Details[Input or Output],"Input")</f>
        <v>6.2816232433757864E-4</v>
      </c>
      <c r="GV15" s="1">
        <f ca="1">SUMIFS(Table_Process_Details[RV Eutrophication (kg phosphate equiv.) per kg API (REAGENT)],Table_Process_Details[Display Name],Table_Process_Details[[#This Row],[Unique Process Inputs]],Table_Process_Details[Input or Output],"Input")</f>
        <v>6.2816232433757864E-4</v>
      </c>
      <c r="GW15" s="1">
        <f ca="1">SUMIFS(Table_Process_Details[RV Eutrophication (kg phosphate equiv.) per kg API (METAL)],Table_Process_Details[Display Name],Table_Process_Details[[#This Row],[Unique Process Inputs]],Table_Process_Details[Input or Output],"Input")</f>
        <v>0</v>
      </c>
      <c r="GX15" s="1">
        <f ca="1">SUMIFS(Table_Process_Details[RV Eutrophication (kg phosphate equiv.) per kg API (SOLVENT)],Table_Process_Details[Display Name],Table_Process_Details[[#This Row],[Unique Process Inputs]],Table_Process_Details[Input or Output],"Input")</f>
        <v>0</v>
      </c>
      <c r="GY15" s="1">
        <f ca="1">SUMIFS(Table_Process_Details[RV Eutrophication (kg phosphate equiv.) per kg API (WATER)],Table_Process_Details[Display Name],Table_Process_Details[[#This Row],[Unique Process Inputs]],Table_Process_Details[Input or Output],"Input")</f>
        <v>0</v>
      </c>
      <c r="GZ15" s="1">
        <f ca="1">SUMIFS(Table_Process_Details[RV Eutrophication (kg phosphate equiv.) per kg API (ENZ&amp;PLNT)],Table_Process_Details[Display Name],Table_Process_Details[[#This Row],[Unique Process Inputs]],Table_Process_Details[Input or Output],"Input")</f>
        <v>0</v>
      </c>
      <c r="HA15" s="1">
        <f ca="1">SUMIFS(Table_Process_Details[RV Eutrophication (kg phosphate equiv.) per kg API (OTHER)],Table_Process_Details[Display Name],Table_Process_Details[[#This Row],[Unique Process Inputs]],Table_Process_Details[Input or Output],"Input")</f>
        <v>0</v>
      </c>
      <c r="HB15"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methanol</v>
      </c>
      <c r="HC15" s="22">
        <f ca="1">IF(LARGE(Table_Process_Details[Total '[Eutrophication (kg posphate equiv.) per kg API'] of Unique Inputs],Table_Process_Details[[#This Row],[Table Row]])=0,NA(),LARGE(Table_Process_Details[Total '[Eutrophication (kg posphate equiv.) per kg API'] of Unique Inputs],Table_Process_Details[[#This Row],[Table Row]]))</f>
        <v>6.5639566079228181E-3</v>
      </c>
      <c r="HD15" s="22">
        <f ca="1">SUM(OFFSET(Table_Process_Details['[Eutrophication (kg posphate equiv.) per kg API'] of Unique Inputs Sorted by '[Eutrophication (kg posphate equiv.) per kg API']],0,0,Table_Process_Details[[#This Row],[Table Row]]))</f>
        <v>1.3628934027169821</v>
      </c>
      <c r="HE15"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15" s="1">
        <f ca="1">INDEX(Table_Process_Details[Total '[Eutrophication (kg posphate equiv.) per kg API'] of Unique Inputs (REAGENT)], MATCH(Table_Process_Details[[#This Row],[Unique Inputs Sorted by '[Eutrophication (kg posphate equiv.) per kg API']]],Table_Process_Details[Unique Process Inputs],0))</f>
        <v>0</v>
      </c>
      <c r="HG15" s="1">
        <f ca="1">INDEX(Table_Process_Details[Total '[Eutrophication (kg posphate equiv.) per kg API'] of Unique Inputs (METAL)], MATCH(Table_Process_Details[[#This Row],[Unique Inputs Sorted by '[Eutrophication (kg posphate equiv.) per kg API']]],Table_Process_Details[Unique Process Inputs],0))</f>
        <v>0</v>
      </c>
      <c r="HH15" s="1">
        <f ca="1">INDEX(Table_Process_Details[Total '[Eutrophication (kg posphate equiv.) per kg API'] of Unique Inputs (SOLVENT)], MATCH(Table_Process_Details[[#This Row],[Unique Inputs Sorted by '[Eutrophication (kg posphate equiv.) per kg API']]],Table_Process_Details[Unique Process Inputs],0))</f>
        <v>6.5639566079228181E-3</v>
      </c>
      <c r="HI15" s="1">
        <f ca="1">INDEX(Table_Process_Details[Total '[Eutrophication (kg posphate equiv.) per kg API'] of Unique Inputs (WATER)], MATCH(Table_Process_Details[[#This Row],[Unique Inputs Sorted by '[Eutrophication (kg posphate equiv.) per kg API']]],Table_Process_Details[Unique Process Inputs],0))</f>
        <v>0</v>
      </c>
      <c r="HJ15" s="1">
        <f ca="1">INDEX(Table_Process_Details[Total '[Eutrophication (kg posphate equiv.) per kg API'] of Unique Inputs (ENZ&amp;PLNT)], MATCH(Table_Process_Details[[#This Row],[Unique Inputs Sorted by '[Eutrophication (kg posphate equiv.) per kg API']]],Table_Process_Details[Unique Process Inputs],0))</f>
        <v>0</v>
      </c>
      <c r="HK15" s="1">
        <f ca="1">INDEX(Table_Process_Details[Total '[Eutrophication (kg posphate equiv.) per kg API'] of Unique Inputs (OTHER)], MATCH(Table_Process_Details[[#This Row],[Unique Inputs Sorted by '[Eutrophication (kg posphate equiv.) per kg API']]],Table_Process_Details[Unique Process Inputs],0))</f>
        <v>0</v>
      </c>
      <c r="HL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5" s="1">
        <f ca="1">SUMIFS(Table_Process_Details[RV Water (kg) per kg API],Table_Process_Details[Display Name],Table_Process_Details[[#This Row],[Unique Process Inputs]],Table_Process_Details[Input or Output],"Input")</f>
        <v>1.0272178828414495</v>
      </c>
      <c r="HT15" s="1">
        <f ca="1">SUMIFS(Table_Process_Details[RV Water (kg) per kg API (REAGENT)],Table_Process_Details[Display Name],Table_Process_Details[[#This Row],[Unique Process Inputs]],Table_Process_Details[Input or Output],"Input")</f>
        <v>1.0272178828414495</v>
      </c>
      <c r="HU15" s="1">
        <f ca="1">SUMIFS(Table_Process_Details[RV Water (kg) per kg API (METAL)],Table_Process_Details[Display Name],Table_Process_Details[[#This Row],[Unique Process Inputs]],Table_Process_Details[Input or Output],"Input")</f>
        <v>0</v>
      </c>
      <c r="HV15" s="1">
        <f ca="1">SUMIFS(Table_Process_Details[RV Water (kg) per kg API (SOLVENT)],Table_Process_Details[Display Name],Table_Process_Details[[#This Row],[Unique Process Inputs]],Table_Process_Details[Input or Output],"Input")</f>
        <v>0</v>
      </c>
      <c r="HW15" s="1">
        <f ca="1">SUMIFS(Table_Process_Details[RV Water (kg) per kg API (WATER)],Table_Process_Details[Display Name],Table_Process_Details[[#This Row],[Unique Process Inputs]],Table_Process_Details[Input or Output],"Input")</f>
        <v>0</v>
      </c>
      <c r="HX15" s="1">
        <f ca="1">SUMIFS(Table_Process_Details[RV Water (kg) per kg API (ENZ&amp;PLNT)],Table_Process_Details[Display Name],Table_Process_Details[[#This Row],[Unique Process Inputs]],Table_Process_Details[Input or Output],"Input")</f>
        <v>0</v>
      </c>
      <c r="HY15" s="1">
        <f ca="1">SUMIFS(Table_Process_Details[RV Water (kg) per kg API (OTHER)],Table_Process_Details[Display Name],Table_Process_Details[[#This Row],[Unique Process Inputs]],Table_Process_Details[Input or Output],"Input")</f>
        <v>0</v>
      </c>
      <c r="HZ15" s="22" t="str">
        <f ca="1">INDEX(Table_Process_Details[Unique Process Inputs],MATCH(Table_Process_Details[[#This Row],['[Water (kg) per kg API'] of Unique Inputs Sorted by '[Water (kg) per kg API']]],Table_Process_Details[Total '[Water (kg) per kg API'] of Unique Inputs],0))</f>
        <v>reagent M (organic)</v>
      </c>
      <c r="IA15" s="22">
        <f ca="1">IF(LARGE(Table_Process_Details[Total '[Water (kg) per kg API'] of Unique Inputs],Table_Process_Details[[#This Row],[Table Row]])=0,NA(),LARGE(Table_Process_Details[Total '[Water (kg) per kg API'] of Unique Inputs],Table_Process_Details[[#This Row],[Table Row]]))</f>
        <v>16.458757502012904</v>
      </c>
      <c r="IB15" s="1">
        <f ca="1">SUM(OFFSET(Table_Process_Details['[Water (kg) per kg API'] of Unique Inputs Sorted by '[Water (kg) per kg API']],0,0,Table_Process_Details[[#This Row],[Table Row]]))</f>
        <v>831.45740956295583</v>
      </c>
      <c r="IC15" s="1" t="str">
        <f ca="1">"("&amp;TEXT(Table_Process_Details[[#This Row],['[Water (kg) per kg API'] of Unique Inputs Sorted by '[Water (kg) per kg API']]]/SUMIF(Table_Process_Details['[Water (kg) per kg API'] of Unique Inputs Sorted by '[Water (kg) per kg API']],"&lt;&gt;#N/A"),"0%")&amp;")"</f>
        <v>(2%)</v>
      </c>
      <c r="ID15" s="1">
        <f ca="1">INDEX(Table_Process_Details[Total '[Water (kg) per kg API'] of Unique Inputs (REAGENT)], MATCH(Table_Process_Details[[#This Row],[Unique Inputs Sorted by '[Water (kg) per kg API']]],Table_Process_Details[Unique Process Inputs],0))</f>
        <v>16.458757502012904</v>
      </c>
      <c r="IE15" s="1">
        <f ca="1">INDEX(Table_Process_Details[Total '[Water (kg) per kg API'] of Unique Inputs (METAL)], MATCH(Table_Process_Details[[#This Row],[Unique Inputs Sorted by '[Water (kg) per kg API']]],Table_Process_Details[Unique Process Inputs],0))</f>
        <v>0</v>
      </c>
      <c r="IF15" s="1">
        <f ca="1">INDEX(Table_Process_Details[Total '[Water (kg) per kg API'] of Unique Inputs (SOLVENT)], MATCH(Table_Process_Details[[#This Row],[Unique Inputs Sorted by '[Water (kg) per kg API']]],Table_Process_Details[Unique Process Inputs],0))</f>
        <v>0</v>
      </c>
      <c r="IG15" s="1">
        <f ca="1">INDEX(Table_Process_Details[Total '[Water (kg) per kg API'] of Unique Inputs (WATER)], MATCH(Table_Process_Details[[#This Row],[Unique Inputs Sorted by '[Water (kg) per kg API']]],Table_Process_Details[Unique Process Inputs],0))</f>
        <v>0</v>
      </c>
      <c r="IH15" s="1">
        <f ca="1">INDEX(Table_Process_Details[Total '[Water (kg) per kg API'] of Unique Inputs (ENZ&amp;PLNT)], MATCH(Table_Process_Details[[#This Row],[Unique Inputs Sorted by '[Water (kg) per kg API']]],Table_Process_Details[Unique Process Inputs],0))</f>
        <v>0</v>
      </c>
      <c r="II15" s="1">
        <f ca="1">INDEX(Table_Process_Details[Total '[Water (kg) per kg API'] of Unique Inputs (OTHER)], MATCH(Table_Process_Details[[#This Row],[Unique Inputs Sorted by '[Water (kg) per kg API']]],Table_Process_Details[Unique Process Inputs],0))</f>
        <v>0</v>
      </c>
    </row>
    <row r="16" spans="1:250" s="119" customFormat="1" x14ac:dyDescent="0.25">
      <c r="A16" s="126" t="str">
        <f>A15</f>
        <v>1d) Virtual salt prep for (1): nickel salt</v>
      </c>
      <c r="B16" s="127" t="s">
        <v>5</v>
      </c>
      <c r="C16" s="127" t="s">
        <v>155</v>
      </c>
      <c r="D16" s="126" t="s">
        <v>155</v>
      </c>
      <c r="E16" s="126" t="str">
        <f>'1. Define Process Steps'!C10</f>
        <v>nickel salt</v>
      </c>
      <c r="F16" s="165">
        <f>F15+F14</f>
        <v>158.69</v>
      </c>
      <c r="G16" s="128"/>
      <c r="H16" s="128" t="s">
        <v>868</v>
      </c>
      <c r="I16" s="128"/>
      <c r="J16" s="128" t="str">
        <f>INDEX(Process_Steps[Reference],MATCH(Table_Process_Details[[#This Row],[Step Name]],Process_Steps[Name],0))</f>
        <v>Reference Document  for Step 1</v>
      </c>
      <c r="K16" s="129" t="str">
        <f>INDEX(Process_Steps[Real or Virtual?],MATCH(Table_Process_Details[[#This Row],[Step Name]],Process_Steps[Name],0))</f>
        <v>Virtual</v>
      </c>
      <c r="L16"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6"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6" s="128">
        <f>INDEX(Table_Process_Details[Physical Mass (kg)],MATCH(1,INDEX(((Table_Process_Details[Step Name]=Table_Process_Details[[#This Row],[Step Name]])*(Table_Process_Details[Input or Output]="Output")),0),0))</f>
        <v>158.69</v>
      </c>
      <c r="O16" s="130">
        <f ca="1">INDEX(Process_Steps[Step Scale Factor for 1kg Packaged API],MATCH(Table_Process_Details[[#This Row],[Step Name]],Process_Steps[Name],0))</f>
        <v>8.8097580890076038E-5</v>
      </c>
      <c r="P16"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v>
      </c>
      <c r="Q16"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v>
      </c>
      <c r="R16" s="128">
        <f ca="1">_xlfn.SWITCH(Run_Reset_PNG,"Reset",Table_Process_Details[[#This Row],[X Init]],"Run",Table_Process_Details[[#This Row],[X Moved]],"Freeze",Table_Process_Details[[#This Row],[X Mover]])</f>
        <v>-8.5214632532720813</v>
      </c>
      <c r="S16" s="128">
        <f ca="1">_xlfn.SWITCH(Run_Reset_PNG,"Reset",Table_Process_Details[[#This Row],[Y Init]],"Run",Table_Process_Details[[#This Row],[Y Moved]],"Freeze",Table_Process_Details[[#This Row],[Y Mover]])</f>
        <v>28.553199270376069</v>
      </c>
      <c r="T16" s="128" cm="1">
        <f t="array" aca="1" ref="T1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-1.0669569086077713</v>
      </c>
      <c r="U16" s="128" cm="1">
        <f t="array" aca="1" ref="U1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1.3774717462454529</v>
      </c>
      <c r="V16" s="128" cm="1">
        <f t="array" aca="1" ref="V16" ca="1">SUM(--(SQRT((Table_Process_Details[[#This Row],[X Mover]]-Table_Process_Details[X Mover])^2+(Table_Process_Details[[#This Row],[Y Mover]]-Table_Process_Details[Y Mover])^2)&lt;Collision_Distance))</f>
        <v>12</v>
      </c>
      <c r="W16" s="128" cm="1">
        <f t="array" aca="1" ref="W1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7.6747149992499319E-2</v>
      </c>
      <c r="X16" s="128" cm="1">
        <f t="array" aca="1" ref="X1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8.4247351538327631E-2</v>
      </c>
      <c r="Y16" s="128" cm="1">
        <f t="array" aca="1" ref="Y1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16" s="128">
        <f>0</f>
        <v>0</v>
      </c>
      <c r="AA16" s="128">
        <f>0</f>
        <v>0</v>
      </c>
      <c r="AB16"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4.2607316266360407</v>
      </c>
      <c r="AC16" s="128" cm="1">
        <f t="array" aca="1" ref="AC1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-14.276599635188035</v>
      </c>
      <c r="AD16" s="128">
        <f>MIN(1,COUNTA(Table_Process_Details[[#This Row],[target x]]),COUNTA(Table_Process_Details[[#This Row],[target y]]))*COUNTA(Table_Process_Details[Step Name])</f>
        <v>98</v>
      </c>
      <c r="AE16"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-8.5413170923255421</v>
      </c>
      <c r="AF16"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28.550391444961804</v>
      </c>
      <c r="AG16"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16" s="128" t="e" cm="1">
        <f t="array" ref="AH16">INDEX(Table_Process_Details[X Mover],MATCH(1,INDEX((Table_Process_Details[Input or Output]="Output")*(Table_Process_Details[Step Name]=Table_Process_Details[[#This Row],[Step Name]])*(Table_Process_Details[[#This Row],[Input or Output]]="Input"),0),0))</f>
        <v>#N/A</v>
      </c>
      <c r="AI16" s="128" t="e" cm="1">
        <f t="array" ref="AI16">INDEX(Table_Process_Details[Y Mover],MATCH(1,INDEX((Table_Process_Details[Input or Output]="Output")*(Table_Process_Details[Step Name]=Table_Process_Details[[#This Row],[Step Name]])*(Table_Process_Details[[#This Row],[Input or Output]]="Input"),0),0))</f>
        <v>#N/A</v>
      </c>
      <c r="AJ16" s="128" t="e">
        <f>SQRT((Table_Process_Details[[#This Row],[X End (To Node Center)]]-Table_Process_Details[[#This Row],[X Guide]])^2+(Table_Process_Details[[#This Row],[Y End (to Node Center)]]-Table_Process_Details[[#This Row],[Y Guide]])^2)</f>
        <v>#N/A</v>
      </c>
      <c r="AK16" s="128" t="e" cm="1">
        <f t="array" ref="AK16">INDEX(Table_Process_Details[X Mover],MATCH(1,INDEX((Table_Process_Details[Step Name]=Table_Process_Details[[#This Row],[LCA Data Source Subclass]])*(Table_Process_Details[Input or Output]="Output"),0)*(Table_Process_Details[[#This Row],[Input or Output]]="Input"),0))</f>
        <v>#N/A</v>
      </c>
      <c r="AL16" s="128" t="e" cm="1">
        <f t="array" ref="AL16">INDEX(Table_Process_Details[X Mover],MATCH(1,INDEX(((Table_Process_Details[Table Row]=Table_Process_Details[[#This Row],[Table Row]])*(1)),0)*(Table_Process_Details[[#This Row],[Input or Output]]="Input"),0))</f>
        <v>#N/A</v>
      </c>
      <c r="AM16" s="128" t="e" cm="1">
        <f t="array" ref="AM16">(Table_Process_Details[[#This Row],[X End (To Node Center)]]*Table_Process_Details[[#This Row],[r0]]-Table_Process_Details[[#This Row],[X End (To Node Center)]]*Arrow_Offset+Table_Process_Details[[#This Row],[X Guide]]*Arrow_Offset)/Table_Process_Details[[#This Row],[r0]]</f>
        <v>#N/A</v>
      </c>
      <c r="AN16" s="128" t="e">
        <f>IF(NOT(Table_Process_Details[[#This Row],[Display As]]="None"),Table_Process_Details[[#This Row],[X Start Prefilter]],NA())</f>
        <v>#N/A</v>
      </c>
      <c r="AO16" s="128" t="e">
        <f>IF(NOT(Table_Process_Details[[#This Row],[Display As]]="None"),Table_Process_Details[[#This Row],[X Guide Prefilter]],NA())</f>
        <v>#N/A</v>
      </c>
      <c r="AP16" s="128" t="e">
        <f>IF(NOT(Table_Process_Details[[#This Row],[Display As]]="None"),Table_Process_Details[[#This Row],[X End (to Stop Radius) Prefilter]],NA())</f>
        <v>#N/A</v>
      </c>
      <c r="AQ16" s="128" t="e">
        <f>NA()</f>
        <v>#N/A</v>
      </c>
      <c r="AR16" s="128" t="e" cm="1">
        <f t="array" ref="AR16">INDEX(Table_Process_Details[Y Mover],MATCH(1,INDEX((Table_Process_Details[Step Name]=Table_Process_Details[[#This Row],[LCA Data Source Subclass]])*(Table_Process_Details[Input or Output]="Output"),0)*(Table_Process_Details[[#This Row],[Input or Output]]="Input"),0))</f>
        <v>#N/A</v>
      </c>
      <c r="AS16" s="128" t="e" cm="1">
        <f t="array" ref="AS16">INDEX(Table_Process_Details[Y Mover],MATCH(1,INDEX(((Table_Process_Details[Table Row]=Table_Process_Details[[#This Row],[Table Row]])*(1)),0)*(Table_Process_Details[[#This Row],[Input or Output]]="Input"),0))</f>
        <v>#N/A</v>
      </c>
      <c r="AT16" s="128" t="e" cm="1">
        <f t="array" ref="AT16">(Table_Process_Details[[#This Row],[Y Guide]]*Arrow_Offset-Table_Process_Details[[#This Row],[Y End (to Node Center)]]*Arrow_Offset+Table_Process_Details[[#This Row],[Y End (to Node Center)]]*Table_Process_Details[[#This Row],[r0]])/Table_Process_Details[[#This Row],[r0]]</f>
        <v>#N/A</v>
      </c>
      <c r="AU16" s="128" t="e">
        <f>IF(NOT(Table_Process_Details[[#This Row],[Display As]]="None"),Table_Process_Details[[#This Row],[Y Start Prefilter]],NA())</f>
        <v>#N/A</v>
      </c>
      <c r="AV16" s="128" t="e">
        <f>IF(NOT(Table_Process_Details[[#This Row],[Display As]]="None"),Table_Process_Details[[#This Row],[Y Guide Prefilter]],NA())</f>
        <v>#N/A</v>
      </c>
      <c r="AW16" s="128" t="e">
        <f>IF(NOT(Table_Process_Details[[#This Row],[Display As]]="None"),Table_Process_Details[[#This Row],[Y End (to Stop Radius) Prefilter]],NA())</f>
        <v>#N/A</v>
      </c>
      <c r="AX16" s="128" t="e">
        <f>NA()</f>
        <v>#N/A</v>
      </c>
      <c r="AY16" s="128" t="e">
        <f>IF(Table_Process_Details[[#This Row],[Display As]]="Real Step",Table_Process_Details[[#This Row],[X Mover]],NA())</f>
        <v>#N/A</v>
      </c>
      <c r="AZ16" s="128" t="e">
        <f>IF(Table_Process_Details[[#This Row],[Display As]]="Real Step",Table_Process_Details[[#This Row],[Y Mover]],NA())</f>
        <v>#N/A</v>
      </c>
      <c r="BA16" s="128">
        <f ca="1">IF(Table_Process_Details[[#This Row],[Display As]]="Raw Material",Table_Process_Details[[#This Row],[X Mover]],NA())</f>
        <v>-8.5214632532720813</v>
      </c>
      <c r="BB16" s="128">
        <f ca="1">IF(Table_Process_Details[[#This Row],[Display As]]="Raw Material",Table_Process_Details[[#This Row],[Y Mover]],NA())</f>
        <v>28.553199270376069</v>
      </c>
      <c r="BC16" s="128">
        <f ca="1">IF(OR(Table_Process_Details[[#This Row],[Display As]]="Real Step",Table_Process_Details[[#This Row],[Display As]]="Raw Material"),Table_Process_Details[[#This Row],[X Mover]],NA())</f>
        <v>-8.5214632532720813</v>
      </c>
      <c r="BD16" s="128">
        <f ca="1">IF(OR(Table_Process_Details[[#This Row],[Display As]]="Real Step",Table_Process_Details[[#This Row],[Display As]]="Raw Material"),Table_Process_Details[[#This Row],[Y Mover]],NA())</f>
        <v>28.553199270376069</v>
      </c>
      <c r="BE16" s="126">
        <f>ROW()-ROW(Table_Process_Details[[#Headers],[Table Row]])</f>
        <v>12</v>
      </c>
      <c r="BF16" s="122" t="str" cm="1">
        <f t="array" aca="1" ref="BF16" ca="1">INDEX(Table_Process_Details[Display Name],MATCH(0,IF(Table_Process_Details[Input or Output]="Input",INDEX(COUNTIF(OFFSET(Table_Process_Details[[#Headers],[Unique Process Inputs]],0,0,Table_Process_Details[[#This Row],[Table Row]],1),Table_Process_Details[Display Name]),),""),0))</f>
        <v>reagent O (organic)</v>
      </c>
      <c r="BG16" s="122">
        <f ca="1">Table_Process_Details[[#This Row],[Physical Mass (kg)]]*Table_Process_Details[[#This Row],[Step Scale Factor for 1kg Packaged API]]</f>
        <v>1.3980205111446166E-2</v>
      </c>
      <c r="BH16"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6" s="122">
        <f ca="1">MATCH(Table_Process_Details[[#This Row],[LCA Data Source Class]],INDIRECT(Table_Process_Details[[#This Row],[Input or Output]]),0)</f>
        <v>1</v>
      </c>
      <c r="BJ16" s="122">
        <f ca="1">MATCH(Table_Process_Details[[#This Row],[LCA Data Source Subclass]],INDIRECT(Table_Process_Details[[#This Row],[LCA Data Source Class]]&amp;"[Name]"),0)</f>
        <v>1</v>
      </c>
      <c r="BK16" s="122">
        <f ca="1">IFERROR(INDEX(INDIRECT(Table_Process_Details[[#This Row],[LCA Data Source Class]]&amp;"[Mass Net (kg)]"),MATCH(Table_Process_Details[[#This Row],[LCA Data Source Subclass]],INDIRECT(Table_Process_Details[[#This Row],[LCA Data Source Class]]&amp;"[Name]"),0)),0)</f>
        <v>0</v>
      </c>
      <c r="BL16" s="122">
        <f ca="1">IFERROR(INDEX(INDIRECT(Table_Process_Details[[#This Row],[LCA Data Source Class]]&amp;"[Energy (MJ)]"),MATCH(Table_Process_Details[[#This Row],[LCA Data Source Subclass]],INDIRECT(Table_Process_Details[[#This Row],[LCA Data Source Class]]&amp;"[Name]"),0)),0)</f>
        <v>0</v>
      </c>
      <c r="BM16" s="122">
        <f ca="1">IFERROR(INDEX(INDIRECT(Table_Process_Details[[#This Row],[LCA Data Source Class]]&amp;"[GWP (kg CO2 equiv.)]"),MATCH(Table_Process_Details[[#This Row],[LCA Data Source Subclass]],INDIRECT(Table_Process_Details[[#This Row],[LCA Data Source Class]]&amp;"[Name]"),0)),0)</f>
        <v>0</v>
      </c>
      <c r="BN16" s="122">
        <f ca="1">IFERROR(INDEX(INDIRECT(Table_Process_Details[[#This Row],[LCA Data Source Class]]&amp;"[Acidification (kg SO2 equiv.)]"),MATCH(Table_Process_Details[[#This Row],[LCA Data Source Subclass]],INDIRECT(Table_Process_Details[[#This Row],[LCA Data Source Class]]&amp;"[Name]"),0)),0)</f>
        <v>0</v>
      </c>
      <c r="BO16" s="122">
        <f ca="1">IFERROR(INDEX(INDIRECT(Table_Process_Details[[#This Row],[LCA Data Source Class]]&amp;"[Eutrophication (kg posphate equiv.)]"),MATCH(Table_Process_Details[[#This Row],[LCA Data Source Subclass]],INDIRECT(Table_Process_Details[[#This Row],[LCA Data Source Class]]&amp;"[Name]"),0)),0)</f>
        <v>0</v>
      </c>
      <c r="BP16" s="122">
        <f ca="1">IFERROR(INDEX(INDIRECT(Table_Process_Details[[#This Row],[LCA Data Source Class]]&amp;"[Water (kg)]"),MATCH(Table_Process_Details[[#This Row],[LCA Data Source Subclass]],INDIRECT(Table_Process_Details[[#This Row],[LCA Data Source Class]]&amp;"[Name]"),0)),0)</f>
        <v>0</v>
      </c>
      <c r="BQ16" s="129">
        <f ca="1">(Table_Process_Details[[#This Row],[Input or Output]]="Input")*(Table_Process_Details[[#This Row],[LCA Data Source Class]]&lt;&gt;"Process_Steps")*Table_Process_Details[[#This Row],[Scaled Physical Mass per kg API for All Inputs &amp; Outputs]]</f>
        <v>0</v>
      </c>
      <c r="BR16" s="129">
        <f ca="1">(Table_Process_Details[[#This Row],[Material Class]]="REAGENT")*Table_Process_Details[[#This Row],[Physical Mass per kg API]]</f>
        <v>0</v>
      </c>
      <c r="BS16" s="129">
        <f ca="1">(Table_Process_Details[[#This Row],[Material Class]]="METAL")*Table_Process_Details[[#This Row],[Physical Mass per kg API]]</f>
        <v>0</v>
      </c>
      <c r="BT16" s="129">
        <f ca="1">(Table_Process_Details[[#This Row],[Material Class]]="SOLVENT")*Table_Process_Details[[#This Row],[Physical Mass per kg API]]</f>
        <v>0</v>
      </c>
      <c r="BU16" s="129">
        <f ca="1">(Table_Process_Details[[#This Row],[Material Class]]="WATER")*Table_Process_Details[[#This Row],[Physical Mass per kg API]]</f>
        <v>0</v>
      </c>
      <c r="BV16" s="129">
        <f ca="1">(Table_Process_Details[[#This Row],[Material Class]]="ENZ&amp;PLNT")*Table_Process_Details[[#This Row],[Physical Mass per kg API]]</f>
        <v>0</v>
      </c>
      <c r="BW16" s="129">
        <f ca="1">(Table_Process_Details[[#This Row],[Material Class]]="OTHER")*Table_Process_Details[[#This Row],[Physical Mass per kg API]]</f>
        <v>0</v>
      </c>
      <c r="BX16"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6"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6"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6"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6"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6"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6"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6" s="131">
        <f ca="1">SUMIFS(Table_Process_Details[RV Physical Mass per kg API],Table_Process_Details[Display Name],Table_Process_Details[[#This Row],[Unique Process Inputs]],Table_Process_Details[Input or Output],"Input")</f>
        <v>0.13980205111372709</v>
      </c>
      <c r="CF16" s="131">
        <f ca="1">SUMIFS(Table_Process_Details[RV Physical Mass per kg API (REAGENT)],Table_Process_Details[Display Name],Table_Process_Details[[#This Row],[Unique Process Inputs]],Table_Process_Details[Input or Output],"Input")</f>
        <v>0.13980205111372709</v>
      </c>
      <c r="CG16" s="131">
        <f ca="1">SUMIFS(Table_Process_Details[RV Physical Mass per kg API (METAL)],Table_Process_Details[Display Name],Table_Process_Details[[#This Row],[Unique Process Inputs]],Table_Process_Details[Input or Output],"Input")</f>
        <v>0</v>
      </c>
      <c r="CH16" s="131">
        <f ca="1">SUMIFS(Table_Process_Details[RV Physical Mass per kg API (SOLVENT)],Table_Process_Details[Display Name],Table_Process_Details[[#This Row],[Unique Process Inputs]],Table_Process_Details[Input or Output],"Input")</f>
        <v>0</v>
      </c>
      <c r="CI16" s="131">
        <f ca="1">SUMIFS(Table_Process_Details[RV Physical Mass per kg API (WATER)],Table_Process_Details[Display Name],Table_Process_Details[[#This Row],[Unique Process Inputs]],Table_Process_Details[Input or Output],"Input")</f>
        <v>0</v>
      </c>
      <c r="CJ16" s="131">
        <f ca="1">SUMIFS(Table_Process_Details[RV Physical Mass per kg API (ENZ&amp;PLNT)],Table_Process_Details[Display Name],Table_Process_Details[[#This Row],[Unique Process Inputs]],Table_Process_Details[Input or Output],"Input")</f>
        <v>0</v>
      </c>
      <c r="CK16" s="131">
        <f ca="1">SUMIFS(Table_Process_Details[RV Physical Mass per kg API (OTHER)],Table_Process_Details[Display Name],Table_Process_Details[[#This Row],[Unique Process Inputs]],Table_Process_Details[Input or Output],"Input")</f>
        <v>0</v>
      </c>
      <c r="CL16" s="126" t="str">
        <f ca="1">INDEX(Table_Process_Details[Unique Process Inputs],MATCH(Table_Process_Details[[#This Row],['[Physical Mass per kg API'] of Unique Inputs Sorted by '[Physical Mass per kg API']]],Table_Process_Details[Total '[Physical Mass per kg API'] of Unique Inputs],0))</f>
        <v>0.3 M reagent L (organic) in water</v>
      </c>
      <c r="CM16" s="126">
        <f ca="1">IF(LARGE(Table_Process_Details[Total '[Physical Mass per kg API'] of Unique Inputs],Table_Process_Details[[#This Row],[Table Row]])=0,NA(),LARGE(Table_Process_Details[Total '[Physical Mass per kg API'] of Unique Inputs],Table_Process_Details[[#This Row],[Table Row]]))</f>
        <v>3.853918150119291</v>
      </c>
      <c r="CN16" s="126">
        <f ca="1">SUM(OFFSET(Table_Process_Details['[Physical Mass per kg API'] of Unique Inputs Sorted by '[Physical Mass per kg API']],0,0,Table_Process_Details[[#This Row],[Table Row]]))</f>
        <v>132.82902117019611</v>
      </c>
      <c r="CO16" s="126" t="str">
        <f ca="1">"("&amp;TEXT(Table_Process_Details[[#This Row],['[Physical Mass per kg API'] of Unique Inputs Sorted by '[Physical Mass per kg API']]]/SUMIF(Table_Process_Details['[Physical Mass per kg API'] of Unique Inputs Sorted by '[Physical Mass per kg API']],"&lt;&gt;#N/A"),"0%")&amp;")"</f>
        <v>(3%)</v>
      </c>
      <c r="CP16" s="126">
        <f ca="1">INDEX(Table_Process_Details[Total '[Physical Mass per kg API'] of Unique Inputs (REAGENT)],MATCH(Table_Process_Details[[#This Row],[Unique Inputs Sorted by '[Physical Mass per kg API']]],Table_Process_Details[Unique Process Inputs],0))</f>
        <v>1.1011194714626547</v>
      </c>
      <c r="CQ16" s="126">
        <f ca="1">INDEX(Table_Process_Details[Total '[Physical Mass per kg API'] of Unique Inputs (METAL)],MATCH(Table_Process_Details[[#This Row],[Unique Inputs Sorted by '[Physical Mass per kg API']]],Table_Process_Details[Unique Process Inputs],0))</f>
        <v>0</v>
      </c>
      <c r="CR16" s="126">
        <f ca="1">INDEX(Table_Process_Details[Total '[Physical Mass per kg API'] of Unique Inputs (SOLVENT)],MATCH(Table_Process_Details[[#This Row],[Unique Inputs Sorted by '[Physical Mass per kg API']]],Table_Process_Details[Unique Process Inputs],0))</f>
        <v>0</v>
      </c>
      <c r="CS16" s="126">
        <f ca="1">INDEX(Table_Process_Details[Total '[Physical Mass per kg API'] of Unique Inputs (WATER)],MATCH(Table_Process_Details[[#This Row],[Unique Inputs Sorted by '[Physical Mass per kg API']]],Table_Process_Details[Unique Process Inputs],0))</f>
        <v>2.7527986786566365</v>
      </c>
      <c r="CT16" s="126">
        <f ca="1">INDEX(Table_Process_Details[Total '[Physical Mass per kg API'] of Unique Inputs (ENZ&amp;PLNT)],MATCH(Table_Process_Details[[#This Row],[Unique Inputs Sorted by '[Physical Mass per kg API']]],Table_Process_Details[Unique Process Inputs],0))</f>
        <v>0</v>
      </c>
      <c r="CU16" s="126">
        <f ca="1">INDEX(Table_Process_Details[Total '[Physical Mass per kg API'] of Unique Inputs (OTHER)],MATCH(Table_Process_Details[[#This Row],[Unique Inputs Sorted by '[Physical Mass per kg API']]],Table_Process_Details[Unique Process Inputs],0))</f>
        <v>0</v>
      </c>
      <c r="CV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6" s="126">
        <f ca="1">SUMIFS(Table_Process_Details[RV Mass Net (kg) per kg API],Table_Process_Details[Display Name],Table_Process_Details[[#This Row],[Unique Process Inputs]],Table_Process_Details[Input or Output],"Input")</f>
        <v>0.29164396914627078</v>
      </c>
      <c r="DD16" s="126">
        <f ca="1">SUMIFS(Table_Process_Details[RV Mass Net (kg) per kg API (REAGENT)],Table_Process_Details[Display Name],Table_Process_Details[[#This Row],[Unique Process Inputs]],Table_Process_Details[Input or Output],"Input")</f>
        <v>0.29164396914627078</v>
      </c>
      <c r="DE16" s="126">
        <f ca="1">SUMIFS(Table_Process_Details[RV Mass Net (kg) per kg API (METAL)],Table_Process_Details[Display Name],Table_Process_Details[[#This Row],[Unique Process Inputs]],Table_Process_Details[Input or Output],"Input")</f>
        <v>0</v>
      </c>
      <c r="DF16" s="126">
        <f ca="1">SUMIFS(Table_Process_Details[RV Mass Net (kg) per kg API (SOLVENT)],Table_Process_Details[Display Name],Table_Process_Details[[#This Row],[Unique Process Inputs]],Table_Process_Details[Input or Output],"Input")</f>
        <v>0</v>
      </c>
      <c r="DG16" s="126">
        <f ca="1">SUMIFS(Table_Process_Details[RV Mass Net (kg) per kg API (WATER)],Table_Process_Details[Display Name],Table_Process_Details[[#This Row],[Unique Process Inputs]],Table_Process_Details[Input or Output],"Input")</f>
        <v>0</v>
      </c>
      <c r="DH16" s="126">
        <f ca="1">SUMIFS(Table_Process_Details[RV Mass Net (kg) per kg API (ENZ&amp;PLNT)],Table_Process_Details[Display Name],Table_Process_Details[[#This Row],[Unique Process Inputs]],Table_Process_Details[Input or Output],"Input")</f>
        <v>0</v>
      </c>
      <c r="DI16" s="126">
        <f ca="1">SUMIFS(Table_Process_Details[RV Mass Net (kg) per kg API (OTHER)],Table_Process_Details[Display Name],Table_Process_Details[[#This Row],[Unique Process Inputs]],Table_Process_Details[Input or Output],"Input")</f>
        <v>0</v>
      </c>
      <c r="DJ16" s="126" t="str">
        <f ca="1">INDEX(Table_Process_Details[Unique Process Inputs],MATCH(Table_Process_Details[[#This Row],['[Mass Net (kg) per kg API'] of Unique Inputs Sorted by '[Mass Net (kg) per kg API']]],Table_Process_Details[Total '[Mass Net (kg) per kg API'] of Unique Inputs],0))</f>
        <v>0.3 M reagent L (organic) in water</v>
      </c>
      <c r="DK16" s="126">
        <f ca="1">IF(LARGE(Table_Process_Details[Total '[Mass Net (kg) per kg API'] of Unique Inputs],Table_Process_Details[[#This Row],[Table Row]])=0,NA(),LARGE(Table_Process_Details[Total '[Mass Net (kg) per kg API'] of Unique Inputs],Table_Process_Details[[#This Row],[Table Row]]))</f>
        <v>2.3012807641798747</v>
      </c>
      <c r="DL16" s="126">
        <f ca="1">SUM(OFFSET(Table_Process_Details['[Mass Net (kg) per kg API'] of Unique Inputs Sorted by '[Mass Net (kg) per kg API']],0,0,Table_Process_Details[[#This Row],[Table Row]]))</f>
        <v>120.16732143239118</v>
      </c>
      <c r="DM16" s="126" t="str">
        <f ca="1">"("&amp;TEXT(Table_Process_Details[[#This Row],['[Mass Net (kg) per kg API'] of Unique Inputs Sorted by '[Mass Net (kg) per kg API']]]/SUMIF(Table_Process_Details['[Mass Net (kg) per kg API'] of Unique Inputs Sorted by '[Mass Net (kg) per kg API']],"&lt;&gt;#N/A"),"0%")&amp;")"</f>
        <v>(2%)</v>
      </c>
      <c r="DN16" s="126">
        <f ca="1">INDEX(Table_Process_Details[Total '[Mass Net (kg) per kg API'] of Unique Inputs (REAGENT)], MATCH(Table_Process_Details[[#This Row],[Unique Inputs Sorted by '[Mass Net (kg) per kg API']]],Table_Process_Details[Unique Process Inputs],0))</f>
        <v>2.2970682518840406</v>
      </c>
      <c r="DO16" s="126">
        <f ca="1">INDEX(Table_Process_Details[Total '[Mass Net (kg) per kg API'] of Unique Inputs (METAL)], MATCH(Table_Process_Details[[#This Row],[Unique Inputs Sorted by '[Mass Net (kg) per kg API']]],Table_Process_Details[Unique Process Inputs],0))</f>
        <v>0</v>
      </c>
      <c r="DP16" s="126">
        <f ca="1">INDEX(Table_Process_Details[Total '[Mass Net (kg) per kg API'] of Unique Inputs (SOLVENT)], MATCH(Table_Process_Details[[#This Row],[Unique Inputs Sorted by '[Mass Net (kg) per kg API']]],Table_Process_Details[Unique Process Inputs],0))</f>
        <v>0</v>
      </c>
      <c r="DQ16" s="126">
        <f ca="1">INDEX(Table_Process_Details[Total '[Mass Net (kg) per kg API'] of Unique Inputs (WATER)], MATCH(Table_Process_Details[[#This Row],[Unique Inputs Sorted by '[Mass Net (kg) per kg API']]],Table_Process_Details[Unique Process Inputs],0))</f>
        <v>4.212512295834101E-3</v>
      </c>
      <c r="DR16" s="126">
        <f ca="1">INDEX(Table_Process_Details[Total '[Mass Net (kg) per kg API'] of Unique Inputs (ENZ&amp;PLNT)], MATCH(Table_Process_Details[[#This Row],[Unique Inputs Sorted by '[Mass Net (kg) per kg API']]],Table_Process_Details[Unique Process Inputs],0))</f>
        <v>0</v>
      </c>
      <c r="DS16" s="126">
        <f ca="1">INDEX(Table_Process_Details[Total '[Mass Net (kg) per kg API'] of Unique Inputs (OTHER)], MATCH(Table_Process_Details[[#This Row],[Unique Inputs Sorted by '[Mass Net (kg) per kg API']]],Table_Process_Details[Unique Process Inputs],0))</f>
        <v>0</v>
      </c>
      <c r="DT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6" s="131">
        <f ca="1">SUMIFS(Table_Process_Details[RV Energy (MJ) per kg API],Table_Process_Details[Display Name],Table_Process_Details[[#This Row],[Unique Process Inputs]],Table_Process_Details[Input or Output],"Input")</f>
        <v>10.466600509407257</v>
      </c>
      <c r="EB16" s="131">
        <f ca="1">SUMIFS(Table_Process_Details[RV Energy (MJ) per kg API (REAGENT)],Table_Process_Details[Display Name],Table_Process_Details[[#This Row],[Unique Process Inputs]],Table_Process_Details[Input or Output],"Input")</f>
        <v>10.466600509407257</v>
      </c>
      <c r="EC16" s="131">
        <f ca="1">SUMIFS(Table_Process_Details[RV Energy (MJ) per kg API (METAL)],Table_Process_Details[Display Name],Table_Process_Details[[#This Row],[Unique Process Inputs]],Table_Process_Details[Input or Output],"Input")</f>
        <v>0</v>
      </c>
      <c r="ED16" s="131">
        <f ca="1">SUMIFS(Table_Process_Details[RV Energy (MJ) per kg API (SOLVENT)],Table_Process_Details[Display Name],Table_Process_Details[[#This Row],[Unique Process Inputs]],Table_Process_Details[Input or Output],"Input")</f>
        <v>0</v>
      </c>
      <c r="EE16" s="131">
        <f ca="1">SUMIFS(Table_Process_Details[RV Energy (MJ) per kg API (WATER)],Table_Process_Details[Display Name],Table_Process_Details[[#This Row],[Unique Process Inputs]],Table_Process_Details[Input or Output],"Input")</f>
        <v>0</v>
      </c>
      <c r="EF16" s="131">
        <f ca="1">SUMIFS(Table_Process_Details[RV Energy (MJ) per kg API (ENZ&amp;PLNT)],Table_Process_Details[Display Name],Table_Process_Details[[#This Row],[Unique Process Inputs]],Table_Process_Details[Input or Output],"Input")</f>
        <v>0</v>
      </c>
      <c r="EG16" s="131">
        <f ca="1">SUMIFS(Table_Process_Details[RV Energy (MJ) per kg API (OTHER)],Table_Process_Details[Display Name],Table_Process_Details[[#This Row],[Unique Process Inputs]],Table_Process_Details[Input or Output],"Input")</f>
        <v>0</v>
      </c>
      <c r="EH16" s="131" t="str">
        <f ca="1">INDEX(Table_Process_Details[Unique Process Inputs],MATCH(Table_Process_Details[[#This Row],['[Energy (MJ) per kg API'] of Unique Inputs Sorted by '[Energy (MJ) per kg API']]],Table_Process_Details[Total '[Energy (MJ) per kg API'] of Unique Inputs],0))</f>
        <v>reagent V (organic)</v>
      </c>
      <c r="EI16" s="126">
        <f ca="1">IF(LARGE(Table_Process_Details[Total '[Energy (MJ) per kg API'] of Unique Inputs],Table_Process_Details[[#This Row],[Table Row]])=0,NA(),LARGE(Table_Process_Details[Total '[Energy (MJ) per kg API'] of Unique Inputs],Table_Process_Details[[#This Row],[Table Row]]))</f>
        <v>59.89383089032259</v>
      </c>
      <c r="EJ16" s="126">
        <f ca="1">SUM(OFFSET(Table_Process_Details['[Energy (MJ) per kg API'] of Unique Inputs Sorted by '[Energy (MJ) per kg API']],0,0,Table_Process_Details[[#This Row],[Table Row]]))</f>
        <v>4963.9288095225111</v>
      </c>
      <c r="EK16" s="126" t="str">
        <f ca="1">"("&amp;TEXT(Table_Process_Details[[#This Row],['[Energy (MJ) per kg API'] of Unique Inputs Sorted by '[Energy (MJ) per kg API']]]/SUMIF(Table_Process_Details['[Energy (MJ) per kg API'] of Unique Inputs Sorted by '[Energy (MJ) per kg API']],"&lt;&gt;#N/A"),"0%")&amp;")"</f>
        <v>(1%)</v>
      </c>
      <c r="EL16" s="126">
        <f ca="1">INDEX(Table_Process_Details[Total '[Energy (MJ) per kg API'] of Unique Inputs (REAGENT)], MATCH(Table_Process_Details[[#This Row],[Unique Inputs Sorted by '[Energy (MJ) per kg API']]],Table_Process_Details[Unique Process Inputs],0))</f>
        <v>59.89383089032259</v>
      </c>
      <c r="EM16" s="126">
        <f ca="1">INDEX(Table_Process_Details[Total '[Energy (MJ) per kg API'] of Unique Inputs (METAL)], MATCH(Table_Process_Details[[#This Row],[Unique Inputs Sorted by '[Energy (MJ) per kg API']]],Table_Process_Details[Unique Process Inputs],0))</f>
        <v>0</v>
      </c>
      <c r="EN16" s="126">
        <f ca="1">INDEX(Table_Process_Details[Total '[Energy (MJ) per kg API'] of Unique Inputs (SOLVENT)], MATCH(Table_Process_Details[[#This Row],[Unique Inputs Sorted by '[Energy (MJ) per kg API']]],Table_Process_Details[Unique Process Inputs],0))</f>
        <v>0</v>
      </c>
      <c r="EO16" s="126">
        <f ca="1">INDEX(Table_Process_Details[Total '[Energy (MJ) per kg API'] of Unique Inputs (WATER)], MATCH(Table_Process_Details[[#This Row],[Unique Inputs Sorted by '[Energy (MJ) per kg API']]],Table_Process_Details[Unique Process Inputs],0))</f>
        <v>0</v>
      </c>
      <c r="EP16" s="126">
        <f ca="1">INDEX(Table_Process_Details[Total '[Energy (MJ) per kg API'] of Unique Inputs (ENZ&amp;PLNT)], MATCH(Table_Process_Details[[#This Row],[Unique Inputs Sorted by '[Energy (MJ) per kg API']]],Table_Process_Details[Unique Process Inputs],0))</f>
        <v>0</v>
      </c>
      <c r="EQ16" s="126">
        <f ca="1">INDEX(Table_Process_Details[Total '[Energy (MJ) per kg API'] of Unique Inputs (OTHER)], MATCH(Table_Process_Details[[#This Row],[Unique Inputs Sorted by '[Energy (MJ) per kg API']]],Table_Process_Details[Unique Process Inputs],0))</f>
        <v>0</v>
      </c>
      <c r="ER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6" s="126">
        <f ca="1">SUMIFS(Table_Process_Details[RV GWP (kg CO2 equiv.) per kg API],Table_Process_Details[Display Name],Table_Process_Details[[#This Row],[Unique Process Inputs]],Table_Process_Details[Input or Output],"Input")</f>
        <v>0.36689700005190062</v>
      </c>
      <c r="EZ16" s="131">
        <f ca="1">SUMIFS(Table_Process_Details[RV GWP (kg CO2 equiv.) per kg API (REAGENT)],Table_Process_Details[Display Name],Table_Process_Details[[#This Row],[Unique Process Inputs]],Table_Process_Details[Input or Output],"Input")</f>
        <v>0.36689700005190062</v>
      </c>
      <c r="FA16" s="131">
        <f ca="1">SUMIFS(Table_Process_Details[RV GWP (kg CO2 equiv.) per kg API (METAL)],Table_Process_Details[Display Name],Table_Process_Details[[#This Row],[Unique Process Inputs]],Table_Process_Details[Input or Output],"Input")</f>
        <v>0</v>
      </c>
      <c r="FB16" s="131">
        <f ca="1">SUMIFS(Table_Process_Details[RV GWP (kg CO2 equiv.) per kg API (SOLVENT)],Table_Process_Details[Display Name],Table_Process_Details[[#This Row],[Unique Process Inputs]],Table_Process_Details[Input or Output],"Input")</f>
        <v>0</v>
      </c>
      <c r="FC16" s="131">
        <f ca="1">SUMIFS(Table_Process_Details[RV GWP (kg CO2 equiv.) per kg API (WATER)],Table_Process_Details[Display Name],Table_Process_Details[[#This Row],[Unique Process Inputs]],Table_Process_Details[Input or Output],"Input")</f>
        <v>0</v>
      </c>
      <c r="FD16" s="131">
        <f ca="1">SUMIFS(Table_Process_Details[RV GWP (kg CO2 equiv.) per kg API (ENZ&amp;PLNT)],Table_Process_Details[Display Name],Table_Process_Details[[#This Row],[Unique Process Inputs]],Table_Process_Details[Input or Output],"Input")</f>
        <v>0</v>
      </c>
      <c r="FE16" s="131">
        <f ca="1">SUMIFS(Table_Process_Details[RV GWP (kg CO2 equiv.) per kg API (OTHER)],Table_Process_Details[Display Name],Table_Process_Details[[#This Row],[Unique Process Inputs]],Table_Process_Details[Input or Output],"Input")</f>
        <v>0</v>
      </c>
      <c r="FF16" s="126" t="str">
        <f ca="1">INDEX(Table_Process_Details[Unique Process Inputs],MATCH(Table_Process_Details[[#This Row],['[GWP (kg CO2 equiv.) per kg API'] of Unique Inputs Sorted by '[GWP (kg CO2 equiv.) per kg API']]],Table_Process_Details[Total '[GWP (kg CO2 equiv.) per kg API'] of Unique Inputs],0))</f>
        <v>0.3 M reagent L (organic) in water</v>
      </c>
      <c r="FG16" s="126">
        <f ca="1">IF(LARGE(Table_Process_Details[Total '[GWP (kg CO2 equiv.) per kg API'] of Unique Inputs],Table_Process_Details[[#This Row],[Table Row]])=0,NA(),LARGE(Table_Process_Details[Total '[GWP (kg CO2 equiv.) per kg API'] of Unique Inputs],Table_Process_Details[[#This Row],[Table Row]]))</f>
        <v>2.8925779895097667</v>
      </c>
      <c r="FH16" s="126">
        <f ca="1">SUM(OFFSET(Table_Process_Details['[GWP (kg CO2 equiv.) per kg API'] of Unique Inputs Sorted by '[GWP (kg CO2 equiv.) per kg API']],0,0,Table_Process_Details[[#This Row],[Table Row]]))</f>
        <v>148.69952703727819</v>
      </c>
      <c r="FI16" s="126" t="str">
        <f ca="1">"("&amp;TEXT(Table_Process_Details[[#This Row],['[GWP (kg CO2 equiv.) per kg API'] of Unique Inputs Sorted by '[GWP (kg CO2 equiv.) per kg API']]]/SUMIF(Table_Process_Details['[GWP (kg CO2 equiv.) per kg API'] of Unique Inputs Sorted by '[GWP (kg CO2 equiv.) per kg API']],"&lt;&gt;#N/A"),"0%")&amp;")"</f>
        <v>(2%)</v>
      </c>
      <c r="FJ16" s="126">
        <f ca="1">INDEX(Table_Process_Details[Total '[GWP (kg CO2 equiv.) per kg API'] of Unique Inputs (REAGENT)], MATCH(Table_Process_Details[[#This Row],[Unique Inputs Sorted by '[GWP (kg CO2 equiv.) per kg API']]],Table_Process_Details[Unique Process Inputs],0))</f>
        <v>2.8897818562743107</v>
      </c>
      <c r="FK16" s="126">
        <f ca="1">INDEX(Table_Process_Details[Total '[GWP (kg CO2 equiv.) per kg API'] of Unique Inputs (METAL)], MATCH(Table_Process_Details[[#This Row],[Unique Inputs Sorted by '[GWP (kg CO2 equiv.) per kg API']]],Table_Process_Details[Unique Process Inputs],0))</f>
        <v>0</v>
      </c>
      <c r="FL16" s="126">
        <f ca="1">INDEX(Table_Process_Details[Total '[GWP (kg CO2 equiv.) per kg API'] of Unique Inputs (SOLVENT)], MATCH(Table_Process_Details[[#This Row],[Unique Inputs Sorted by '[GWP (kg CO2 equiv.) per kg API']]],Table_Process_Details[Unique Process Inputs],0))</f>
        <v>0</v>
      </c>
      <c r="FM16" s="126">
        <f ca="1">INDEX(Table_Process_Details[Total '[GWP (kg CO2 equiv.) per kg API'] of Unique Inputs (WATER)], MATCH(Table_Process_Details[[#This Row],[Unique Inputs Sorted by '[GWP (kg CO2 equiv.) per kg API']]],Table_Process_Details[Unique Process Inputs],0))</f>
        <v>2.7961332354560497E-3</v>
      </c>
      <c r="FN16" s="126">
        <f ca="1">INDEX(Table_Process_Details[Total '[GWP (kg CO2 equiv.) per kg API'] of Unique Inputs (ENZ&amp;PLNT)], MATCH(Table_Process_Details[[#This Row],[Unique Inputs Sorted by '[GWP (kg CO2 equiv.) per kg API']]],Table_Process_Details[Unique Process Inputs],0))</f>
        <v>0</v>
      </c>
      <c r="FO16" s="126">
        <f ca="1">INDEX(Table_Process_Details[Total '[GWP (kg CO2 equiv.) per kg API'] of Unique Inputs (OTHER)], MATCH(Table_Process_Details[[#This Row],[Unique Inputs Sorted by '[GWP (kg CO2 equiv.) per kg API']]],Table_Process_Details[Unique Process Inputs],0))</f>
        <v>0</v>
      </c>
      <c r="FP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6" s="126">
        <f ca="1">SUMIFS(Table_Process_Details[RV Acidification (kg SO2 equiv.) per kg API],Table_Process_Details[Display Name],Table_Process_Details[[#This Row],[Unique Process Inputs]],Table_Process_Details[Input or Output],"Input")</f>
        <v>1.5690143212307246E-3</v>
      </c>
      <c r="FX16" s="131">
        <f ca="1">SUMIFS(Table_Process_Details[RV Acidification (kg SO2 equiv.) per kg API (REAGENT)],Table_Process_Details[Display Name],Table_Process_Details[[#This Row],[Unique Process Inputs]],Table_Process_Details[Input or Output],"Input")</f>
        <v>1.5690143212307246E-3</v>
      </c>
      <c r="FY16" s="131">
        <f ca="1">SUMIFS(Table_Process_Details[RV Acidification (kg SO2 equiv.) per kg API (METAL)],Table_Process_Details[Display Name],Table_Process_Details[[#This Row],[Unique Process Inputs]],Table_Process_Details[Input or Output],"Input")</f>
        <v>0</v>
      </c>
      <c r="FZ16" s="131">
        <f ca="1">SUMIFS(Table_Process_Details[RV Acidification (kg SO2 equiv.) per kg API (SOLVENT)],Table_Process_Details[Display Name],Table_Process_Details[[#This Row],[Unique Process Inputs]],Table_Process_Details[Input or Output],"Input")</f>
        <v>0</v>
      </c>
      <c r="GA16" s="131">
        <f ca="1">SUMIFS(Table_Process_Details[RV Acidification (kg SO2 equiv.) per kg API (WATER)],Table_Process_Details[Display Name],Table_Process_Details[[#This Row],[Unique Process Inputs]],Table_Process_Details[Input or Output],"Input")</f>
        <v>0</v>
      </c>
      <c r="GB16" s="131">
        <f ca="1">SUMIFS(Table_Process_Details[RV Acidification (kg SO2 equiv.) per kg API (ENZ&amp;PLNT)],Table_Process_Details[Display Name],Table_Process_Details[[#This Row],[Unique Process Inputs]],Table_Process_Details[Input or Output],"Input")</f>
        <v>0</v>
      </c>
      <c r="GC16" s="131">
        <f ca="1">SUMIFS(Table_Process_Details[RV Acidification (kg SO2 equiv.) per kg API (OTHER)],Table_Process_Details[Display Name],Table_Process_Details[[#This Row],[Unique Process Inputs]],Table_Process_Details[Input or Output],"Input")</f>
        <v>0</v>
      </c>
      <c r="GD16"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M (organic)</v>
      </c>
      <c r="GE16" s="126">
        <f ca="1">IF(LARGE(Table_Process_Details[Total '[Acidification (kg SO2 equiv.) per kg API'] of Unique Inputs],Table_Process_Details[[#This Row],[Table Row]])=0,NA(),LARGE(Table_Process_Details[Total '[Acidification (kg SO2 equiv.) per kg API'] of Unique Inputs],Table_Process_Details[[#This Row],[Table Row]]))</f>
        <v>1.2569887392774195E-2</v>
      </c>
      <c r="GF16" s="126">
        <f ca="1">SUM(OFFSET(Table_Process_Details['[Acidification (kg SO2 equiv.) per kg API'] of Unique Inputs Sorted by '[Acidification (kg SO2 equiv.) per kg API']],0,0,Table_Process_Details[[#This Row],[Table Row]]))</f>
        <v>0.59941920793787395</v>
      </c>
      <c r="GG16"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v>
      </c>
      <c r="GH16" s="126">
        <f ca="1">INDEX(Table_Process_Details[Total '[Acidification (kg SO2 equiv.) per kg API'] of Unique Inputs (REAGENT)], MATCH(Table_Process_Details[[#This Row],[Unique Inputs Sorted by '[Acidification (kg SO2 equiv.) per kg API']]],Table_Process_Details[Unique Process Inputs],0))</f>
        <v>1.2569887392774195E-2</v>
      </c>
      <c r="GI16" s="126">
        <f ca="1">INDEX(Table_Process_Details[Total '[Acidification (kg SO2 equiv.) per kg API'] of Unique Inputs (METAL)], MATCH(Table_Process_Details[[#This Row],[Unique Inputs Sorted by '[Acidification (kg SO2 equiv.) per kg API']]],Table_Process_Details[Unique Process Inputs],0))</f>
        <v>0</v>
      </c>
      <c r="GJ16" s="126">
        <f ca="1">INDEX(Table_Process_Details[Total '[Acidification (kg SO2 equiv.) per kg API'] of Unique Inputs (SOLVENT)], MATCH(Table_Process_Details[[#This Row],[Unique Inputs Sorted by '[Acidification (kg SO2 equiv.) per kg API']]],Table_Process_Details[Unique Process Inputs],0))</f>
        <v>0</v>
      </c>
      <c r="GK16" s="126">
        <f ca="1">INDEX(Table_Process_Details[Total '[Acidification (kg SO2 equiv.) per kg API'] of Unique Inputs (WATER)], MATCH(Table_Process_Details[[#This Row],[Unique Inputs Sorted by '[Acidification (kg SO2 equiv.) per kg API']]],Table_Process_Details[Unique Process Inputs],0))</f>
        <v>0</v>
      </c>
      <c r="GL16" s="126">
        <f ca="1">INDEX(Table_Process_Details[Total '[Acidification (kg SO2 equiv.) per kg API'] of Unique Inputs (ENZ&amp;PLNT)], MATCH(Table_Process_Details[[#This Row],[Unique Inputs Sorted by '[Acidification (kg SO2 equiv.) per kg API']]],Table_Process_Details[Unique Process Inputs],0))</f>
        <v>0</v>
      </c>
      <c r="GM16" s="126">
        <f ca="1">INDEX(Table_Process_Details[Total '[Acidification (kg SO2 equiv.) per kg API'] of Unique Inputs (OTHER)], MATCH(Table_Process_Details[[#This Row],[Unique Inputs Sorted by '[Acidification (kg SO2 equiv.) per kg API']]],Table_Process_Details[Unique Process Inputs],0))</f>
        <v>0</v>
      </c>
      <c r="GN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6" s="126">
        <f ca="1">SUMIFS(Table_Process_Details[RV Eutrophication (kg phosphate equiv.) per kg API],Table_Process_Details[Display Name],Table_Process_Details[[#This Row],[Unique Process Inputs]],Table_Process_Details[Input or Output],"Input")</f>
        <v>1.2563246486751573E-3</v>
      </c>
      <c r="GV16" s="131">
        <f ca="1">SUMIFS(Table_Process_Details[RV Eutrophication (kg phosphate equiv.) per kg API (REAGENT)],Table_Process_Details[Display Name],Table_Process_Details[[#This Row],[Unique Process Inputs]],Table_Process_Details[Input or Output],"Input")</f>
        <v>1.2563246486751573E-3</v>
      </c>
      <c r="GW16" s="131">
        <f ca="1">SUMIFS(Table_Process_Details[RV Eutrophication (kg phosphate equiv.) per kg API (METAL)],Table_Process_Details[Display Name],Table_Process_Details[[#This Row],[Unique Process Inputs]],Table_Process_Details[Input or Output],"Input")</f>
        <v>0</v>
      </c>
      <c r="GX16" s="131">
        <f ca="1">SUMIFS(Table_Process_Details[RV Eutrophication (kg phosphate equiv.) per kg API (SOLVENT)],Table_Process_Details[Display Name],Table_Process_Details[[#This Row],[Unique Process Inputs]],Table_Process_Details[Input or Output],"Input")</f>
        <v>0</v>
      </c>
      <c r="GY16" s="131">
        <f ca="1">SUMIFS(Table_Process_Details[RV Eutrophication (kg phosphate equiv.) per kg API (WATER)],Table_Process_Details[Display Name],Table_Process_Details[[#This Row],[Unique Process Inputs]],Table_Process_Details[Input or Output],"Input")</f>
        <v>0</v>
      </c>
      <c r="GZ16" s="131">
        <f ca="1">SUMIFS(Table_Process_Details[RV Eutrophication (kg phosphate equiv.) per kg API (ENZ&amp;PLNT)],Table_Process_Details[Display Name],Table_Process_Details[[#This Row],[Unique Process Inputs]],Table_Process_Details[Input or Output],"Input")</f>
        <v>0</v>
      </c>
      <c r="HA16" s="131">
        <f ca="1">SUMIFS(Table_Process_Details[RV Eutrophication (kg phosphate equiv.) per kg API (OTHER)],Table_Process_Details[Display Name],Table_Process_Details[[#This Row],[Unique Process Inputs]],Table_Process_Details[Input or Output],"Input")</f>
        <v>0</v>
      </c>
      <c r="HB16"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toluene</v>
      </c>
      <c r="HC16" s="126">
        <f ca="1">IF(LARGE(Table_Process_Details[Total '[Eutrophication (kg posphate equiv.) per kg API'] of Unique Inputs],Table_Process_Details[[#This Row],[Table Row]])=0,NA(),LARGE(Table_Process_Details[Total '[Eutrophication (kg posphate equiv.) per kg API'] of Unique Inputs],Table_Process_Details[[#This Row],[Table Row]]))</f>
        <v>3.6698334733133988E-3</v>
      </c>
      <c r="HD16" s="126">
        <f ca="1">SUM(OFFSET(Table_Process_Details['[Eutrophication (kg posphate equiv.) per kg API'] of Unique Inputs Sorted by '[Eutrophication (kg posphate equiv.) per kg API']],0,0,Table_Process_Details[[#This Row],[Table Row]]))</f>
        <v>1.3665632361902955</v>
      </c>
      <c r="HE16"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16" s="131">
        <f ca="1">INDEX(Table_Process_Details[Total '[Eutrophication (kg posphate equiv.) per kg API'] of Unique Inputs (REAGENT)], MATCH(Table_Process_Details[[#This Row],[Unique Inputs Sorted by '[Eutrophication (kg posphate equiv.) per kg API']]],Table_Process_Details[Unique Process Inputs],0))</f>
        <v>0</v>
      </c>
      <c r="HG16" s="131">
        <f ca="1">INDEX(Table_Process_Details[Total '[Eutrophication (kg posphate equiv.) per kg API'] of Unique Inputs (METAL)], MATCH(Table_Process_Details[[#This Row],[Unique Inputs Sorted by '[Eutrophication (kg posphate equiv.) per kg API']]],Table_Process_Details[Unique Process Inputs],0))</f>
        <v>0</v>
      </c>
      <c r="HH16" s="131">
        <f ca="1">INDEX(Table_Process_Details[Total '[Eutrophication (kg posphate equiv.) per kg API'] of Unique Inputs (SOLVENT)], MATCH(Table_Process_Details[[#This Row],[Unique Inputs Sorted by '[Eutrophication (kg posphate equiv.) per kg API']]],Table_Process_Details[Unique Process Inputs],0))</f>
        <v>3.6698334733133988E-3</v>
      </c>
      <c r="HI16" s="131">
        <f ca="1">INDEX(Table_Process_Details[Total '[Eutrophication (kg posphate equiv.) per kg API'] of Unique Inputs (WATER)], MATCH(Table_Process_Details[[#This Row],[Unique Inputs Sorted by '[Eutrophication (kg posphate equiv.) per kg API']]],Table_Process_Details[Unique Process Inputs],0))</f>
        <v>0</v>
      </c>
      <c r="HJ16" s="131">
        <f ca="1">INDEX(Table_Process_Details[Total '[Eutrophication (kg posphate equiv.) per kg API'] of Unique Inputs (ENZ&amp;PLNT)], MATCH(Table_Process_Details[[#This Row],[Unique Inputs Sorted by '[Eutrophication (kg posphate equiv.) per kg API']]],Table_Process_Details[Unique Process Inputs],0))</f>
        <v>0</v>
      </c>
      <c r="HK16" s="131">
        <f ca="1">INDEX(Table_Process_Details[Total '[Eutrophication (kg posphate equiv.) per kg API'] of Unique Inputs (OTHER)], MATCH(Table_Process_Details[[#This Row],[Unique Inputs Sorted by '[Eutrophication (kg posphate equiv.) per kg API']]],Table_Process_Details[Unique Process Inputs],0))</f>
        <v>0</v>
      </c>
      <c r="HL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6" s="131">
        <f ca="1">SUMIFS(Table_Process_Details[RV Water (kg) per kg API],Table_Process_Details[Display Name],Table_Process_Details[[#This Row],[Unique Process Inputs]],Table_Process_Details[Input or Output],"Input")</f>
        <v>2.0544357656828991</v>
      </c>
      <c r="HT16" s="131">
        <f ca="1">SUMIFS(Table_Process_Details[RV Water (kg) per kg API (REAGENT)],Table_Process_Details[Display Name],Table_Process_Details[[#This Row],[Unique Process Inputs]],Table_Process_Details[Input or Output],"Input")</f>
        <v>2.0544357656828991</v>
      </c>
      <c r="HU16" s="131">
        <f ca="1">SUMIFS(Table_Process_Details[RV Water (kg) per kg API (METAL)],Table_Process_Details[Display Name],Table_Process_Details[[#This Row],[Unique Process Inputs]],Table_Process_Details[Input or Output],"Input")</f>
        <v>0</v>
      </c>
      <c r="HV16" s="131">
        <f ca="1">SUMIFS(Table_Process_Details[RV Water (kg) per kg API (SOLVENT)],Table_Process_Details[Display Name],Table_Process_Details[[#This Row],[Unique Process Inputs]],Table_Process_Details[Input or Output],"Input")</f>
        <v>0</v>
      </c>
      <c r="HW16" s="131">
        <f ca="1">SUMIFS(Table_Process_Details[RV Water (kg) per kg API (WATER)],Table_Process_Details[Display Name],Table_Process_Details[[#This Row],[Unique Process Inputs]],Table_Process_Details[Input or Output],"Input")</f>
        <v>0</v>
      </c>
      <c r="HX16" s="131">
        <f ca="1">SUMIFS(Table_Process_Details[RV Water (kg) per kg API (ENZ&amp;PLNT)],Table_Process_Details[Display Name],Table_Process_Details[[#This Row],[Unique Process Inputs]],Table_Process_Details[Input or Output],"Input")</f>
        <v>0</v>
      </c>
      <c r="HY16" s="131">
        <f ca="1">SUMIFS(Table_Process_Details[RV Water (kg) per kg API (OTHER)],Table_Process_Details[Display Name],Table_Process_Details[[#This Row],[Unique Process Inputs]],Table_Process_Details[Input or Output],"Input")</f>
        <v>0</v>
      </c>
      <c r="HZ16" s="126" t="str">
        <f ca="1">INDEX(Table_Process_Details[Unique Process Inputs],MATCH(Table_Process_Details[[#This Row],['[Water (kg) per kg API'] of Unique Inputs Sorted by '[Water (kg) per kg API']]],Table_Process_Details[Total '[Water (kg) per kg API'] of Unique Inputs],0))</f>
        <v>toluene</v>
      </c>
      <c r="IA16" s="126">
        <f ca="1">IF(LARGE(Table_Process_Details[Total '[Water (kg) per kg API'] of Unique Inputs],Table_Process_Details[[#This Row],[Table Row]])=0,NA(),LARGE(Table_Process_Details[Total '[Water (kg) per kg API'] of Unique Inputs],Table_Process_Details[[#This Row],[Table Row]]))</f>
        <v>12.002072935065172</v>
      </c>
      <c r="IB16" s="131">
        <f ca="1">SUM(OFFSET(Table_Process_Details['[Water (kg) per kg API'] of Unique Inputs Sorted by '[Water (kg) per kg API']],0,0,Table_Process_Details[[#This Row],[Table Row]]))</f>
        <v>843.45948249802098</v>
      </c>
      <c r="IC16" s="131" t="str">
        <f ca="1">"("&amp;TEXT(Table_Process_Details[[#This Row],['[Water (kg) per kg API'] of Unique Inputs Sorted by '[Water (kg) per kg API']]]/SUMIF(Table_Process_Details['[Water (kg) per kg API'] of Unique Inputs Sorted by '[Water (kg) per kg API']],"&lt;&gt;#N/A"),"0%")&amp;")"</f>
        <v>(1%)</v>
      </c>
      <c r="ID16" s="131">
        <f ca="1">INDEX(Table_Process_Details[Total '[Water (kg) per kg API'] of Unique Inputs (REAGENT)], MATCH(Table_Process_Details[[#This Row],[Unique Inputs Sorted by '[Water (kg) per kg API']]],Table_Process_Details[Unique Process Inputs],0))</f>
        <v>0</v>
      </c>
      <c r="IE16" s="131">
        <f ca="1">INDEX(Table_Process_Details[Total '[Water (kg) per kg API'] of Unique Inputs (METAL)], MATCH(Table_Process_Details[[#This Row],[Unique Inputs Sorted by '[Water (kg) per kg API']]],Table_Process_Details[Unique Process Inputs],0))</f>
        <v>0</v>
      </c>
      <c r="IF16" s="131">
        <f ca="1">INDEX(Table_Process_Details[Total '[Water (kg) per kg API'] of Unique Inputs (SOLVENT)], MATCH(Table_Process_Details[[#This Row],[Unique Inputs Sorted by '[Water (kg) per kg API']]],Table_Process_Details[Unique Process Inputs],0))</f>
        <v>12.002072935065172</v>
      </c>
      <c r="IG16" s="131">
        <f ca="1">INDEX(Table_Process_Details[Total '[Water (kg) per kg API'] of Unique Inputs (WATER)], MATCH(Table_Process_Details[[#This Row],[Unique Inputs Sorted by '[Water (kg) per kg API']]],Table_Process_Details[Unique Process Inputs],0))</f>
        <v>0</v>
      </c>
      <c r="IH16" s="131">
        <f ca="1">INDEX(Table_Process_Details[Total '[Water (kg) per kg API'] of Unique Inputs (ENZ&amp;PLNT)], MATCH(Table_Process_Details[[#This Row],[Unique Inputs Sorted by '[Water (kg) per kg API']]],Table_Process_Details[Unique Process Inputs],0))</f>
        <v>0</v>
      </c>
      <c r="II16" s="131">
        <f ca="1">INDEX(Table_Process_Details[Total '[Water (kg) per kg API'] of Unique Inputs (OTHER)], MATCH(Table_Process_Details[[#This Row],[Unique Inputs Sorted by '[Water (kg) per kg API']]],Table_Process_Details[Unique Process Inputs],0))</f>
        <v>0</v>
      </c>
    </row>
    <row r="17" spans="1:243" customFormat="1" x14ac:dyDescent="0.25">
      <c r="A17" s="22" t="str">
        <f>'1. Define Process Steps'!A11</f>
        <v>1e) Virtual solution prep for (1): 6 M HCl (aq)</v>
      </c>
      <c r="B17" s="21" t="s">
        <v>4</v>
      </c>
      <c r="C17" s="21" t="s">
        <v>7</v>
      </c>
      <c r="D17" s="22" t="s">
        <v>158</v>
      </c>
      <c r="E17" s="22" t="s">
        <v>818</v>
      </c>
      <c r="F17" s="164">
        <f>36.36*6</f>
        <v>218.16</v>
      </c>
      <c r="G17" s="26"/>
      <c r="H17" s="26" t="s">
        <v>851</v>
      </c>
      <c r="I17" s="26"/>
      <c r="J17" s="26" t="str">
        <f>INDEX(Process_Steps[Reference],MATCH(Table_Process_Details[[#This Row],[Step Name]],Process_Steps[Name],0))</f>
        <v>Reference Document  for Step 1</v>
      </c>
      <c r="K17" s="27" t="str">
        <f>INDEX(Process_Steps[Real or Virtual?],MATCH(Table_Process_Details[[#This Row],[Step Name]],Process_Steps[Name],0))</f>
        <v>Virtual</v>
      </c>
      <c r="L1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1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17" s="26">
        <f>INDEX(Table_Process_Details[Physical Mass (kg)],MATCH(1,INDEX(((Table_Process_Details[Step Name]=Table_Process_Details[[#This Row],[Step Name]])*(Table_Process_Details[Input or Output]="Output")),0),0))</f>
        <v>1072</v>
      </c>
      <c r="O17" s="29">
        <f ca="1">INDEX(Process_Steps[Step Scale Factor for 1kg Packaged API],MATCH(Table_Process_Details[[#This Row],[Step Name]],Process_Steps[Name],0))</f>
        <v>2.6082472222847325E-3</v>
      </c>
      <c r="P1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4.333333333333333</v>
      </c>
      <c r="Q1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15.333333333333332</v>
      </c>
      <c r="R17" s="26">
        <f ca="1">_xlfn.SWITCH(Run_Reset_PNG,"Reset",Table_Process_Details[[#This Row],[X Init]],"Run",Table_Process_Details[[#This Row],[X Moved]],"Freeze",Table_Process_Details[[#This Row],[X Mover]])</f>
        <v>14.446348193981173</v>
      </c>
      <c r="S17" s="26">
        <f ca="1">_xlfn.SWITCH(Run_Reset_PNG,"Reset",Table_Process_Details[[#This Row],[Y Init]],"Run",Table_Process_Details[[#This Row],[Y Moved]],"Freeze",Table_Process_Details[[#This Row],[Y Mover]])</f>
        <v>29.905456820740493</v>
      </c>
      <c r="T17" s="26" cm="1">
        <f t="array" aca="1" ref="T1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4.8596539249480939</v>
      </c>
      <c r="U17" s="26" cm="1">
        <f t="array" aca="1" ref="U1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1.6250948244438601</v>
      </c>
      <c r="V17" s="26" cm="1">
        <f t="array" aca="1" ref="V17" ca="1">SUM(--(SQRT((Table_Process_Details[[#This Row],[X Mover]]-Table_Process_Details[X Mover])^2+(Table_Process_Details[[#This Row],[Y Mover]]-Table_Process_Details[Y Mover])^2)&lt;Collision_Distance))</f>
        <v>7</v>
      </c>
      <c r="W17" s="26" cm="1">
        <f t="array" aca="1" ref="W1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-0.64550937927757834</v>
      </c>
      <c r="X17" s="26" cm="1">
        <f t="array" aca="1" ref="X1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-0.12670498849690481</v>
      </c>
      <c r="Y17" s="26" cm="1">
        <f t="array" aca="1" ref="Y1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7" s="26">
        <f>0</f>
        <v>0</v>
      </c>
      <c r="AA17" s="26">
        <f>0</f>
        <v>0</v>
      </c>
      <c r="AB1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-7.2231740969905864</v>
      </c>
      <c r="AC17" s="26" cm="1">
        <f t="array" aca="1" ref="AC1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-14.952728410370247</v>
      </c>
      <c r="AD17" s="26">
        <f>MIN(1,COUNTA(Table_Process_Details[[#This Row],[target x]]),COUNTA(Table_Process_Details[[#This Row],[target y]]))*COUNTA(Table_Process_Details[Step Name])</f>
        <v>98</v>
      </c>
      <c r="AE1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14.421369231563622</v>
      </c>
      <c r="AF1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29.858329374405262</v>
      </c>
      <c r="AG1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7" s="26" cm="1">
        <f t="array" aca="1" ref="AH17" ca="1">INDEX(Table_Process_Details[X Mover],MATCH(1,INDEX((Table_Process_Details[Input or Output]="Output")*(Table_Process_Details[Step Name]=Table_Process_Details[[#This Row],[Step Name]])*(Table_Process_Details[[#This Row],[Input or Output]]="Input"),0),0))</f>
        <v>10.21150408293698</v>
      </c>
      <c r="AI17" s="26" cm="1">
        <f t="array" aca="1" ref="AI17" ca="1">INDEX(Table_Process_Details[Y Mover],MATCH(1,INDEX((Table_Process_Details[Input or Output]="Output")*(Table_Process_Details[Step Name]=Table_Process_Details[[#This Row],[Step Name]])*(Table_Process_Details[[#This Row],[Input or Output]]="Input"),0),0))</f>
        <v>29.074212703146806</v>
      </c>
      <c r="AJ17" s="26" t="e">
        <f ca="1">SQRT((Table_Process_Details[[#This Row],[X End (To Node Center)]]-Table_Process_Details[[#This Row],[X Guide]])^2+(Table_Process_Details[[#This Row],[Y End (to Node Center)]]-Table_Process_Details[[#This Row],[Y Guide]])^2)</f>
        <v>#N/A</v>
      </c>
      <c r="AK17" s="26" t="e" cm="1">
        <f t="array" ref="AK17">INDEX(Table_Process_Details[X Mover],MATCH(1,INDEX((Table_Process_Details[Step Name]=Table_Process_Details[[#This Row],[LCA Data Source Subclass]])*(Table_Process_Details[Input or Output]="Output"),0)*(Table_Process_Details[[#This Row],[Input or Output]]="Input"),0))</f>
        <v>#N/A</v>
      </c>
      <c r="AL17" s="26" cm="1">
        <f t="array" aca="1" ref="AL17" ca="1">INDEX(Table_Process_Details[X Mover],MATCH(1,INDEX(((Table_Process_Details[Table Row]=Table_Process_Details[[#This Row],[Table Row]])*(1)),0)*(Table_Process_Details[[#This Row],[Input or Output]]="Input"),0))</f>
        <v>14.446348193981173</v>
      </c>
      <c r="AM17" s="26" t="e" cm="1">
        <f t="array" aca="1" ref="AM17" ca="1">(Table_Process_Details[[#This Row],[X End (To Node Center)]]*Table_Process_Details[[#This Row],[r0]]-Table_Process_Details[[#This Row],[X End (To Node Center)]]*Arrow_Offset+Table_Process_Details[[#This Row],[X Guide]]*Arrow_Offset)/Table_Process_Details[[#This Row],[r0]]</f>
        <v>#N/A</v>
      </c>
      <c r="AN17" s="26" t="e">
        <f>IF(NOT(Table_Process_Details[[#This Row],[Display As]]="None"),Table_Process_Details[[#This Row],[X Start Prefilter]],NA())</f>
        <v>#N/A</v>
      </c>
      <c r="AO17" s="26" t="e">
        <f>IF(NOT(Table_Process_Details[[#This Row],[Display As]]="None"),Table_Process_Details[[#This Row],[X Guide Prefilter]],NA())</f>
        <v>#N/A</v>
      </c>
      <c r="AP17" s="26" t="e">
        <f>IF(NOT(Table_Process_Details[[#This Row],[Display As]]="None"),Table_Process_Details[[#This Row],[X End (to Stop Radius) Prefilter]],NA())</f>
        <v>#N/A</v>
      </c>
      <c r="AQ17" s="26" t="e">
        <f>NA()</f>
        <v>#N/A</v>
      </c>
      <c r="AR17" s="26" t="e" cm="1">
        <f t="array" ref="AR17">INDEX(Table_Process_Details[Y Mover],MATCH(1,INDEX((Table_Process_Details[Step Name]=Table_Process_Details[[#This Row],[LCA Data Source Subclass]])*(Table_Process_Details[Input or Output]="Output"),0)*(Table_Process_Details[[#This Row],[Input or Output]]="Input"),0))</f>
        <v>#N/A</v>
      </c>
      <c r="AS17" s="26" cm="1">
        <f t="array" aca="1" ref="AS17" ca="1">INDEX(Table_Process_Details[Y Mover],MATCH(1,INDEX(((Table_Process_Details[Table Row]=Table_Process_Details[[#This Row],[Table Row]])*(1)),0)*(Table_Process_Details[[#This Row],[Input or Output]]="Input"),0))</f>
        <v>29.905456820740493</v>
      </c>
      <c r="AT17" s="26" t="e" cm="1">
        <f t="array" aca="1" ref="AT17" ca="1">(Table_Process_Details[[#This Row],[Y Guide]]*Arrow_Offset-Table_Process_Details[[#This Row],[Y End (to Node Center)]]*Arrow_Offset+Table_Process_Details[[#This Row],[Y End (to Node Center)]]*Table_Process_Details[[#This Row],[r0]])/Table_Process_Details[[#This Row],[r0]]</f>
        <v>#N/A</v>
      </c>
      <c r="AU17" s="26" t="e">
        <f>IF(NOT(Table_Process_Details[[#This Row],[Display As]]="None"),Table_Process_Details[[#This Row],[Y Start Prefilter]],NA())</f>
        <v>#N/A</v>
      </c>
      <c r="AV17" s="26" t="e">
        <f>IF(NOT(Table_Process_Details[[#This Row],[Display As]]="None"),Table_Process_Details[[#This Row],[Y Guide Prefilter]],NA())</f>
        <v>#N/A</v>
      </c>
      <c r="AW17" s="26" t="e">
        <f>IF(NOT(Table_Process_Details[[#This Row],[Display As]]="None"),Table_Process_Details[[#This Row],[Y End (to Stop Radius) Prefilter]],NA())</f>
        <v>#N/A</v>
      </c>
      <c r="AX17" s="26" t="e">
        <f>NA()</f>
        <v>#N/A</v>
      </c>
      <c r="AY17" s="26" t="e">
        <f>IF(Table_Process_Details[[#This Row],[Display As]]="Real Step",Table_Process_Details[[#This Row],[X Mover]],NA())</f>
        <v>#N/A</v>
      </c>
      <c r="AZ17" s="26" t="e">
        <f>IF(Table_Process_Details[[#This Row],[Display As]]="Real Step",Table_Process_Details[[#This Row],[Y Mover]],NA())</f>
        <v>#N/A</v>
      </c>
      <c r="BA17" s="26" t="e">
        <f>IF(Table_Process_Details[[#This Row],[Display As]]="Raw Material",Table_Process_Details[[#This Row],[X Mover]],NA())</f>
        <v>#N/A</v>
      </c>
      <c r="BB17" s="26" t="e">
        <f>IF(Table_Process_Details[[#This Row],[Display As]]="Raw Material",Table_Process_Details[[#This Row],[Y Mover]],NA())</f>
        <v>#N/A</v>
      </c>
      <c r="BC17" s="26" t="e">
        <f>IF(OR(Table_Process_Details[[#This Row],[Display As]]="Real Step",Table_Process_Details[[#This Row],[Display As]]="Raw Material"),Table_Process_Details[[#This Row],[X Mover]],NA())</f>
        <v>#N/A</v>
      </c>
      <c r="BD17" s="26" t="e">
        <f>IF(OR(Table_Process_Details[[#This Row],[Display As]]="Real Step",Table_Process_Details[[#This Row],[Display As]]="Raw Material"),Table_Process_Details[[#This Row],[Y Mover]],NA())</f>
        <v>#N/A</v>
      </c>
      <c r="BE17" s="22">
        <f>ROW()-ROW(Table_Process_Details[[#Headers],[Table Row]])</f>
        <v>13</v>
      </c>
      <c r="BF17" s="23" t="str" cm="1">
        <f t="array" aca="1" ref="BF17" ca="1">INDEX(Table_Process_Details[Display Name],MATCH(0,IF(Table_Process_Details[Input or Output]="Input",INDEX(COUNTIF(OFFSET(Table_Process_Details[[#Headers],[Unique Process Inputs]],0,0,Table_Process_Details[[#This Row],[Table Row]],1),Table_Process_Details[Display Name]),),""),0))</f>
        <v>reagent P (organic)</v>
      </c>
      <c r="BG17" s="23">
        <f ca="1">Table_Process_Details[[#This Row],[Physical Mass (kg)]]*Table_Process_Details[[#This Row],[Step Scale Factor for 1kg Packaged API]]</f>
        <v>0.56901521401363719</v>
      </c>
      <c r="BH1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7" s="23">
        <f ca="1">MATCH(Table_Process_Details[[#This Row],[LCA Data Source Class]],INDIRECT(Table_Process_Details[[#This Row],[Input or Output]]),0)</f>
        <v>6</v>
      </c>
      <c r="BJ17" s="23">
        <f ca="1">MATCH(Table_Process_Details[[#This Row],[LCA Data Source Subclass]],INDIRECT(Table_Process_Details[[#This Row],[LCA Data Source Class]]&amp;"[Name]"),0)</f>
        <v>1</v>
      </c>
      <c r="BK17" s="23">
        <f ca="1">IFERROR(INDEX(INDIRECT(Table_Process_Details[[#This Row],[LCA Data Source Class]]&amp;"[Mass Net (kg)]"),MATCH(Table_Process_Details[[#This Row],[LCA Data Source Subclass]],INDIRECT(Table_Process_Details[[#This Row],[LCA Data Source Class]]&amp;"[Name]"),0)),0)</f>
        <v>1.34</v>
      </c>
      <c r="BL17" s="23">
        <f ca="1">IFERROR(INDEX(INDIRECT(Table_Process_Details[[#This Row],[LCA Data Source Class]]&amp;"[Energy (MJ)]"),MATCH(Table_Process_Details[[#This Row],[LCA Data Source Subclass]],INDIRECT(Table_Process_Details[[#This Row],[LCA Data Source Class]]&amp;"[Name]"),0)),0)</f>
        <v>10.63</v>
      </c>
      <c r="BM17" s="23">
        <f ca="1">IFERROR(INDEX(INDIRECT(Table_Process_Details[[#This Row],[LCA Data Source Class]]&amp;"[GWP (kg CO2 equiv.)]"),MATCH(Table_Process_Details[[#This Row],[LCA Data Source Subclass]],INDIRECT(Table_Process_Details[[#This Row],[LCA Data Source Class]]&amp;"[Name]"),0)),0)</f>
        <v>1.3854</v>
      </c>
      <c r="BN17" s="23">
        <f ca="1">IFERROR(INDEX(INDIRECT(Table_Process_Details[[#This Row],[LCA Data Source Class]]&amp;"[Acidification (kg SO2 equiv.)]"),MATCH(Table_Process_Details[[#This Row],[LCA Data Source Subclass]],INDIRECT(Table_Process_Details[[#This Row],[LCA Data Source Class]]&amp;"[Name]"),0)),0)</f>
        <v>1.3899999999999999E-2</v>
      </c>
      <c r="BO17" s="23">
        <f ca="1">IFERROR(INDEX(INDIRECT(Table_Process_Details[[#This Row],[LCA Data Source Class]]&amp;"[Eutrophication (kg posphate equiv.)]"),MATCH(Table_Process_Details[[#This Row],[LCA Data Source Subclass]],INDIRECT(Table_Process_Details[[#This Row],[LCA Data Source Class]]&amp;"[Name]"),0)),0)</f>
        <v>6.9999999999999999E-4</v>
      </c>
      <c r="BP17" s="23">
        <f ca="1">IFERROR(INDEX(INDIRECT(Table_Process_Details[[#This Row],[LCA Data Source Class]]&amp;"[Water (kg)]"),MATCH(Table_Process_Details[[#This Row],[LCA Data Source Subclass]],INDIRECT(Table_Process_Details[[#This Row],[LCA Data Source Class]]&amp;"[Name]"),0)),0)</f>
        <v>0.69123000000000001</v>
      </c>
      <c r="BQ17" s="27">
        <f ca="1">(Table_Process_Details[[#This Row],[Input or Output]]="Input")*(Table_Process_Details[[#This Row],[LCA Data Source Class]]&lt;&gt;"Process_Steps")*Table_Process_Details[[#This Row],[Scaled Physical Mass per kg API for All Inputs &amp; Outputs]]</f>
        <v>0.56901521401363719</v>
      </c>
      <c r="BR17" s="27">
        <f ca="1">(Table_Process_Details[[#This Row],[Material Class]]="REAGENT")*Table_Process_Details[[#This Row],[Physical Mass per kg API]]</f>
        <v>0.56901521401363719</v>
      </c>
      <c r="BS17" s="27">
        <f ca="1">(Table_Process_Details[[#This Row],[Material Class]]="METAL")*Table_Process_Details[[#This Row],[Physical Mass per kg API]]</f>
        <v>0</v>
      </c>
      <c r="BT17" s="27">
        <f ca="1">(Table_Process_Details[[#This Row],[Material Class]]="SOLVENT")*Table_Process_Details[[#This Row],[Physical Mass per kg API]]</f>
        <v>0</v>
      </c>
      <c r="BU17" s="27">
        <f ca="1">(Table_Process_Details[[#This Row],[Material Class]]="WATER")*Table_Process_Details[[#This Row],[Physical Mass per kg API]]</f>
        <v>0</v>
      </c>
      <c r="BV17" s="27">
        <f ca="1">(Table_Process_Details[[#This Row],[Material Class]]="ENZ&amp;PLNT")*Table_Process_Details[[#This Row],[Physical Mass per kg API]]</f>
        <v>0</v>
      </c>
      <c r="BW17" s="27">
        <f ca="1">(Table_Process_Details[[#This Row],[Material Class]]="OTHER")*Table_Process_Details[[#This Row],[Physical Mass per kg API]]</f>
        <v>0</v>
      </c>
      <c r="BX1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7" s="1">
        <f ca="1">SUMIFS(Table_Process_Details[RV Physical Mass per kg API],Table_Process_Details[Display Name],Table_Process_Details[[#This Row],[Unique Process Inputs]],Table_Process_Details[Input or Output],"Input")</f>
        <v>0.20970307667059063</v>
      </c>
      <c r="CF17" s="1">
        <f ca="1">SUMIFS(Table_Process_Details[RV Physical Mass per kg API (REAGENT)],Table_Process_Details[Display Name],Table_Process_Details[[#This Row],[Unique Process Inputs]],Table_Process_Details[Input or Output],"Input")</f>
        <v>0.20970307667059063</v>
      </c>
      <c r="CG17" s="1">
        <f ca="1">SUMIFS(Table_Process_Details[RV Physical Mass per kg API (METAL)],Table_Process_Details[Display Name],Table_Process_Details[[#This Row],[Unique Process Inputs]],Table_Process_Details[Input or Output],"Input")</f>
        <v>0</v>
      </c>
      <c r="CH17" s="1">
        <f ca="1">SUMIFS(Table_Process_Details[RV Physical Mass per kg API (SOLVENT)],Table_Process_Details[Display Name],Table_Process_Details[[#This Row],[Unique Process Inputs]],Table_Process_Details[Input or Output],"Input")</f>
        <v>0</v>
      </c>
      <c r="CI17" s="1">
        <f ca="1">SUMIFS(Table_Process_Details[RV Physical Mass per kg API (WATER)],Table_Process_Details[Display Name],Table_Process_Details[[#This Row],[Unique Process Inputs]],Table_Process_Details[Input or Output],"Input")</f>
        <v>0</v>
      </c>
      <c r="CJ17" s="1">
        <f ca="1">SUMIFS(Table_Process_Details[RV Physical Mass per kg API (ENZ&amp;PLNT)],Table_Process_Details[Display Name],Table_Process_Details[[#This Row],[Unique Process Inputs]],Table_Process_Details[Input or Output],"Input")</f>
        <v>0</v>
      </c>
      <c r="CK17" s="1">
        <f ca="1">SUMIFS(Table_Process_Details[RV Physical Mass per kg API (OTHER)],Table_Process_Details[Display Name],Table_Process_Details[[#This Row],[Unique Process Inputs]],Table_Process_Details[Input or Output],"Input")</f>
        <v>0</v>
      </c>
      <c r="CL17" s="22" t="str">
        <f ca="1">INDEX(Table_Process_Details[Unique Process Inputs],MATCH(Table_Process_Details[[#This Row],['[Physical Mass per kg API'] of Unique Inputs Sorted by '[Physical Mass per kg API']]],Table_Process_Details[Total '[Physical Mass per kg API'] of Unique Inputs],0))</f>
        <v>6 M HCl (aq)</v>
      </c>
      <c r="CM17" s="22">
        <f ca="1">IF(LARGE(Table_Process_Details[Total '[Physical Mass per kg API'] of Unique Inputs],Table_Process_Details[[#This Row],[Table Row]])=0,NA(),LARGE(Table_Process_Details[Total '[Physical Mass per kg API'] of Unique Inputs],Table_Process_Details[[#This Row],[Table Row]]))</f>
        <v>2.7960410222745415</v>
      </c>
      <c r="CN17" s="22">
        <f ca="1">SUM(OFFSET(Table_Process_Details['[Physical Mass per kg API'] of Unique Inputs Sorted by '[Physical Mass per kg API']],0,0,Table_Process_Details[[#This Row],[Table Row]]))</f>
        <v>135.62506219247066</v>
      </c>
      <c r="CO17" s="22" t="str">
        <f ca="1">"("&amp;TEXT(Table_Process_Details[[#This Row],['[Physical Mass per kg API'] of Unique Inputs Sorted by '[Physical Mass per kg API']]]/SUMIF(Table_Process_Details['[Physical Mass per kg API'] of Unique Inputs Sorted by '[Physical Mass per kg API']],"&lt;&gt;#N/A"),"0%")&amp;")"</f>
        <v>(2%)</v>
      </c>
      <c r="CP17" s="22">
        <f ca="1">INDEX(Table_Process_Details[Total '[Physical Mass per kg API'] of Unique Inputs (REAGENT)],MATCH(Table_Process_Details[[#This Row],[Unique Inputs Sorted by '[Physical Mass per kg API']]],Table_Process_Details[Unique Process Inputs],0))</f>
        <v>0.56901521401064736</v>
      </c>
      <c r="CQ17" s="22">
        <f ca="1">INDEX(Table_Process_Details[Total '[Physical Mass per kg API'] of Unique Inputs (METAL)],MATCH(Table_Process_Details[[#This Row],[Unique Inputs Sorted by '[Physical Mass per kg API']]],Table_Process_Details[Unique Process Inputs],0))</f>
        <v>0</v>
      </c>
      <c r="CR17" s="22">
        <f ca="1">INDEX(Table_Process_Details[Total '[Physical Mass per kg API'] of Unique Inputs (SOLVENT)],MATCH(Table_Process_Details[[#This Row],[Unique Inputs Sorted by '[Physical Mass per kg API']]],Table_Process_Details[Unique Process Inputs],0))</f>
        <v>0</v>
      </c>
      <c r="CS17" s="22">
        <f ca="1">INDEX(Table_Process_Details[Total '[Physical Mass per kg API'] of Unique Inputs (WATER)],MATCH(Table_Process_Details[[#This Row],[Unique Inputs Sorted by '[Physical Mass per kg API']]],Table_Process_Details[Unique Process Inputs],0))</f>
        <v>2.2270258082638943</v>
      </c>
      <c r="CT17" s="22">
        <f ca="1">INDEX(Table_Process_Details[Total '[Physical Mass per kg API'] of Unique Inputs (ENZ&amp;PLNT)],MATCH(Table_Process_Details[[#This Row],[Unique Inputs Sorted by '[Physical Mass per kg API']]],Table_Process_Details[Unique Process Inputs],0))</f>
        <v>0</v>
      </c>
      <c r="CU17" s="22">
        <f ca="1">INDEX(Table_Process_Details[Total '[Physical Mass per kg API'] of Unique Inputs (OTHER)],MATCH(Table_Process_Details[[#This Row],[Unique Inputs Sorted by '[Physical Mass per kg API']]],Table_Process_Details[Unique Process Inputs],0))</f>
        <v>0</v>
      </c>
      <c r="CV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7" s="22">
        <f ca="1">SUMIFS(Table_Process_Details[RV Mass Net (kg) per kg API],Table_Process_Details[Display Name],Table_Process_Details[[#This Row],[Unique Process Inputs]],Table_Process_Details[Input or Output],"Input")</f>
        <v>0.43746595371940611</v>
      </c>
      <c r="DD17" s="22">
        <f ca="1">SUMIFS(Table_Process_Details[RV Mass Net (kg) per kg API (REAGENT)],Table_Process_Details[Display Name],Table_Process_Details[[#This Row],[Unique Process Inputs]],Table_Process_Details[Input or Output],"Input")</f>
        <v>0.43746595371940611</v>
      </c>
      <c r="DE17" s="22">
        <f ca="1">SUMIFS(Table_Process_Details[RV Mass Net (kg) per kg API (METAL)],Table_Process_Details[Display Name],Table_Process_Details[[#This Row],[Unique Process Inputs]],Table_Process_Details[Input or Output],"Input")</f>
        <v>0</v>
      </c>
      <c r="DF17" s="22">
        <f ca="1">SUMIFS(Table_Process_Details[RV Mass Net (kg) per kg API (SOLVENT)],Table_Process_Details[Display Name],Table_Process_Details[[#This Row],[Unique Process Inputs]],Table_Process_Details[Input or Output],"Input")</f>
        <v>0</v>
      </c>
      <c r="DG17" s="22">
        <f ca="1">SUMIFS(Table_Process_Details[RV Mass Net (kg) per kg API (WATER)],Table_Process_Details[Display Name],Table_Process_Details[[#This Row],[Unique Process Inputs]],Table_Process_Details[Input or Output],"Input")</f>
        <v>0</v>
      </c>
      <c r="DH17" s="22">
        <f ca="1">SUMIFS(Table_Process_Details[RV Mass Net (kg) per kg API (ENZ&amp;PLNT)],Table_Process_Details[Display Name],Table_Process_Details[[#This Row],[Unique Process Inputs]],Table_Process_Details[Input or Output],"Input")</f>
        <v>0</v>
      </c>
      <c r="DI17" s="22">
        <f ca="1">SUMIFS(Table_Process_Details[RV Mass Net (kg) per kg API (OTHER)],Table_Process_Details[Display Name],Table_Process_Details[[#This Row],[Unique Process Inputs]],Table_Process_Details[Input or Output],"Input")</f>
        <v>0</v>
      </c>
      <c r="DJ17" s="22" t="str">
        <f ca="1">INDEX(Table_Process_Details[Unique Process Inputs],MATCH(Table_Process_Details[[#This Row],['[Mass Net (kg) per kg API'] of Unique Inputs Sorted by '[Mass Net (kg) per kg API']]],Table_Process_Details[Total '[Mass Net (kg) per kg API'] of Unique Inputs],0))</f>
        <v>reagent V (organic)</v>
      </c>
      <c r="DK17" s="22">
        <f ca="1">IF(LARGE(Table_Process_Details[Total '[Mass Net (kg) per kg API'] of Unique Inputs],Table_Process_Details[[#This Row],[Table Row]])=0,NA(),LARGE(Table_Process_Details[Total '[Mass Net (kg) per kg API'] of Unique Inputs],Table_Process_Details[[#This Row],[Table Row]]))</f>
        <v>1.6688966539354837</v>
      </c>
      <c r="DL17" s="22">
        <f ca="1">SUM(OFFSET(Table_Process_Details['[Mass Net (kg) per kg API'] of Unique Inputs Sorted by '[Mass Net (kg) per kg API']],0,0,Table_Process_Details[[#This Row],[Table Row]]))</f>
        <v>121.83621808632665</v>
      </c>
      <c r="DM17" s="22" t="str">
        <f ca="1">"("&amp;TEXT(Table_Process_Details[[#This Row],['[Mass Net (kg) per kg API'] of Unique Inputs Sorted by '[Mass Net (kg) per kg API']]]/SUMIF(Table_Process_Details['[Mass Net (kg) per kg API'] of Unique Inputs Sorted by '[Mass Net (kg) per kg API']],"&lt;&gt;#N/A"),"0%")&amp;")"</f>
        <v>(1%)</v>
      </c>
      <c r="DN17" s="22">
        <f ca="1">INDEX(Table_Process_Details[Total '[Mass Net (kg) per kg API'] of Unique Inputs (REAGENT)], MATCH(Table_Process_Details[[#This Row],[Unique Inputs Sorted by '[Mass Net (kg) per kg API']]],Table_Process_Details[Unique Process Inputs],0))</f>
        <v>1.6688966539354837</v>
      </c>
      <c r="DO17" s="22">
        <f ca="1">INDEX(Table_Process_Details[Total '[Mass Net (kg) per kg API'] of Unique Inputs (METAL)], MATCH(Table_Process_Details[[#This Row],[Unique Inputs Sorted by '[Mass Net (kg) per kg API']]],Table_Process_Details[Unique Process Inputs],0))</f>
        <v>0</v>
      </c>
      <c r="DP17" s="22">
        <f ca="1">INDEX(Table_Process_Details[Total '[Mass Net (kg) per kg API'] of Unique Inputs (SOLVENT)], MATCH(Table_Process_Details[[#This Row],[Unique Inputs Sorted by '[Mass Net (kg) per kg API']]],Table_Process_Details[Unique Process Inputs],0))</f>
        <v>0</v>
      </c>
      <c r="DQ17" s="22">
        <f ca="1">INDEX(Table_Process_Details[Total '[Mass Net (kg) per kg API'] of Unique Inputs (WATER)], MATCH(Table_Process_Details[[#This Row],[Unique Inputs Sorted by '[Mass Net (kg) per kg API']]],Table_Process_Details[Unique Process Inputs],0))</f>
        <v>0</v>
      </c>
      <c r="DR17" s="22">
        <f ca="1">INDEX(Table_Process_Details[Total '[Mass Net (kg) per kg API'] of Unique Inputs (ENZ&amp;PLNT)], MATCH(Table_Process_Details[[#This Row],[Unique Inputs Sorted by '[Mass Net (kg) per kg API']]],Table_Process_Details[Unique Process Inputs],0))</f>
        <v>0</v>
      </c>
      <c r="DS17" s="22">
        <f ca="1">INDEX(Table_Process_Details[Total '[Mass Net (kg) per kg API'] of Unique Inputs (OTHER)], MATCH(Table_Process_Details[[#This Row],[Unique Inputs Sorted by '[Mass Net (kg) per kg API']]],Table_Process_Details[Unique Process Inputs],0))</f>
        <v>0</v>
      </c>
      <c r="DT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7" s="1">
        <f ca="1">SUMIFS(Table_Process_Details[RV Energy (MJ) per kg API],Table_Process_Details[Display Name],Table_Process_Details[[#This Row],[Unique Process Inputs]],Table_Process_Details[Input or Output],"Input")</f>
        <v>15.699900764110884</v>
      </c>
      <c r="EB17" s="1">
        <f ca="1">SUMIFS(Table_Process_Details[RV Energy (MJ) per kg API (REAGENT)],Table_Process_Details[Display Name],Table_Process_Details[[#This Row],[Unique Process Inputs]],Table_Process_Details[Input or Output],"Input")</f>
        <v>15.699900764110884</v>
      </c>
      <c r="EC17" s="1">
        <f ca="1">SUMIFS(Table_Process_Details[RV Energy (MJ) per kg API (METAL)],Table_Process_Details[Display Name],Table_Process_Details[[#This Row],[Unique Process Inputs]],Table_Process_Details[Input or Output],"Input")</f>
        <v>0</v>
      </c>
      <c r="ED17" s="1">
        <f ca="1">SUMIFS(Table_Process_Details[RV Energy (MJ) per kg API (SOLVENT)],Table_Process_Details[Display Name],Table_Process_Details[[#This Row],[Unique Process Inputs]],Table_Process_Details[Input or Output],"Input")</f>
        <v>0</v>
      </c>
      <c r="EE17" s="1">
        <f ca="1">SUMIFS(Table_Process_Details[RV Energy (MJ) per kg API (WATER)],Table_Process_Details[Display Name],Table_Process_Details[[#This Row],[Unique Process Inputs]],Table_Process_Details[Input or Output],"Input")</f>
        <v>0</v>
      </c>
      <c r="EF17" s="1">
        <f ca="1">SUMIFS(Table_Process_Details[RV Energy (MJ) per kg API (ENZ&amp;PLNT)],Table_Process_Details[Display Name],Table_Process_Details[[#This Row],[Unique Process Inputs]],Table_Process_Details[Input or Output],"Input")</f>
        <v>0</v>
      </c>
      <c r="EG17" s="1">
        <f ca="1">SUMIFS(Table_Process_Details[RV Energy (MJ) per kg API (OTHER)],Table_Process_Details[Display Name],Table_Process_Details[[#This Row],[Unique Process Inputs]],Table_Process_Details[Input or Output],"Input")</f>
        <v>0</v>
      </c>
      <c r="EH17" s="1" t="str">
        <f ca="1">INDEX(Table_Process_Details[Unique Process Inputs],MATCH(Table_Process_Details[[#This Row],['[Energy (MJ) per kg API'] of Unique Inputs Sorted by '[Energy (MJ) per kg API']]],Table_Process_Details[Total '[Energy (MJ) per kg API'] of Unique Inputs],0))</f>
        <v>95 wt% reagent M (organic)</v>
      </c>
      <c r="EI17" s="22">
        <f ca="1">IF(LARGE(Table_Process_Details[Total '[Energy (MJ) per kg API'] of Unique Inputs],Table_Process_Details[[#This Row],[Table Row]])=0,NA(),LARGE(Table_Process_Details[Total '[Energy (MJ) per kg API'] of Unique Inputs],Table_Process_Details[[#This Row],[Table Row]]))</f>
        <v>22.241408499761445</v>
      </c>
      <c r="EJ17" s="22">
        <f ca="1">SUM(OFFSET(Table_Process_Details['[Energy (MJ) per kg API'] of Unique Inputs Sorted by '[Energy (MJ) per kg API']],0,0,Table_Process_Details[[#This Row],[Table Row]]))</f>
        <v>4986.1702180222728</v>
      </c>
      <c r="EK17" s="22" t="str">
        <f ca="1">"("&amp;TEXT(Table_Process_Details[[#This Row],['[Energy (MJ) per kg API'] of Unique Inputs Sorted by '[Energy (MJ) per kg API']]]/SUMIF(Table_Process_Details['[Energy (MJ) per kg API'] of Unique Inputs Sorted by '[Energy (MJ) per kg API']],"&lt;&gt;#N/A"),"0%")&amp;")"</f>
        <v>(0%)</v>
      </c>
      <c r="EL17" s="22">
        <f ca="1">INDEX(Table_Process_Details[Total '[Energy (MJ) per kg API'] of Unique Inputs (REAGENT)], MATCH(Table_Process_Details[[#This Row],[Unique Inputs Sorted by '[Energy (MJ) per kg API']]],Table_Process_Details[Unique Process Inputs],0))</f>
        <v>22.239309965131238</v>
      </c>
      <c r="EM17" s="22">
        <f ca="1">INDEX(Table_Process_Details[Total '[Energy (MJ) per kg API'] of Unique Inputs (METAL)], MATCH(Table_Process_Details[[#This Row],[Unique Inputs Sorted by '[Energy (MJ) per kg API']]],Table_Process_Details[Unique Process Inputs],0))</f>
        <v>0</v>
      </c>
      <c r="EN17" s="22">
        <f ca="1">INDEX(Table_Process_Details[Total '[Energy (MJ) per kg API'] of Unique Inputs (SOLVENT)], MATCH(Table_Process_Details[[#This Row],[Unique Inputs Sorted by '[Energy (MJ) per kg API']]],Table_Process_Details[Unique Process Inputs],0))</f>
        <v>0</v>
      </c>
      <c r="EO17" s="22">
        <f ca="1">INDEX(Table_Process_Details[Total '[Energy (MJ) per kg API'] of Unique Inputs (WATER)], MATCH(Table_Process_Details[[#This Row],[Unique Inputs Sorted by '[Energy (MJ) per kg API']]],Table_Process_Details[Unique Process Inputs],0))</f>
        <v>2.0985346302073793E-3</v>
      </c>
      <c r="EP17" s="22">
        <f ca="1">INDEX(Table_Process_Details[Total '[Energy (MJ) per kg API'] of Unique Inputs (ENZ&amp;PLNT)], MATCH(Table_Process_Details[[#This Row],[Unique Inputs Sorted by '[Energy (MJ) per kg API']]],Table_Process_Details[Unique Process Inputs],0))</f>
        <v>0</v>
      </c>
      <c r="EQ17" s="22">
        <f ca="1">INDEX(Table_Process_Details[Total '[Energy (MJ) per kg API'] of Unique Inputs (OTHER)], MATCH(Table_Process_Details[[#This Row],[Unique Inputs Sorted by '[Energy (MJ) per kg API']]],Table_Process_Details[Unique Process Inputs],0))</f>
        <v>0</v>
      </c>
      <c r="ER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7" s="22">
        <f ca="1">SUMIFS(Table_Process_Details[RV GWP (kg CO2 equiv.) per kg API],Table_Process_Details[Display Name],Table_Process_Details[[#This Row],[Unique Process Inputs]],Table_Process_Details[Input or Output],"Input")</f>
        <v>0.55034550007785088</v>
      </c>
      <c r="EZ17" s="1">
        <f ca="1">SUMIFS(Table_Process_Details[RV GWP (kg CO2 equiv.) per kg API (REAGENT)],Table_Process_Details[Display Name],Table_Process_Details[[#This Row],[Unique Process Inputs]],Table_Process_Details[Input or Output],"Input")</f>
        <v>0.55034550007785088</v>
      </c>
      <c r="FA17" s="1">
        <f ca="1">SUMIFS(Table_Process_Details[RV GWP (kg CO2 equiv.) per kg API (METAL)],Table_Process_Details[Display Name],Table_Process_Details[[#This Row],[Unique Process Inputs]],Table_Process_Details[Input or Output],"Input")</f>
        <v>0</v>
      </c>
      <c r="FB17" s="1">
        <f ca="1">SUMIFS(Table_Process_Details[RV GWP (kg CO2 equiv.) per kg API (SOLVENT)],Table_Process_Details[Display Name],Table_Process_Details[[#This Row],[Unique Process Inputs]],Table_Process_Details[Input or Output],"Input")</f>
        <v>0</v>
      </c>
      <c r="FC17" s="1">
        <f ca="1">SUMIFS(Table_Process_Details[RV GWP (kg CO2 equiv.) per kg API (WATER)],Table_Process_Details[Display Name],Table_Process_Details[[#This Row],[Unique Process Inputs]],Table_Process_Details[Input or Output],"Input")</f>
        <v>0</v>
      </c>
      <c r="FD17" s="1">
        <f ca="1">SUMIFS(Table_Process_Details[RV GWP (kg CO2 equiv.) per kg API (ENZ&amp;PLNT)],Table_Process_Details[Display Name],Table_Process_Details[[#This Row],[Unique Process Inputs]],Table_Process_Details[Input or Output],"Input")</f>
        <v>0</v>
      </c>
      <c r="FE17" s="1">
        <f ca="1">SUMIFS(Table_Process_Details[RV GWP (kg CO2 equiv.) per kg API (OTHER)],Table_Process_Details[Display Name],Table_Process_Details[[#This Row],[Unique Process Inputs]],Table_Process_Details[Input or Output],"Input")</f>
        <v>0</v>
      </c>
      <c r="FF17" s="22" t="str">
        <f ca="1">INDEX(Table_Process_Details[Unique Process Inputs],MATCH(Table_Process_Details[[#This Row],['[GWP (kg CO2 equiv.) per kg API'] of Unique Inputs Sorted by '[GWP (kg CO2 equiv.) per kg API']]],Table_Process_Details[Total '[GWP (kg CO2 equiv.) per kg API'] of Unique Inputs],0))</f>
        <v>reagent V (organic)</v>
      </c>
      <c r="FG17" s="22">
        <f ca="1">IF(LARGE(Table_Process_Details[Total '[GWP (kg CO2 equiv.) per kg API'] of Unique Inputs],Table_Process_Details[[#This Row],[Table Row]])=0,NA(),LARGE(Table_Process_Details[Total '[GWP (kg CO2 equiv.) per kg API'] of Unique Inputs],Table_Process_Details[[#This Row],[Table Row]]))</f>
        <v>2.0995228446451608</v>
      </c>
      <c r="FH17" s="22">
        <f ca="1">SUM(OFFSET(Table_Process_Details['[GWP (kg CO2 equiv.) per kg API'] of Unique Inputs Sorted by '[GWP (kg CO2 equiv.) per kg API']],0,0,Table_Process_Details[[#This Row],[Table Row]]))</f>
        <v>150.79904988192334</v>
      </c>
      <c r="FI17" s="22" t="str">
        <f ca="1">"("&amp;TEXT(Table_Process_Details[[#This Row],['[GWP (kg CO2 equiv.) per kg API'] of Unique Inputs Sorted by '[GWP (kg CO2 equiv.) per kg API']]]/SUMIF(Table_Process_Details['[GWP (kg CO2 equiv.) per kg API'] of Unique Inputs Sorted by '[GWP (kg CO2 equiv.) per kg API']],"&lt;&gt;#N/A"),"0%")&amp;")"</f>
        <v>(1%)</v>
      </c>
      <c r="FJ17" s="22">
        <f ca="1">INDEX(Table_Process_Details[Total '[GWP (kg CO2 equiv.) per kg API'] of Unique Inputs (REAGENT)], MATCH(Table_Process_Details[[#This Row],[Unique Inputs Sorted by '[GWP (kg CO2 equiv.) per kg API']]],Table_Process_Details[Unique Process Inputs],0))</f>
        <v>2.0995228446451608</v>
      </c>
      <c r="FK17" s="22">
        <f ca="1">INDEX(Table_Process_Details[Total '[GWP (kg CO2 equiv.) per kg API'] of Unique Inputs (METAL)], MATCH(Table_Process_Details[[#This Row],[Unique Inputs Sorted by '[GWP (kg CO2 equiv.) per kg API']]],Table_Process_Details[Unique Process Inputs],0))</f>
        <v>0</v>
      </c>
      <c r="FL17" s="22">
        <f ca="1">INDEX(Table_Process_Details[Total '[GWP (kg CO2 equiv.) per kg API'] of Unique Inputs (SOLVENT)], MATCH(Table_Process_Details[[#This Row],[Unique Inputs Sorted by '[GWP (kg CO2 equiv.) per kg API']]],Table_Process_Details[Unique Process Inputs],0))</f>
        <v>0</v>
      </c>
      <c r="FM17" s="22">
        <f ca="1">INDEX(Table_Process_Details[Total '[GWP (kg CO2 equiv.) per kg API'] of Unique Inputs (WATER)], MATCH(Table_Process_Details[[#This Row],[Unique Inputs Sorted by '[GWP (kg CO2 equiv.) per kg API']]],Table_Process_Details[Unique Process Inputs],0))</f>
        <v>0</v>
      </c>
      <c r="FN17" s="22">
        <f ca="1">INDEX(Table_Process_Details[Total '[GWP (kg CO2 equiv.) per kg API'] of Unique Inputs (ENZ&amp;PLNT)], MATCH(Table_Process_Details[[#This Row],[Unique Inputs Sorted by '[GWP (kg CO2 equiv.) per kg API']]],Table_Process_Details[Unique Process Inputs],0))</f>
        <v>0</v>
      </c>
      <c r="FO17" s="22">
        <f ca="1">INDEX(Table_Process_Details[Total '[GWP (kg CO2 equiv.) per kg API'] of Unique Inputs (OTHER)], MATCH(Table_Process_Details[[#This Row],[Unique Inputs Sorted by '[GWP (kg CO2 equiv.) per kg API']]],Table_Process_Details[Unique Process Inputs],0))</f>
        <v>0</v>
      </c>
      <c r="FP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7" s="22">
        <f ca="1">SUMIFS(Table_Process_Details[RV Acidification (kg SO2 equiv.) per kg API],Table_Process_Details[Display Name],Table_Process_Details[[#This Row],[Unique Process Inputs]],Table_Process_Details[Input or Output],"Input")</f>
        <v>2.3535214818460868E-3</v>
      </c>
      <c r="FX17" s="1">
        <f ca="1">SUMIFS(Table_Process_Details[RV Acidification (kg SO2 equiv.) per kg API (REAGENT)],Table_Process_Details[Display Name],Table_Process_Details[[#This Row],[Unique Process Inputs]],Table_Process_Details[Input or Output],"Input")</f>
        <v>2.3535214818460868E-3</v>
      </c>
      <c r="FY17" s="1">
        <f ca="1">SUMIFS(Table_Process_Details[RV Acidification (kg SO2 equiv.) per kg API (METAL)],Table_Process_Details[Display Name],Table_Process_Details[[#This Row],[Unique Process Inputs]],Table_Process_Details[Input or Output],"Input")</f>
        <v>0</v>
      </c>
      <c r="FZ17" s="1">
        <f ca="1">SUMIFS(Table_Process_Details[RV Acidification (kg SO2 equiv.) per kg API (SOLVENT)],Table_Process_Details[Display Name],Table_Process_Details[[#This Row],[Unique Process Inputs]],Table_Process_Details[Input or Output],"Input")</f>
        <v>0</v>
      </c>
      <c r="GA17" s="1">
        <f ca="1">SUMIFS(Table_Process_Details[RV Acidification (kg SO2 equiv.) per kg API (WATER)],Table_Process_Details[Display Name],Table_Process_Details[[#This Row],[Unique Process Inputs]],Table_Process_Details[Input or Output],"Input")</f>
        <v>0</v>
      </c>
      <c r="GB17" s="1">
        <f ca="1">SUMIFS(Table_Process_Details[RV Acidification (kg SO2 equiv.) per kg API (ENZ&amp;PLNT)],Table_Process_Details[Display Name],Table_Process_Details[[#This Row],[Unique Process Inputs]],Table_Process_Details[Input or Output],"Input")</f>
        <v>0</v>
      </c>
      <c r="GC17" s="1">
        <f ca="1">SUMIFS(Table_Process_Details[RV Acidification (kg SO2 equiv.) per kg API (OTHER)],Table_Process_Details[Display Name],Table_Process_Details[[#This Row],[Unique Process Inputs]],Table_Process_Details[Input or Output],"Input")</f>
        <v>0</v>
      </c>
      <c r="GD17"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0.3 M reagent L (organic) in water</v>
      </c>
      <c r="GE17" s="22">
        <f ca="1">IF(LARGE(Table_Process_Details[Total '[Acidification (kg SO2 equiv.) per kg API'] of Unique Inputs],Table_Process_Details[[#This Row],[Table Row]])=0,NA(),LARGE(Table_Process_Details[Total '[Acidification (kg SO2 equiv.) per kg API'] of Unique Inputs],Table_Process_Details[[#This Row],[Table Row]]))</f>
        <v>1.2368701410587333E-2</v>
      </c>
      <c r="GF17" s="22">
        <f ca="1">SUM(OFFSET(Table_Process_Details['[Acidification (kg SO2 equiv.) per kg API'] of Unique Inputs Sorted by '[Acidification (kg SO2 equiv.) per kg API']],0,0,Table_Process_Details[[#This Row],[Table Row]]))</f>
        <v>0.61178790934846128</v>
      </c>
      <c r="GG17"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v>
      </c>
      <c r="GH17" s="22">
        <f ca="1">INDEX(Table_Process_Details[Total '[Acidification (kg SO2 equiv.) per kg API'] of Unique Inputs (REAGENT)], MATCH(Table_Process_Details[[#This Row],[Unique Inputs Sorted by '[Acidification (kg SO2 equiv.) per kg API']]],Table_Process_Details[Unique Process Inputs],0))</f>
        <v>1.2357989073461254E-2</v>
      </c>
      <c r="GI17" s="22">
        <f ca="1">INDEX(Table_Process_Details[Total '[Acidification (kg SO2 equiv.) per kg API'] of Unique Inputs (METAL)], MATCH(Table_Process_Details[[#This Row],[Unique Inputs Sorted by '[Acidification (kg SO2 equiv.) per kg API']]],Table_Process_Details[Unique Process Inputs],0))</f>
        <v>0</v>
      </c>
      <c r="GJ17" s="22">
        <f ca="1">INDEX(Table_Process_Details[Total '[Acidification (kg SO2 equiv.) per kg API'] of Unique Inputs (SOLVENT)], MATCH(Table_Process_Details[[#This Row],[Unique Inputs Sorted by '[Acidification (kg SO2 equiv.) per kg API']]],Table_Process_Details[Unique Process Inputs],0))</f>
        <v>0</v>
      </c>
      <c r="GK17" s="22">
        <f ca="1">INDEX(Table_Process_Details[Total '[Acidification (kg SO2 equiv.) per kg API'] of Unique Inputs (WATER)], MATCH(Table_Process_Details[[#This Row],[Unique Inputs Sorted by '[Acidification (kg SO2 equiv.) per kg API']]],Table_Process_Details[Unique Process Inputs],0))</f>
        <v>1.0712337126078188E-5</v>
      </c>
      <c r="GL17" s="22">
        <f ca="1">INDEX(Table_Process_Details[Total '[Acidification (kg SO2 equiv.) per kg API'] of Unique Inputs (ENZ&amp;PLNT)], MATCH(Table_Process_Details[[#This Row],[Unique Inputs Sorted by '[Acidification (kg SO2 equiv.) per kg API']]],Table_Process_Details[Unique Process Inputs],0))</f>
        <v>0</v>
      </c>
      <c r="GM17" s="22">
        <f ca="1">INDEX(Table_Process_Details[Total '[Acidification (kg SO2 equiv.) per kg API'] of Unique Inputs (OTHER)], MATCH(Table_Process_Details[[#This Row],[Unique Inputs Sorted by '[Acidification (kg SO2 equiv.) per kg API']]],Table_Process_Details[Unique Process Inputs],0))</f>
        <v>0</v>
      </c>
      <c r="GN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7" s="22">
        <f ca="1">SUMIFS(Table_Process_Details[RV Eutrophication (kg phosphate equiv.) per kg API],Table_Process_Details[Display Name],Table_Process_Details[[#This Row],[Unique Process Inputs]],Table_Process_Details[Input or Output],"Input")</f>
        <v>1.884486973012736E-3</v>
      </c>
      <c r="GV17" s="1">
        <f ca="1">SUMIFS(Table_Process_Details[RV Eutrophication (kg phosphate equiv.) per kg API (REAGENT)],Table_Process_Details[Display Name],Table_Process_Details[[#This Row],[Unique Process Inputs]],Table_Process_Details[Input or Output],"Input")</f>
        <v>1.884486973012736E-3</v>
      </c>
      <c r="GW17" s="1">
        <f ca="1">SUMIFS(Table_Process_Details[RV Eutrophication (kg phosphate equiv.) per kg API (METAL)],Table_Process_Details[Display Name],Table_Process_Details[[#This Row],[Unique Process Inputs]],Table_Process_Details[Input or Output],"Input")</f>
        <v>0</v>
      </c>
      <c r="GX17" s="1">
        <f ca="1">SUMIFS(Table_Process_Details[RV Eutrophication (kg phosphate equiv.) per kg API (SOLVENT)],Table_Process_Details[Display Name],Table_Process_Details[[#This Row],[Unique Process Inputs]],Table_Process_Details[Input or Output],"Input")</f>
        <v>0</v>
      </c>
      <c r="GY17" s="1">
        <f ca="1">SUMIFS(Table_Process_Details[RV Eutrophication (kg phosphate equiv.) per kg API (WATER)],Table_Process_Details[Display Name],Table_Process_Details[[#This Row],[Unique Process Inputs]],Table_Process_Details[Input or Output],"Input")</f>
        <v>0</v>
      </c>
      <c r="GZ17" s="1">
        <f ca="1">SUMIFS(Table_Process_Details[RV Eutrophication (kg phosphate equiv.) per kg API (ENZ&amp;PLNT)],Table_Process_Details[Display Name],Table_Process_Details[[#This Row],[Unique Process Inputs]],Table_Process_Details[Input or Output],"Input")</f>
        <v>0</v>
      </c>
      <c r="HA17" s="1">
        <f ca="1">SUMIFS(Table_Process_Details[RV Eutrophication (kg phosphate equiv.) per kg API (OTHER)],Table_Process_Details[Display Name],Table_Process_Details[[#This Row],[Unique Process Inputs]],Table_Process_Details[Input or Output],"Input")</f>
        <v>0</v>
      </c>
      <c r="HB17"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P (organic)</v>
      </c>
      <c r="HC17" s="22">
        <f ca="1">IF(LARGE(Table_Process_Details[Total '[Eutrophication (kg posphate equiv.) per kg API'] of Unique Inputs],Table_Process_Details[[#This Row],[Table Row]])=0,NA(),LARGE(Table_Process_Details[Total '[Eutrophication (kg posphate equiv.) per kg API'] of Unique Inputs],Table_Process_Details[[#This Row],[Table Row]]))</f>
        <v>1.884486973012736E-3</v>
      </c>
      <c r="HD17" s="22">
        <f ca="1">SUM(OFFSET(Table_Process_Details['[Eutrophication (kg posphate equiv.) per kg API'] of Unique Inputs Sorted by '[Eutrophication (kg posphate equiv.) per kg API']],0,0,Table_Process_Details[[#This Row],[Table Row]]))</f>
        <v>1.3684477231633083</v>
      </c>
      <c r="HE17"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17" s="1">
        <f ca="1">INDEX(Table_Process_Details[Total '[Eutrophication (kg posphate equiv.) per kg API'] of Unique Inputs (REAGENT)], MATCH(Table_Process_Details[[#This Row],[Unique Inputs Sorted by '[Eutrophication (kg posphate equiv.) per kg API']]],Table_Process_Details[Unique Process Inputs],0))</f>
        <v>1.884486973012736E-3</v>
      </c>
      <c r="HG17" s="1">
        <f ca="1">INDEX(Table_Process_Details[Total '[Eutrophication (kg posphate equiv.) per kg API'] of Unique Inputs (METAL)], MATCH(Table_Process_Details[[#This Row],[Unique Inputs Sorted by '[Eutrophication (kg posphate equiv.) per kg API']]],Table_Process_Details[Unique Process Inputs],0))</f>
        <v>0</v>
      </c>
      <c r="HH17" s="1">
        <f ca="1">INDEX(Table_Process_Details[Total '[Eutrophication (kg posphate equiv.) per kg API'] of Unique Inputs (SOLVENT)], MATCH(Table_Process_Details[[#This Row],[Unique Inputs Sorted by '[Eutrophication (kg posphate equiv.) per kg API']]],Table_Process_Details[Unique Process Inputs],0))</f>
        <v>0</v>
      </c>
      <c r="HI17" s="1">
        <f ca="1">INDEX(Table_Process_Details[Total '[Eutrophication (kg posphate equiv.) per kg API'] of Unique Inputs (WATER)], MATCH(Table_Process_Details[[#This Row],[Unique Inputs Sorted by '[Eutrophication (kg posphate equiv.) per kg API']]],Table_Process_Details[Unique Process Inputs],0))</f>
        <v>0</v>
      </c>
      <c r="HJ17" s="1">
        <f ca="1">INDEX(Table_Process_Details[Total '[Eutrophication (kg posphate equiv.) per kg API'] of Unique Inputs (ENZ&amp;PLNT)], MATCH(Table_Process_Details[[#This Row],[Unique Inputs Sorted by '[Eutrophication (kg posphate equiv.) per kg API']]],Table_Process_Details[Unique Process Inputs],0))</f>
        <v>0</v>
      </c>
      <c r="HK17" s="1">
        <f ca="1">INDEX(Table_Process_Details[Total '[Eutrophication (kg posphate equiv.) per kg API'] of Unique Inputs (OTHER)], MATCH(Table_Process_Details[[#This Row],[Unique Inputs Sorted by '[Eutrophication (kg posphate equiv.) per kg API']]],Table_Process_Details[Unique Process Inputs],0))</f>
        <v>0</v>
      </c>
      <c r="HL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7" s="1">
        <f ca="1">SUMIFS(Table_Process_Details[RV Water (kg) per kg API],Table_Process_Details[Display Name],Table_Process_Details[[#This Row],[Unique Process Inputs]],Table_Process_Details[Input or Output],"Input")</f>
        <v>3.0816536485243486</v>
      </c>
      <c r="HT17" s="1">
        <f ca="1">SUMIFS(Table_Process_Details[RV Water (kg) per kg API (REAGENT)],Table_Process_Details[Display Name],Table_Process_Details[[#This Row],[Unique Process Inputs]],Table_Process_Details[Input or Output],"Input")</f>
        <v>3.0816536485243486</v>
      </c>
      <c r="HU17" s="1">
        <f ca="1">SUMIFS(Table_Process_Details[RV Water (kg) per kg API (METAL)],Table_Process_Details[Display Name],Table_Process_Details[[#This Row],[Unique Process Inputs]],Table_Process_Details[Input or Output],"Input")</f>
        <v>0</v>
      </c>
      <c r="HV17" s="1">
        <f ca="1">SUMIFS(Table_Process_Details[RV Water (kg) per kg API (SOLVENT)],Table_Process_Details[Display Name],Table_Process_Details[[#This Row],[Unique Process Inputs]],Table_Process_Details[Input or Output],"Input")</f>
        <v>0</v>
      </c>
      <c r="HW17" s="1">
        <f ca="1">SUMIFS(Table_Process_Details[RV Water (kg) per kg API (WATER)],Table_Process_Details[Display Name],Table_Process_Details[[#This Row],[Unique Process Inputs]],Table_Process_Details[Input or Output],"Input")</f>
        <v>0</v>
      </c>
      <c r="HX17" s="1">
        <f ca="1">SUMIFS(Table_Process_Details[RV Water (kg) per kg API (ENZ&amp;PLNT)],Table_Process_Details[Display Name],Table_Process_Details[[#This Row],[Unique Process Inputs]],Table_Process_Details[Input or Output],"Input")</f>
        <v>0</v>
      </c>
      <c r="HY17" s="1">
        <f ca="1">SUMIFS(Table_Process_Details[RV Water (kg) per kg API (OTHER)],Table_Process_Details[Display Name],Table_Process_Details[[#This Row],[Unique Process Inputs]],Table_Process_Details[Input or Output],"Input")</f>
        <v>0</v>
      </c>
      <c r="HZ17" s="22" t="str">
        <f ca="1">INDEX(Table_Process_Details[Unique Process Inputs],MATCH(Table_Process_Details[[#This Row],['[Water (kg) per kg API'] of Unique Inputs Sorted by '[Water (kg) per kg API']]],Table_Process_Details[Total '[Water (kg) per kg API'] of Unique Inputs],0))</f>
        <v>reagent V (organic)</v>
      </c>
      <c r="IA17" s="22">
        <f ca="1">IF(LARGE(Table_Process_Details[Total '[Water (kg) per kg API'] of Unique Inputs],Table_Process_Details[[#This Row],[Table Row]])=0,NA(),LARGE(Table_Process_Details[Total '[Water (kg) per kg API'] of Unique Inputs],Table_Process_Details[[#This Row],[Table Row]]))</f>
        <v>11.756255358580646</v>
      </c>
      <c r="IB17" s="1">
        <f ca="1">SUM(OFFSET(Table_Process_Details['[Water (kg) per kg API'] of Unique Inputs Sorted by '[Water (kg) per kg API']],0,0,Table_Process_Details[[#This Row],[Table Row]]))</f>
        <v>855.21573785660166</v>
      </c>
      <c r="IC17" s="1" t="str">
        <f ca="1">"("&amp;TEXT(Table_Process_Details[[#This Row],['[Water (kg) per kg API'] of Unique Inputs Sorted by '[Water (kg) per kg API']]]/SUMIF(Table_Process_Details['[Water (kg) per kg API'] of Unique Inputs Sorted by '[Water (kg) per kg API']],"&lt;&gt;#N/A"),"0%")&amp;")"</f>
        <v>(1%)</v>
      </c>
      <c r="ID17" s="1">
        <f ca="1">INDEX(Table_Process_Details[Total '[Water (kg) per kg API'] of Unique Inputs (REAGENT)], MATCH(Table_Process_Details[[#This Row],[Unique Inputs Sorted by '[Water (kg) per kg API']]],Table_Process_Details[Unique Process Inputs],0))</f>
        <v>11.756255358580646</v>
      </c>
      <c r="IE17" s="1">
        <f ca="1">INDEX(Table_Process_Details[Total '[Water (kg) per kg API'] of Unique Inputs (METAL)], MATCH(Table_Process_Details[[#This Row],[Unique Inputs Sorted by '[Water (kg) per kg API']]],Table_Process_Details[Unique Process Inputs],0))</f>
        <v>0</v>
      </c>
      <c r="IF17" s="1">
        <f ca="1">INDEX(Table_Process_Details[Total '[Water (kg) per kg API'] of Unique Inputs (SOLVENT)], MATCH(Table_Process_Details[[#This Row],[Unique Inputs Sorted by '[Water (kg) per kg API']]],Table_Process_Details[Unique Process Inputs],0))</f>
        <v>0</v>
      </c>
      <c r="IG17" s="1">
        <f ca="1">INDEX(Table_Process_Details[Total '[Water (kg) per kg API'] of Unique Inputs (WATER)], MATCH(Table_Process_Details[[#This Row],[Unique Inputs Sorted by '[Water (kg) per kg API']]],Table_Process_Details[Unique Process Inputs],0))</f>
        <v>0</v>
      </c>
      <c r="IH17" s="1">
        <f ca="1">INDEX(Table_Process_Details[Total '[Water (kg) per kg API'] of Unique Inputs (ENZ&amp;PLNT)], MATCH(Table_Process_Details[[#This Row],[Unique Inputs Sorted by '[Water (kg) per kg API']]],Table_Process_Details[Unique Process Inputs],0))</f>
        <v>0</v>
      </c>
      <c r="II17" s="1">
        <f ca="1">INDEX(Table_Process_Details[Total '[Water (kg) per kg API'] of Unique Inputs (OTHER)], MATCH(Table_Process_Details[[#This Row],[Unique Inputs Sorted by '[Water (kg) per kg API']]],Table_Process_Details[Unique Process Inputs],0))</f>
        <v>0</v>
      </c>
    </row>
    <row r="18" spans="1:243" customFormat="1" x14ac:dyDescent="0.25">
      <c r="A18" s="22" t="str">
        <f>A17</f>
        <v>1e) Virtual solution prep for (1): 6 M HCl (aq)</v>
      </c>
      <c r="B18" s="21" t="s">
        <v>4</v>
      </c>
      <c r="C18" s="21" t="s">
        <v>6</v>
      </c>
      <c r="D18" s="22" t="s">
        <v>146</v>
      </c>
      <c r="E18" s="22" t="s">
        <v>814</v>
      </c>
      <c r="F18" s="164">
        <f>F19-F17</f>
        <v>853.84</v>
      </c>
      <c r="G18" s="26"/>
      <c r="H18" s="26" t="s">
        <v>852</v>
      </c>
      <c r="I18" s="26"/>
      <c r="J18" s="26" t="str">
        <f>INDEX(Process_Steps[Reference],MATCH(Table_Process_Details[[#This Row],[Step Name]],Process_Steps[Name],0))</f>
        <v>Reference Document  for Step 1</v>
      </c>
      <c r="K18" s="27" t="str">
        <f>INDEX(Process_Steps[Real or Virtual?],MATCH(Table_Process_Details[[#This Row],[Step Name]],Process_Steps[Name],0))</f>
        <v>Virtual</v>
      </c>
      <c r="L1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1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18" s="26">
        <f>INDEX(Table_Process_Details[Physical Mass (kg)],MATCH(1,INDEX(((Table_Process_Details[Step Name]=Table_Process_Details[[#This Row],[Step Name]])*(Table_Process_Details[Input or Output]="Output")),0),0))</f>
        <v>1072</v>
      </c>
      <c r="O18" s="29">
        <f ca="1">INDEX(Process_Steps[Step Scale Factor for 1kg Packaged API],MATCH(Table_Process_Details[[#This Row],[Step Name]],Process_Steps[Name],0))</f>
        <v>2.6082472222847325E-3</v>
      </c>
      <c r="P1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4.666666666666667</v>
      </c>
      <c r="Q1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15.666666666666668</v>
      </c>
      <c r="R18" s="26">
        <f ca="1">_xlfn.SWITCH(Run_Reset_PNG,"Reset",Table_Process_Details[[#This Row],[X Init]],"Run",Table_Process_Details[[#This Row],[X Moved]],"Freeze",Table_Process_Details[[#This Row],[X Mover]])</f>
        <v>10.658023686101183</v>
      </c>
      <c r="S18" s="26">
        <f ca="1">_xlfn.SWITCH(Run_Reset_PNG,"Reset",Table_Process_Details[[#This Row],[Y Init]],"Run",Table_Process_Details[[#This Row],[Y Moved]],"Freeze",Table_Process_Details[[#This Row],[Y Mover]])</f>
        <v>33.218272264669103</v>
      </c>
      <c r="T18" s="26" cm="1">
        <f t="array" aca="1" ref="T1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0.73298922508338582</v>
      </c>
      <c r="U18" s="26" cm="1">
        <f t="array" aca="1" ref="U1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4.4270035638867764</v>
      </c>
      <c r="V18" s="26" cm="1">
        <f t="array" aca="1" ref="V18" ca="1">SUM(--(SQRT((Table_Process_Details[[#This Row],[X Mover]]-Table_Process_Details[X Mover])^2+(Table_Process_Details[[#This Row],[Y Mover]]-Table_Process_Details[Y Mover])^2)&lt;Collision_Distance))</f>
        <v>6</v>
      </c>
      <c r="W18" s="26" cm="1">
        <f t="array" aca="1" ref="W1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-6.2565949545032556E-2</v>
      </c>
      <c r="X18" s="26" cm="1">
        <f t="array" aca="1" ref="X1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-0.58066212457522748</v>
      </c>
      <c r="Y18" s="26" cm="1">
        <f t="array" aca="1" ref="Y1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8" s="26">
        <f>0</f>
        <v>0</v>
      </c>
      <c r="AA18" s="26">
        <f>0</f>
        <v>0</v>
      </c>
      <c r="AB1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-5.3290118430505915</v>
      </c>
      <c r="AC18" s="26" cm="1">
        <f t="array" aca="1" ref="AC1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-16.609136132334552</v>
      </c>
      <c r="AD18" s="26">
        <f>MIN(1,COUNTA(Table_Process_Details[[#This Row],[target x]]),COUNTA(Table_Process_Details[[#This Row],[target y]]))*COUNTA(Table_Process_Details[Step Name])</f>
        <v>98</v>
      </c>
      <c r="AE1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10.663244935535518</v>
      </c>
      <c r="AF1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33.205963086466149</v>
      </c>
      <c r="AG1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18" s="26" cm="1">
        <f t="array" aca="1" ref="AH18" ca="1">INDEX(Table_Process_Details[X Mover],MATCH(1,INDEX((Table_Process_Details[Input or Output]="Output")*(Table_Process_Details[Step Name]=Table_Process_Details[[#This Row],[Step Name]])*(Table_Process_Details[[#This Row],[Input or Output]]="Input"),0),0))</f>
        <v>10.21150408293698</v>
      </c>
      <c r="AI18" s="26" cm="1">
        <f t="array" aca="1" ref="AI18" ca="1">INDEX(Table_Process_Details[Y Mover],MATCH(1,INDEX((Table_Process_Details[Input or Output]="Output")*(Table_Process_Details[Step Name]=Table_Process_Details[[#This Row],[Step Name]])*(Table_Process_Details[[#This Row],[Input or Output]]="Input"),0),0))</f>
        <v>29.074212703146806</v>
      </c>
      <c r="AJ18" s="26" t="e">
        <f ca="1">SQRT((Table_Process_Details[[#This Row],[X End (To Node Center)]]-Table_Process_Details[[#This Row],[X Guide]])^2+(Table_Process_Details[[#This Row],[Y End (to Node Center)]]-Table_Process_Details[[#This Row],[Y Guide]])^2)</f>
        <v>#N/A</v>
      </c>
      <c r="AK18" s="26" t="e" cm="1">
        <f t="array" ref="AK18">INDEX(Table_Process_Details[X Mover],MATCH(1,INDEX((Table_Process_Details[Step Name]=Table_Process_Details[[#This Row],[LCA Data Source Subclass]])*(Table_Process_Details[Input or Output]="Output"),0)*(Table_Process_Details[[#This Row],[Input or Output]]="Input"),0))</f>
        <v>#N/A</v>
      </c>
      <c r="AL18" s="26" cm="1">
        <f t="array" aca="1" ref="AL18" ca="1">INDEX(Table_Process_Details[X Mover],MATCH(1,INDEX(((Table_Process_Details[Table Row]=Table_Process_Details[[#This Row],[Table Row]])*(1)),0)*(Table_Process_Details[[#This Row],[Input or Output]]="Input"),0))</f>
        <v>10.658023686101183</v>
      </c>
      <c r="AM18" s="26" t="e" cm="1">
        <f t="array" aca="1" ref="AM18" ca="1">(Table_Process_Details[[#This Row],[X End (To Node Center)]]*Table_Process_Details[[#This Row],[r0]]-Table_Process_Details[[#This Row],[X End (To Node Center)]]*Arrow_Offset+Table_Process_Details[[#This Row],[X Guide]]*Arrow_Offset)/Table_Process_Details[[#This Row],[r0]]</f>
        <v>#N/A</v>
      </c>
      <c r="AN18" s="26" t="e">
        <f>IF(NOT(Table_Process_Details[[#This Row],[Display As]]="None"),Table_Process_Details[[#This Row],[X Start Prefilter]],NA())</f>
        <v>#N/A</v>
      </c>
      <c r="AO18" s="26" t="e">
        <f>IF(NOT(Table_Process_Details[[#This Row],[Display As]]="None"),Table_Process_Details[[#This Row],[X Guide Prefilter]],NA())</f>
        <v>#N/A</v>
      </c>
      <c r="AP18" s="26" t="e">
        <f>IF(NOT(Table_Process_Details[[#This Row],[Display As]]="None"),Table_Process_Details[[#This Row],[X End (to Stop Radius) Prefilter]],NA())</f>
        <v>#N/A</v>
      </c>
      <c r="AQ18" s="26" t="e">
        <f>NA()</f>
        <v>#N/A</v>
      </c>
      <c r="AR18" s="26" t="e" cm="1">
        <f t="array" ref="AR18">INDEX(Table_Process_Details[Y Mover],MATCH(1,INDEX((Table_Process_Details[Step Name]=Table_Process_Details[[#This Row],[LCA Data Source Subclass]])*(Table_Process_Details[Input or Output]="Output"),0)*(Table_Process_Details[[#This Row],[Input or Output]]="Input"),0))</f>
        <v>#N/A</v>
      </c>
      <c r="AS18" s="26" cm="1">
        <f t="array" aca="1" ref="AS18" ca="1">INDEX(Table_Process_Details[Y Mover],MATCH(1,INDEX(((Table_Process_Details[Table Row]=Table_Process_Details[[#This Row],[Table Row]])*(1)),0)*(Table_Process_Details[[#This Row],[Input or Output]]="Input"),0))</f>
        <v>33.218272264669103</v>
      </c>
      <c r="AT18" s="26" t="e" cm="1">
        <f t="array" aca="1" ref="AT18" ca="1">(Table_Process_Details[[#This Row],[Y Guide]]*Arrow_Offset-Table_Process_Details[[#This Row],[Y End (to Node Center)]]*Arrow_Offset+Table_Process_Details[[#This Row],[Y End (to Node Center)]]*Table_Process_Details[[#This Row],[r0]])/Table_Process_Details[[#This Row],[r0]]</f>
        <v>#N/A</v>
      </c>
      <c r="AU18" s="26" t="e">
        <f>IF(NOT(Table_Process_Details[[#This Row],[Display As]]="None"),Table_Process_Details[[#This Row],[Y Start Prefilter]],NA())</f>
        <v>#N/A</v>
      </c>
      <c r="AV18" s="26" t="e">
        <f>IF(NOT(Table_Process_Details[[#This Row],[Display As]]="None"),Table_Process_Details[[#This Row],[Y Guide Prefilter]],NA())</f>
        <v>#N/A</v>
      </c>
      <c r="AW18" s="26" t="e">
        <f>IF(NOT(Table_Process_Details[[#This Row],[Display As]]="None"),Table_Process_Details[[#This Row],[Y End (to Stop Radius) Prefilter]],NA())</f>
        <v>#N/A</v>
      </c>
      <c r="AX18" s="26" t="e">
        <f>NA()</f>
        <v>#N/A</v>
      </c>
      <c r="AY18" s="26" t="e">
        <f>IF(Table_Process_Details[[#This Row],[Display As]]="Real Step",Table_Process_Details[[#This Row],[X Mover]],NA())</f>
        <v>#N/A</v>
      </c>
      <c r="AZ18" s="26" t="e">
        <f>IF(Table_Process_Details[[#This Row],[Display As]]="Real Step",Table_Process_Details[[#This Row],[Y Mover]],NA())</f>
        <v>#N/A</v>
      </c>
      <c r="BA18" s="26" t="e">
        <f>IF(Table_Process_Details[[#This Row],[Display As]]="Raw Material",Table_Process_Details[[#This Row],[X Mover]],NA())</f>
        <v>#N/A</v>
      </c>
      <c r="BB18" s="26" t="e">
        <f>IF(Table_Process_Details[[#This Row],[Display As]]="Raw Material",Table_Process_Details[[#This Row],[Y Mover]],NA())</f>
        <v>#N/A</v>
      </c>
      <c r="BC18" s="26" t="e">
        <f>IF(OR(Table_Process_Details[[#This Row],[Display As]]="Real Step",Table_Process_Details[[#This Row],[Display As]]="Raw Material"),Table_Process_Details[[#This Row],[X Mover]],NA())</f>
        <v>#N/A</v>
      </c>
      <c r="BD18" s="26" t="e">
        <f>IF(OR(Table_Process_Details[[#This Row],[Display As]]="Real Step",Table_Process_Details[[#This Row],[Display As]]="Raw Material"),Table_Process_Details[[#This Row],[Y Mover]],NA())</f>
        <v>#N/A</v>
      </c>
      <c r="BE18" s="22">
        <f>ROW()-ROW(Table_Process_Details[[#Headers],[Table Row]])</f>
        <v>14</v>
      </c>
      <c r="BF18" s="23" t="str" cm="1">
        <f t="array" aca="1" ref="BF18" ca="1">INDEX(Table_Process_Details[Display Name],MATCH(0,IF(Table_Process_Details[Input or Output]="Input",INDEX(COUNTIF(OFFSET(Table_Process_Details[[#Headers],[Unique Process Inputs]],0,0,Table_Process_Details[[#This Row],[Table Row]],1),Table_Process_Details[Display Name]),),""),0))</f>
        <v>reagent Q (organic)</v>
      </c>
      <c r="BG18" s="23">
        <f ca="1">Table_Process_Details[[#This Row],[Physical Mass (kg)]]*Table_Process_Details[[#This Row],[Step Scale Factor for 1kg Packaged API]]</f>
        <v>2.227025808275596</v>
      </c>
      <c r="BH1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8" s="23">
        <f ca="1">MATCH(Table_Process_Details[[#This Row],[LCA Data Source Class]],INDIRECT(Table_Process_Details[[#This Row],[Input or Output]]),0)</f>
        <v>2</v>
      </c>
      <c r="BJ18" s="23">
        <f ca="1">MATCH(Table_Process_Details[[#This Row],[LCA Data Source Subclass]],INDIRECT(Table_Process_Details[[#This Row],[LCA Data Source Class]]&amp;"[Name]"),0)</f>
        <v>64</v>
      </c>
      <c r="BK18" s="23">
        <f ca="1">IFERROR(INDEX(INDIRECT(Table_Process_Details[[#This Row],[LCA Data Source Class]]&amp;"[Mass Net (kg)]"),MATCH(Table_Process_Details[[#This Row],[LCA Data Source Subclass]],INDIRECT(Table_Process_Details[[#This Row],[LCA Data Source Class]]&amp;"[Name]"),0)),0)</f>
        <v>1.5302652999999999E-3</v>
      </c>
      <c r="BL18" s="23">
        <f ca="1">IFERROR(INDEX(INDIRECT(Table_Process_Details[[#This Row],[LCA Data Source Class]]&amp;"[Energy (MJ)]"),MATCH(Table_Process_Details[[#This Row],[LCA Data Source Subclass]],INDIRECT(Table_Process_Details[[#This Row],[LCA Data Source Class]]&amp;"[Name]"),0)),0)</f>
        <v>1.9058192000000002E-2</v>
      </c>
      <c r="BM18" s="23">
        <f ca="1">IFERROR(INDEX(INDIRECT(Table_Process_Details[[#This Row],[LCA Data Source Class]]&amp;"[GWP (kg CO2 equiv.)]"),MATCH(Table_Process_Details[[#This Row],[LCA Data Source Subclass]],INDIRECT(Table_Process_Details[[#This Row],[LCA Data Source Class]]&amp;"[Name]"),0)),0)</f>
        <v>1.015742E-3</v>
      </c>
      <c r="BN18" s="23">
        <f ca="1">IFERROR(INDEX(INDIRECT(Table_Process_Details[[#This Row],[LCA Data Source Class]]&amp;"[Acidification (kg SO2 equiv.)]"),MATCH(Table_Process_Details[[#This Row],[LCA Data Source Subclass]],INDIRECT(Table_Process_Details[[#This Row],[LCA Data Source Class]]&amp;"[Name]"),0)),0)</f>
        <v>3.8914349999999996E-6</v>
      </c>
      <c r="BO18" s="23">
        <f ca="1">IFERROR(INDEX(INDIRECT(Table_Process_Details[[#This Row],[LCA Data Source Class]]&amp;"[Eutrophication (kg posphate equiv.)]"),MATCH(Table_Process_Details[[#This Row],[LCA Data Source Subclass]],INDIRECT(Table_Process_Details[[#This Row],[LCA Data Source Class]]&amp;"[Name]"),0)),0)</f>
        <v>2.3181694000000001E-6</v>
      </c>
      <c r="BP18" s="23">
        <f ca="1">IFERROR(INDEX(INDIRECT(Table_Process_Details[[#This Row],[LCA Data Source Class]]&amp;"[Water (kg)]"),MATCH(Table_Process_Details[[#This Row],[LCA Data Source Subclass]],INDIRECT(Table_Process_Details[[#This Row],[LCA Data Source Class]]&amp;"[Name]"),0)),0)</f>
        <v>1.2633490999999999</v>
      </c>
      <c r="BQ18" s="27">
        <f ca="1">(Table_Process_Details[[#This Row],[Input or Output]]="Input")*(Table_Process_Details[[#This Row],[LCA Data Source Class]]&lt;&gt;"Process_Steps")*Table_Process_Details[[#This Row],[Scaled Physical Mass per kg API for All Inputs &amp; Outputs]]</f>
        <v>2.227025808275596</v>
      </c>
      <c r="BR18" s="27">
        <f ca="1">(Table_Process_Details[[#This Row],[Material Class]]="REAGENT")*Table_Process_Details[[#This Row],[Physical Mass per kg API]]</f>
        <v>0</v>
      </c>
      <c r="BS18" s="27">
        <f ca="1">(Table_Process_Details[[#This Row],[Material Class]]="METAL")*Table_Process_Details[[#This Row],[Physical Mass per kg API]]</f>
        <v>0</v>
      </c>
      <c r="BT18" s="27">
        <f ca="1">(Table_Process_Details[[#This Row],[Material Class]]="SOLVENT")*Table_Process_Details[[#This Row],[Physical Mass per kg API]]</f>
        <v>0</v>
      </c>
      <c r="BU18" s="27">
        <f ca="1">(Table_Process_Details[[#This Row],[Material Class]]="WATER")*Table_Process_Details[[#This Row],[Physical Mass per kg API]]</f>
        <v>2.227025808275596</v>
      </c>
      <c r="BV18" s="27">
        <f ca="1">(Table_Process_Details[[#This Row],[Material Class]]="ENZ&amp;PLNT")*Table_Process_Details[[#This Row],[Physical Mass per kg API]]</f>
        <v>0</v>
      </c>
      <c r="BW18" s="27">
        <f ca="1">(Table_Process_Details[[#This Row],[Material Class]]="OTHER")*Table_Process_Details[[#This Row],[Physical Mass per kg API]]</f>
        <v>0</v>
      </c>
      <c r="BX1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8" s="1">
        <f ca="1">SUMIFS(Table_Process_Details[RV Physical Mass per kg API],Table_Process_Details[Display Name],Table_Process_Details[[#This Row],[Unique Process Inputs]],Table_Process_Details[Input or Output],"Input")</f>
        <v>6.990102555686355E-4</v>
      </c>
      <c r="CF18" s="1">
        <f ca="1">SUMIFS(Table_Process_Details[RV Physical Mass per kg API (REAGENT)],Table_Process_Details[Display Name],Table_Process_Details[[#This Row],[Unique Process Inputs]],Table_Process_Details[Input or Output],"Input")</f>
        <v>6.990102555686355E-4</v>
      </c>
      <c r="CG18" s="1">
        <f ca="1">SUMIFS(Table_Process_Details[RV Physical Mass per kg API (METAL)],Table_Process_Details[Display Name],Table_Process_Details[[#This Row],[Unique Process Inputs]],Table_Process_Details[Input or Output],"Input")</f>
        <v>0</v>
      </c>
      <c r="CH18" s="1">
        <f ca="1">SUMIFS(Table_Process_Details[RV Physical Mass per kg API (SOLVENT)],Table_Process_Details[Display Name],Table_Process_Details[[#This Row],[Unique Process Inputs]],Table_Process_Details[Input or Output],"Input")</f>
        <v>0</v>
      </c>
      <c r="CI18" s="1">
        <f ca="1">SUMIFS(Table_Process_Details[RV Physical Mass per kg API (WATER)],Table_Process_Details[Display Name],Table_Process_Details[[#This Row],[Unique Process Inputs]],Table_Process_Details[Input or Output],"Input")</f>
        <v>0</v>
      </c>
      <c r="CJ18" s="1">
        <f ca="1">SUMIFS(Table_Process_Details[RV Physical Mass per kg API (ENZ&amp;PLNT)],Table_Process_Details[Display Name],Table_Process_Details[[#This Row],[Unique Process Inputs]],Table_Process_Details[Input or Output],"Input")</f>
        <v>0</v>
      </c>
      <c r="CK18" s="1">
        <f ca="1">SUMIFS(Table_Process_Details[RV Physical Mass per kg API (OTHER)],Table_Process_Details[Display Name],Table_Process_Details[[#This Row],[Unique Process Inputs]],Table_Process_Details[Input or Output],"Input")</f>
        <v>0</v>
      </c>
      <c r="CL18" s="22" t="str">
        <f ca="1">INDEX(Table_Process_Details[Unique Process Inputs],MATCH(Table_Process_Details[[#This Row],['[Physical Mass per kg API'] of Unique Inputs Sorted by '[Physical Mass per kg API']]],Table_Process_Details[Total '[Physical Mass per kg API'] of Unique Inputs],0))</f>
        <v>25 wt% reagent I (organic) in DMF</v>
      </c>
      <c r="CM18" s="22">
        <f ca="1">IF(LARGE(Table_Process_Details[Total '[Physical Mass per kg API'] of Unique Inputs],Table_Process_Details[[#This Row],[Table Row]])=0,NA(),LARGE(Table_Process_Details[Total '[Physical Mass per kg API'] of Unique Inputs],Table_Process_Details[[#This Row],[Table Row]]))</f>
        <v>2.202238942925324</v>
      </c>
      <c r="CN18" s="22">
        <f ca="1">SUM(OFFSET(Table_Process_Details['[Physical Mass per kg API'] of Unique Inputs Sorted by '[Physical Mass per kg API']],0,0,Table_Process_Details[[#This Row],[Table Row]]))</f>
        <v>137.827301135396</v>
      </c>
      <c r="CO18" s="22" t="str">
        <f ca="1">"("&amp;TEXT(Table_Process_Details[[#This Row],['[Physical Mass per kg API'] of Unique Inputs Sorted by '[Physical Mass per kg API']]]/SUMIF(Table_Process_Details['[Physical Mass per kg API'] of Unique Inputs Sorted by '[Physical Mass per kg API']],"&lt;&gt;#N/A"),"0%")&amp;")"</f>
        <v>(1%)</v>
      </c>
      <c r="CP18" s="22">
        <f ca="1">INDEX(Table_Process_Details[Total '[Physical Mass per kg API'] of Unique Inputs (REAGENT)],MATCH(Table_Process_Details[[#This Row],[Unique Inputs Sorted by '[Physical Mass per kg API']]],Table_Process_Details[Unique Process Inputs],0))</f>
        <v>0.55055973573133099</v>
      </c>
      <c r="CQ18" s="22">
        <f ca="1">INDEX(Table_Process_Details[Total '[Physical Mass per kg API'] of Unique Inputs (METAL)],MATCH(Table_Process_Details[[#This Row],[Unique Inputs Sorted by '[Physical Mass per kg API']]],Table_Process_Details[Unique Process Inputs],0))</f>
        <v>0</v>
      </c>
      <c r="CR18" s="22">
        <f ca="1">INDEX(Table_Process_Details[Total '[Physical Mass per kg API'] of Unique Inputs (SOLVENT)],MATCH(Table_Process_Details[[#This Row],[Unique Inputs Sorted by '[Physical Mass per kg API']]],Table_Process_Details[Unique Process Inputs],0))</f>
        <v>1.6516792071939932</v>
      </c>
      <c r="CS18" s="22">
        <f ca="1">INDEX(Table_Process_Details[Total '[Physical Mass per kg API'] of Unique Inputs (WATER)],MATCH(Table_Process_Details[[#This Row],[Unique Inputs Sorted by '[Physical Mass per kg API']]],Table_Process_Details[Unique Process Inputs],0))</f>
        <v>0</v>
      </c>
      <c r="CT18" s="22">
        <f ca="1">INDEX(Table_Process_Details[Total '[Physical Mass per kg API'] of Unique Inputs (ENZ&amp;PLNT)],MATCH(Table_Process_Details[[#This Row],[Unique Inputs Sorted by '[Physical Mass per kg API']]],Table_Process_Details[Unique Process Inputs],0))</f>
        <v>0</v>
      </c>
      <c r="CU18" s="22">
        <f ca="1">INDEX(Table_Process_Details[Total '[Physical Mass per kg API'] of Unique Inputs (OTHER)],MATCH(Table_Process_Details[[#This Row],[Unique Inputs Sorted by '[Physical Mass per kg API']]],Table_Process_Details[Unique Process Inputs],0))</f>
        <v>0</v>
      </c>
      <c r="CV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8" s="22">
        <f ca="1">SUMIFS(Table_Process_Details[RV Mass Net (kg) per kg API],Table_Process_Details[Display Name],Table_Process_Details[[#This Row],[Unique Process Inputs]],Table_Process_Details[Input or Output],"Input")</f>
        <v>1.4582198457313538E-3</v>
      </c>
      <c r="DD18" s="22">
        <f ca="1">SUMIFS(Table_Process_Details[RV Mass Net (kg) per kg API (REAGENT)],Table_Process_Details[Display Name],Table_Process_Details[[#This Row],[Unique Process Inputs]],Table_Process_Details[Input or Output],"Input")</f>
        <v>1.4582198457313538E-3</v>
      </c>
      <c r="DE18" s="22">
        <f ca="1">SUMIFS(Table_Process_Details[RV Mass Net (kg) per kg API (METAL)],Table_Process_Details[Display Name],Table_Process_Details[[#This Row],[Unique Process Inputs]],Table_Process_Details[Input or Output],"Input")</f>
        <v>0</v>
      </c>
      <c r="DF18" s="22">
        <f ca="1">SUMIFS(Table_Process_Details[RV Mass Net (kg) per kg API (SOLVENT)],Table_Process_Details[Display Name],Table_Process_Details[[#This Row],[Unique Process Inputs]],Table_Process_Details[Input or Output],"Input")</f>
        <v>0</v>
      </c>
      <c r="DG18" s="22">
        <f ca="1">SUMIFS(Table_Process_Details[RV Mass Net (kg) per kg API (WATER)],Table_Process_Details[Display Name],Table_Process_Details[[#This Row],[Unique Process Inputs]],Table_Process_Details[Input or Output],"Input")</f>
        <v>0</v>
      </c>
      <c r="DH18" s="22">
        <f ca="1">SUMIFS(Table_Process_Details[RV Mass Net (kg) per kg API (ENZ&amp;PLNT)],Table_Process_Details[Display Name],Table_Process_Details[[#This Row],[Unique Process Inputs]],Table_Process_Details[Input or Output],"Input")</f>
        <v>0</v>
      </c>
      <c r="DI18" s="22">
        <f ca="1">SUMIFS(Table_Process_Details[RV Mass Net (kg) per kg API (OTHER)],Table_Process_Details[Display Name],Table_Process_Details[[#This Row],[Unique Process Inputs]],Table_Process_Details[Input or Output],"Input")</f>
        <v>0</v>
      </c>
      <c r="DJ18" s="22" t="str">
        <f ca="1">INDEX(Table_Process_Details[Unique Process Inputs],MATCH(Table_Process_Details[[#This Row],['[Mass Net (kg) per kg API'] of Unique Inputs Sorted by '[Mass Net (kg) per kg API']]],Table_Process_Details[Total '[Mass Net (kg) per kg API'] of Unique Inputs],0))</f>
        <v>20 wt% reagent J (inorganic) in water</v>
      </c>
      <c r="DK18" s="22">
        <f ca="1">IF(LARGE(Table_Process_Details[Total '[Mass Net (kg) per kg API'] of Unique Inputs],Table_Process_Details[[#This Row],[Table Row]])=0,NA(),LARGE(Table_Process_Details[Total '[Mass Net (kg) per kg API'] of Unique Inputs],Table_Process_Details[[#This Row],[Table Row]]))</f>
        <v>1.2883183560573552</v>
      </c>
      <c r="DL18" s="22">
        <f ca="1">SUM(OFFSET(Table_Process_Details['[Mass Net (kg) per kg API'] of Unique Inputs Sorted by '[Mass Net (kg) per kg API']],0,0,Table_Process_Details[[#This Row],[Table Row]]))</f>
        <v>123.12453644238401</v>
      </c>
      <c r="DM18" s="22" t="str">
        <f ca="1">"("&amp;TEXT(Table_Process_Details[[#This Row],['[Mass Net (kg) per kg API'] of Unique Inputs Sorted by '[Mass Net (kg) per kg API']]]/SUMIF(Table_Process_Details['[Mass Net (kg) per kg API'] of Unique Inputs Sorted by '[Mass Net (kg) per kg API']],"&lt;&gt;#N/A"),"0%")&amp;")"</f>
        <v>(1%)</v>
      </c>
      <c r="DN18" s="22">
        <f ca="1">INDEX(Table_Process_Details[Total '[Mass Net (kg) per kg API'] of Unique Inputs (REAGENT)], MATCH(Table_Process_Details[[#This Row],[Unique Inputs Sorted by '[Mass Net (kg) per kg API']]],Table_Process_Details[Unique Process Inputs],0))</f>
        <v>1.2830435580521369</v>
      </c>
      <c r="DO18" s="22">
        <f ca="1">INDEX(Table_Process_Details[Total '[Mass Net (kg) per kg API'] of Unique Inputs (METAL)], MATCH(Table_Process_Details[[#This Row],[Unique Inputs Sorted by '[Mass Net (kg) per kg API']]],Table_Process_Details[Unique Process Inputs],0))</f>
        <v>0</v>
      </c>
      <c r="DP18" s="22">
        <f ca="1">INDEX(Table_Process_Details[Total '[Mass Net (kg) per kg API'] of Unique Inputs (SOLVENT)], MATCH(Table_Process_Details[[#This Row],[Unique Inputs Sorted by '[Mass Net (kg) per kg API']]],Table_Process_Details[Unique Process Inputs],0))</f>
        <v>0</v>
      </c>
      <c r="DQ18" s="22">
        <f ca="1">INDEX(Table_Process_Details[Total '[Mass Net (kg) per kg API'] of Unique Inputs (WATER)], MATCH(Table_Process_Details[[#This Row],[Unique Inputs Sorted by '[Mass Net (kg) per kg API']]],Table_Process_Details[Unique Process Inputs],0))</f>
        <v>5.2747980052183533E-3</v>
      </c>
      <c r="DR18" s="22">
        <f ca="1">INDEX(Table_Process_Details[Total '[Mass Net (kg) per kg API'] of Unique Inputs (ENZ&amp;PLNT)], MATCH(Table_Process_Details[[#This Row],[Unique Inputs Sorted by '[Mass Net (kg) per kg API']]],Table_Process_Details[Unique Process Inputs],0))</f>
        <v>0</v>
      </c>
      <c r="DS18" s="22">
        <f ca="1">INDEX(Table_Process_Details[Total '[Mass Net (kg) per kg API'] of Unique Inputs (OTHER)], MATCH(Table_Process_Details[[#This Row],[Unique Inputs Sorted by '[Mass Net (kg) per kg API']]],Table_Process_Details[Unique Process Inputs],0))</f>
        <v>0</v>
      </c>
      <c r="DT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8" s="1">
        <f ca="1">SUMIFS(Table_Process_Details[RV Energy (MJ) per kg API],Table_Process_Details[Display Name],Table_Process_Details[[#This Row],[Unique Process Inputs]],Table_Process_Details[Input or Output],"Input")</f>
        <v>5.2333002547036288E-2</v>
      </c>
      <c r="EB18" s="1">
        <f ca="1">SUMIFS(Table_Process_Details[RV Energy (MJ) per kg API (REAGENT)],Table_Process_Details[Display Name],Table_Process_Details[[#This Row],[Unique Process Inputs]],Table_Process_Details[Input or Output],"Input")</f>
        <v>5.2333002547036288E-2</v>
      </c>
      <c r="EC18" s="1">
        <f ca="1">SUMIFS(Table_Process_Details[RV Energy (MJ) per kg API (METAL)],Table_Process_Details[Display Name],Table_Process_Details[[#This Row],[Unique Process Inputs]],Table_Process_Details[Input or Output],"Input")</f>
        <v>0</v>
      </c>
      <c r="ED18" s="1">
        <f ca="1">SUMIFS(Table_Process_Details[RV Energy (MJ) per kg API (SOLVENT)],Table_Process_Details[Display Name],Table_Process_Details[[#This Row],[Unique Process Inputs]],Table_Process_Details[Input or Output],"Input")</f>
        <v>0</v>
      </c>
      <c r="EE18" s="1">
        <f ca="1">SUMIFS(Table_Process_Details[RV Energy (MJ) per kg API (WATER)],Table_Process_Details[Display Name],Table_Process_Details[[#This Row],[Unique Process Inputs]],Table_Process_Details[Input or Output],"Input")</f>
        <v>0</v>
      </c>
      <c r="EF18" s="1">
        <f ca="1">SUMIFS(Table_Process_Details[RV Energy (MJ) per kg API (ENZ&amp;PLNT)],Table_Process_Details[Display Name],Table_Process_Details[[#This Row],[Unique Process Inputs]],Table_Process_Details[Input or Output],"Input")</f>
        <v>0</v>
      </c>
      <c r="EG18" s="1">
        <f ca="1">SUMIFS(Table_Process_Details[RV Energy (MJ) per kg API (OTHER)],Table_Process_Details[Display Name],Table_Process_Details[[#This Row],[Unique Process Inputs]],Table_Process_Details[Input or Output],"Input")</f>
        <v>0</v>
      </c>
      <c r="EH18" s="1" t="str">
        <f ca="1">INDEX(Table_Process_Details[Unique Process Inputs],MATCH(Table_Process_Details[[#This Row],['[Energy (MJ) per kg API'] of Unique Inputs Sorted by '[Energy (MJ) per kg API']]],Table_Process_Details[Total '[Energy (MJ) per kg API'] of Unique Inputs],0))</f>
        <v>reagent P (organic)</v>
      </c>
      <c r="EI18" s="22">
        <f ca="1">IF(LARGE(Table_Process_Details[Total '[Energy (MJ) per kg API'] of Unique Inputs],Table_Process_Details[[#This Row],[Table Row]])=0,NA(),LARGE(Table_Process_Details[Total '[Energy (MJ) per kg API'] of Unique Inputs],Table_Process_Details[[#This Row],[Table Row]]))</f>
        <v>15.699900764110884</v>
      </c>
      <c r="EJ18" s="22">
        <f ca="1">SUM(OFFSET(Table_Process_Details['[Energy (MJ) per kg API'] of Unique Inputs Sorted by '[Energy (MJ) per kg API']],0,0,Table_Process_Details[[#This Row],[Table Row]]))</f>
        <v>5001.8701187863835</v>
      </c>
      <c r="EK18" s="22" t="str">
        <f ca="1">"("&amp;TEXT(Table_Process_Details[[#This Row],['[Energy (MJ) per kg API'] of Unique Inputs Sorted by '[Energy (MJ) per kg API']]]/SUMIF(Table_Process_Details['[Energy (MJ) per kg API'] of Unique Inputs Sorted by '[Energy (MJ) per kg API']],"&lt;&gt;#N/A"),"0%")&amp;")"</f>
        <v>(0%)</v>
      </c>
      <c r="EL18" s="22">
        <f ca="1">INDEX(Table_Process_Details[Total '[Energy (MJ) per kg API'] of Unique Inputs (REAGENT)], MATCH(Table_Process_Details[[#This Row],[Unique Inputs Sorted by '[Energy (MJ) per kg API']]],Table_Process_Details[Unique Process Inputs],0))</f>
        <v>15.699900764110884</v>
      </c>
      <c r="EM18" s="22">
        <f ca="1">INDEX(Table_Process_Details[Total '[Energy (MJ) per kg API'] of Unique Inputs (METAL)], MATCH(Table_Process_Details[[#This Row],[Unique Inputs Sorted by '[Energy (MJ) per kg API']]],Table_Process_Details[Unique Process Inputs],0))</f>
        <v>0</v>
      </c>
      <c r="EN18" s="22">
        <f ca="1">INDEX(Table_Process_Details[Total '[Energy (MJ) per kg API'] of Unique Inputs (SOLVENT)], MATCH(Table_Process_Details[[#This Row],[Unique Inputs Sorted by '[Energy (MJ) per kg API']]],Table_Process_Details[Unique Process Inputs],0))</f>
        <v>0</v>
      </c>
      <c r="EO18" s="22">
        <f ca="1">INDEX(Table_Process_Details[Total '[Energy (MJ) per kg API'] of Unique Inputs (WATER)], MATCH(Table_Process_Details[[#This Row],[Unique Inputs Sorted by '[Energy (MJ) per kg API']]],Table_Process_Details[Unique Process Inputs],0))</f>
        <v>0</v>
      </c>
      <c r="EP18" s="22">
        <f ca="1">INDEX(Table_Process_Details[Total '[Energy (MJ) per kg API'] of Unique Inputs (ENZ&amp;PLNT)], MATCH(Table_Process_Details[[#This Row],[Unique Inputs Sorted by '[Energy (MJ) per kg API']]],Table_Process_Details[Unique Process Inputs],0))</f>
        <v>0</v>
      </c>
      <c r="EQ18" s="22">
        <f ca="1">INDEX(Table_Process_Details[Total '[Energy (MJ) per kg API'] of Unique Inputs (OTHER)], MATCH(Table_Process_Details[[#This Row],[Unique Inputs Sorted by '[Energy (MJ) per kg API']]],Table_Process_Details[Unique Process Inputs],0))</f>
        <v>0</v>
      </c>
      <c r="ER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8" s="22">
        <f ca="1">SUMIFS(Table_Process_Details[RV GWP (kg CO2 equiv.) per kg API],Table_Process_Details[Display Name],Table_Process_Details[[#This Row],[Unique Process Inputs]],Table_Process_Details[Input or Output],"Input")</f>
        <v>1.8344850002595032E-3</v>
      </c>
      <c r="EZ18" s="1">
        <f ca="1">SUMIFS(Table_Process_Details[RV GWP (kg CO2 equiv.) per kg API (REAGENT)],Table_Process_Details[Display Name],Table_Process_Details[[#This Row],[Unique Process Inputs]],Table_Process_Details[Input or Output],"Input")</f>
        <v>1.8344850002595032E-3</v>
      </c>
      <c r="FA18" s="1">
        <f ca="1">SUMIFS(Table_Process_Details[RV GWP (kg CO2 equiv.) per kg API (METAL)],Table_Process_Details[Display Name],Table_Process_Details[[#This Row],[Unique Process Inputs]],Table_Process_Details[Input or Output],"Input")</f>
        <v>0</v>
      </c>
      <c r="FB18" s="1">
        <f ca="1">SUMIFS(Table_Process_Details[RV GWP (kg CO2 equiv.) per kg API (SOLVENT)],Table_Process_Details[Display Name],Table_Process_Details[[#This Row],[Unique Process Inputs]],Table_Process_Details[Input or Output],"Input")</f>
        <v>0</v>
      </c>
      <c r="FC18" s="1">
        <f ca="1">SUMIFS(Table_Process_Details[RV GWP (kg CO2 equiv.) per kg API (WATER)],Table_Process_Details[Display Name],Table_Process_Details[[#This Row],[Unique Process Inputs]],Table_Process_Details[Input or Output],"Input")</f>
        <v>0</v>
      </c>
      <c r="FD18" s="1">
        <f ca="1">SUMIFS(Table_Process_Details[RV GWP (kg CO2 equiv.) per kg API (ENZ&amp;PLNT)],Table_Process_Details[Display Name],Table_Process_Details[[#This Row],[Unique Process Inputs]],Table_Process_Details[Input or Output],"Input")</f>
        <v>0</v>
      </c>
      <c r="FE18" s="1">
        <f ca="1">SUMIFS(Table_Process_Details[RV GWP (kg CO2 equiv.) per kg API (OTHER)],Table_Process_Details[Display Name],Table_Process_Details[[#This Row],[Unique Process Inputs]],Table_Process_Details[Input or Output],"Input")</f>
        <v>0</v>
      </c>
      <c r="FF18" s="22" t="str">
        <f ca="1">INDEX(Table_Process_Details[Unique Process Inputs],MATCH(Table_Process_Details[[#This Row],['[GWP (kg CO2 equiv.) per kg API'] of Unique Inputs Sorted by '[GWP (kg CO2 equiv.) per kg API']]],Table_Process_Details[Total '[GWP (kg CO2 equiv.) per kg API'] of Unique Inputs],0))</f>
        <v>20 wt% reagent J (inorganic) in water</v>
      </c>
      <c r="FG18" s="22">
        <f ca="1">IF(LARGE(Table_Process_Details[Total '[GWP (kg CO2 equiv.) per kg API'] of Unique Inputs],Table_Process_Details[[#This Row],[Table Row]])=0,NA(),LARGE(Table_Process_Details[Total '[GWP (kg CO2 equiv.) per kg API'] of Unique Inputs],Table_Process_Details[[#This Row],[Table Row]]))</f>
        <v>1.330015084889929</v>
      </c>
      <c r="FH18" s="22">
        <f ca="1">SUM(OFFSET(Table_Process_Details['[GWP (kg CO2 equiv.) per kg API'] of Unique Inputs Sorted by '[GWP (kg CO2 equiv.) per kg API']],0,0,Table_Process_Details[[#This Row],[Table Row]]))</f>
        <v>152.12906496681327</v>
      </c>
      <c r="FI18" s="22" t="str">
        <f ca="1">"("&amp;TEXT(Table_Process_Details[[#This Row],['[GWP (kg CO2 equiv.) per kg API'] of Unique Inputs Sorted by '[GWP (kg CO2 equiv.) per kg API']]]/SUMIF(Table_Process_Details['[GWP (kg CO2 equiv.) per kg API'] of Unique Inputs Sorted by '[GWP (kg CO2 equiv.) per kg API']],"&lt;&gt;#N/A"),"0%")&amp;")"</f>
        <v>(1%)</v>
      </c>
      <c r="FJ18" s="22">
        <f ca="1">INDEX(Table_Process_Details[Total '[GWP (kg CO2 equiv.) per kg API'] of Unique Inputs (REAGENT)], MATCH(Table_Process_Details[[#This Row],[Unique Inputs Sorted by '[GWP (kg CO2 equiv.) per kg API']]],Table_Process_Details[Unique Process Inputs],0))</f>
        <v>1.3265138397950973</v>
      </c>
      <c r="FK18" s="22">
        <f ca="1">INDEX(Table_Process_Details[Total '[GWP (kg CO2 equiv.) per kg API'] of Unique Inputs (METAL)], MATCH(Table_Process_Details[[#This Row],[Unique Inputs Sorted by '[GWP (kg CO2 equiv.) per kg API']]],Table_Process_Details[Unique Process Inputs],0))</f>
        <v>0</v>
      </c>
      <c r="FL18" s="22">
        <f ca="1">INDEX(Table_Process_Details[Total '[GWP (kg CO2 equiv.) per kg API'] of Unique Inputs (SOLVENT)], MATCH(Table_Process_Details[[#This Row],[Unique Inputs Sorted by '[GWP (kg CO2 equiv.) per kg API']]],Table_Process_Details[Unique Process Inputs],0))</f>
        <v>0</v>
      </c>
      <c r="FM18" s="22">
        <f ca="1">INDEX(Table_Process_Details[Total '[GWP (kg CO2 equiv.) per kg API'] of Unique Inputs (WATER)], MATCH(Table_Process_Details[[#This Row],[Unique Inputs Sorted by '[GWP (kg CO2 equiv.) per kg API']]],Table_Process_Details[Unique Process Inputs],0))</f>
        <v>3.5012450948319227E-3</v>
      </c>
      <c r="FN18" s="22">
        <f ca="1">INDEX(Table_Process_Details[Total '[GWP (kg CO2 equiv.) per kg API'] of Unique Inputs (ENZ&amp;PLNT)], MATCH(Table_Process_Details[[#This Row],[Unique Inputs Sorted by '[GWP (kg CO2 equiv.) per kg API']]],Table_Process_Details[Unique Process Inputs],0))</f>
        <v>0</v>
      </c>
      <c r="FO18" s="22">
        <f ca="1">INDEX(Table_Process_Details[Total '[GWP (kg CO2 equiv.) per kg API'] of Unique Inputs (OTHER)], MATCH(Table_Process_Details[[#This Row],[Unique Inputs Sorted by '[GWP (kg CO2 equiv.) per kg API']]],Table_Process_Details[Unique Process Inputs],0))</f>
        <v>0</v>
      </c>
      <c r="FP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8" s="22">
        <f ca="1">SUMIFS(Table_Process_Details[RV Acidification (kg SO2 equiv.) per kg API],Table_Process_Details[Display Name],Table_Process_Details[[#This Row],[Unique Process Inputs]],Table_Process_Details[Input or Output],"Input")</f>
        <v>7.845071606153624E-6</v>
      </c>
      <c r="FX18" s="1">
        <f ca="1">SUMIFS(Table_Process_Details[RV Acidification (kg SO2 equiv.) per kg API (REAGENT)],Table_Process_Details[Display Name],Table_Process_Details[[#This Row],[Unique Process Inputs]],Table_Process_Details[Input or Output],"Input")</f>
        <v>7.845071606153624E-6</v>
      </c>
      <c r="FY18" s="1">
        <f ca="1">SUMIFS(Table_Process_Details[RV Acidification (kg SO2 equiv.) per kg API (METAL)],Table_Process_Details[Display Name],Table_Process_Details[[#This Row],[Unique Process Inputs]],Table_Process_Details[Input or Output],"Input")</f>
        <v>0</v>
      </c>
      <c r="FZ18" s="1">
        <f ca="1">SUMIFS(Table_Process_Details[RV Acidification (kg SO2 equiv.) per kg API (SOLVENT)],Table_Process_Details[Display Name],Table_Process_Details[[#This Row],[Unique Process Inputs]],Table_Process_Details[Input or Output],"Input")</f>
        <v>0</v>
      </c>
      <c r="GA18" s="1">
        <f ca="1">SUMIFS(Table_Process_Details[RV Acidification (kg SO2 equiv.) per kg API (WATER)],Table_Process_Details[Display Name],Table_Process_Details[[#This Row],[Unique Process Inputs]],Table_Process_Details[Input or Output],"Input")</f>
        <v>0</v>
      </c>
      <c r="GB18" s="1">
        <f ca="1">SUMIFS(Table_Process_Details[RV Acidification (kg SO2 equiv.) per kg API (ENZ&amp;PLNT)],Table_Process_Details[Display Name],Table_Process_Details[[#This Row],[Unique Process Inputs]],Table_Process_Details[Input or Output],"Input")</f>
        <v>0</v>
      </c>
      <c r="GC18" s="1">
        <f ca="1">SUMIFS(Table_Process_Details[RV Acidification (kg SO2 equiv.) per kg API (OTHER)],Table_Process_Details[Display Name],Table_Process_Details[[#This Row],[Unique Process Inputs]],Table_Process_Details[Input or Output],"Input")</f>
        <v>0</v>
      </c>
      <c r="GD18"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15 wt% reagent K (inorganic) in water</v>
      </c>
      <c r="GE18" s="22">
        <f ca="1">IF(LARGE(Table_Process_Details[Total '[Acidification (kg SO2 equiv.) per kg API'] of Unique Inputs],Table_Process_Details[[#This Row],[Table Row]])=0,NA(),LARGE(Table_Process_Details[Total '[Acidification (kg SO2 equiv.) per kg API'] of Unique Inputs],Table_Process_Details[[#This Row],[Table Row]]))</f>
        <v>1.1497381463112508E-2</v>
      </c>
      <c r="GF18" s="22">
        <f ca="1">SUM(OFFSET(Table_Process_Details['[Acidification (kg SO2 equiv.) per kg API'] of Unique Inputs Sorted by '[Acidification (kg SO2 equiv.) per kg API']],0,0,Table_Process_Details[[#This Row],[Table Row]]))</f>
        <v>0.6232852908115738</v>
      </c>
      <c r="GG18"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(2%)</v>
      </c>
      <c r="GH18" s="22">
        <f ca="1">INDEX(Table_Process_Details[Total '[Acidification (kg SO2 equiv.) per kg API'] of Unique Inputs (REAGENT)], MATCH(Table_Process_Details[[#This Row],[Unique Inputs Sorted by '[Acidification (kg SO2 equiv.) per kg API']]],Table_Process_Details[Unique Process Inputs],0))</f>
        <v>1.1479170489998174E-2</v>
      </c>
      <c r="GI18" s="22">
        <f ca="1">INDEX(Table_Process_Details[Total '[Acidification (kg SO2 equiv.) per kg API'] of Unique Inputs (METAL)], MATCH(Table_Process_Details[[#This Row],[Unique Inputs Sorted by '[Acidification (kg SO2 equiv.) per kg API']]],Table_Process_Details[Unique Process Inputs],0))</f>
        <v>0</v>
      </c>
      <c r="GJ18" s="22">
        <f ca="1">INDEX(Table_Process_Details[Total '[Acidification (kg SO2 equiv.) per kg API'] of Unique Inputs (SOLVENT)], MATCH(Table_Process_Details[[#This Row],[Unique Inputs Sorted by '[Acidification (kg SO2 equiv.) per kg API']]],Table_Process_Details[Unique Process Inputs],0))</f>
        <v>0</v>
      </c>
      <c r="GK18" s="22">
        <f ca="1">INDEX(Table_Process_Details[Total '[Acidification (kg SO2 equiv.) per kg API'] of Unique Inputs (WATER)], MATCH(Table_Process_Details[[#This Row],[Unique Inputs Sorted by '[Acidification (kg SO2 equiv.) per kg API']]],Table_Process_Details[Unique Process Inputs],0))</f>
        <v>1.8210973114332916E-5</v>
      </c>
      <c r="GL18" s="22">
        <f ca="1">INDEX(Table_Process_Details[Total '[Acidification (kg SO2 equiv.) per kg API'] of Unique Inputs (ENZ&amp;PLNT)], MATCH(Table_Process_Details[[#This Row],[Unique Inputs Sorted by '[Acidification (kg SO2 equiv.) per kg API']]],Table_Process_Details[Unique Process Inputs],0))</f>
        <v>0</v>
      </c>
      <c r="GM18" s="22">
        <f ca="1">INDEX(Table_Process_Details[Total '[Acidification (kg SO2 equiv.) per kg API'] of Unique Inputs (OTHER)], MATCH(Table_Process_Details[[#This Row],[Unique Inputs Sorted by '[Acidification (kg SO2 equiv.) per kg API']]],Table_Process_Details[Unique Process Inputs],0))</f>
        <v>0</v>
      </c>
      <c r="GN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8" s="22">
        <f ca="1">SUMIFS(Table_Process_Details[RV Eutrophication (kg phosphate equiv.) per kg API],Table_Process_Details[Display Name],Table_Process_Details[[#This Row],[Unique Process Inputs]],Table_Process_Details[Input or Output],"Input")</f>
        <v>6.2816232433757869E-6</v>
      </c>
      <c r="GV18" s="1">
        <f ca="1">SUMIFS(Table_Process_Details[RV Eutrophication (kg phosphate equiv.) per kg API (REAGENT)],Table_Process_Details[Display Name],Table_Process_Details[[#This Row],[Unique Process Inputs]],Table_Process_Details[Input or Output],"Input")</f>
        <v>6.2816232433757869E-6</v>
      </c>
      <c r="GW18" s="1">
        <f ca="1">SUMIFS(Table_Process_Details[RV Eutrophication (kg phosphate equiv.) per kg API (METAL)],Table_Process_Details[Display Name],Table_Process_Details[[#This Row],[Unique Process Inputs]],Table_Process_Details[Input or Output],"Input")</f>
        <v>0</v>
      </c>
      <c r="GX18" s="1">
        <f ca="1">SUMIFS(Table_Process_Details[RV Eutrophication (kg phosphate equiv.) per kg API (SOLVENT)],Table_Process_Details[Display Name],Table_Process_Details[[#This Row],[Unique Process Inputs]],Table_Process_Details[Input or Output],"Input")</f>
        <v>0</v>
      </c>
      <c r="GY18" s="1">
        <f ca="1">SUMIFS(Table_Process_Details[RV Eutrophication (kg phosphate equiv.) per kg API (WATER)],Table_Process_Details[Display Name],Table_Process_Details[[#This Row],[Unique Process Inputs]],Table_Process_Details[Input or Output],"Input")</f>
        <v>0</v>
      </c>
      <c r="GZ18" s="1">
        <f ca="1">SUMIFS(Table_Process_Details[RV Eutrophication (kg phosphate equiv.) per kg API (ENZ&amp;PLNT)],Table_Process_Details[Display Name],Table_Process_Details[[#This Row],[Unique Process Inputs]],Table_Process_Details[Input or Output],"Input")</f>
        <v>0</v>
      </c>
      <c r="HA18" s="1">
        <f ca="1">SUMIFS(Table_Process_Details[RV Eutrophication (kg phosphate equiv.) per kg API (OTHER)],Table_Process_Details[Display Name],Table_Process_Details[[#This Row],[Unique Process Inputs]],Table_Process_Details[Input or Output],"Input")</f>
        <v>0</v>
      </c>
      <c r="HB18"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95 wt% reagent M (organic)</v>
      </c>
      <c r="HC18" s="22">
        <f ca="1">IF(LARGE(Table_Process_Details[Total '[Eutrophication (kg posphate equiv.) per kg API'] of Unique Inputs],Table_Process_Details[[#This Row],[Table Row]])=0,NA(),LARGE(Table_Process_Details[Total '[Eutrophication (kg posphate equiv.) per kg API'] of Unique Inputs],Table_Process_Details[[#This Row],[Table Row]]))</f>
        <v>1.4647441551917796E-3</v>
      </c>
      <c r="HD18" s="22">
        <f ca="1">SUM(OFFSET(Table_Process_Details['[Eutrophication (kg posphate equiv.) per kg API'] of Unique Inputs Sorted by '[Eutrophication (kg posphate equiv.) per kg API']],0,0,Table_Process_Details[[#This Row],[Table Row]]))</f>
        <v>1.3699124673185001</v>
      </c>
      <c r="HE18"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18" s="1">
        <f ca="1">INDEX(Table_Process_Details[Total '[Eutrophication (kg posphate equiv.) per kg API'] of Unique Inputs (REAGENT)], MATCH(Table_Process_Details[[#This Row],[Unique Inputs Sorted by '[Eutrophication (kg posphate equiv.) per kg API']]],Table_Process_Details[Unique Process Inputs],0))</f>
        <v>1.4644888970453307E-3</v>
      </c>
      <c r="HG18" s="1">
        <f ca="1">INDEX(Table_Process_Details[Total '[Eutrophication (kg posphate equiv.) per kg API'] of Unique Inputs (METAL)], MATCH(Table_Process_Details[[#This Row],[Unique Inputs Sorted by '[Eutrophication (kg posphate equiv.) per kg API']]],Table_Process_Details[Unique Process Inputs],0))</f>
        <v>0</v>
      </c>
      <c r="HH18" s="1">
        <f ca="1">INDEX(Table_Process_Details[Total '[Eutrophication (kg posphate equiv.) per kg API'] of Unique Inputs (SOLVENT)], MATCH(Table_Process_Details[[#This Row],[Unique Inputs Sorted by '[Eutrophication (kg posphate equiv.) per kg API']]],Table_Process_Details[Unique Process Inputs],0))</f>
        <v>0</v>
      </c>
      <c r="HI18" s="1">
        <f ca="1">INDEX(Table_Process_Details[Total '[Eutrophication (kg posphate equiv.) per kg API'] of Unique Inputs (WATER)], MATCH(Table_Process_Details[[#This Row],[Unique Inputs Sorted by '[Eutrophication (kg posphate equiv.) per kg API']]],Table_Process_Details[Unique Process Inputs],0))</f>
        <v>2.552581464488899E-7</v>
      </c>
      <c r="HJ18" s="1">
        <f ca="1">INDEX(Table_Process_Details[Total '[Eutrophication (kg posphate equiv.) per kg API'] of Unique Inputs (ENZ&amp;PLNT)], MATCH(Table_Process_Details[[#This Row],[Unique Inputs Sorted by '[Eutrophication (kg posphate equiv.) per kg API']]],Table_Process_Details[Unique Process Inputs],0))</f>
        <v>0</v>
      </c>
      <c r="HK18" s="1">
        <f ca="1">INDEX(Table_Process_Details[Total '[Eutrophication (kg posphate equiv.) per kg API'] of Unique Inputs (OTHER)], MATCH(Table_Process_Details[[#This Row],[Unique Inputs Sorted by '[Eutrophication (kg posphate equiv.) per kg API']]],Table_Process_Details[Unique Process Inputs],0))</f>
        <v>0</v>
      </c>
      <c r="HL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8" s="1">
        <f ca="1">SUMIFS(Table_Process_Details[RV Water (kg) per kg API],Table_Process_Details[Display Name],Table_Process_Details[[#This Row],[Unique Process Inputs]],Table_Process_Details[Input or Output],"Input")</f>
        <v>1.0272178828414497E-2</v>
      </c>
      <c r="HT18" s="1">
        <f ca="1">SUMIFS(Table_Process_Details[RV Water (kg) per kg API (REAGENT)],Table_Process_Details[Display Name],Table_Process_Details[[#This Row],[Unique Process Inputs]],Table_Process_Details[Input or Output],"Input")</f>
        <v>1.0272178828414497E-2</v>
      </c>
      <c r="HU18" s="1">
        <f ca="1">SUMIFS(Table_Process_Details[RV Water (kg) per kg API (METAL)],Table_Process_Details[Display Name],Table_Process_Details[[#This Row],[Unique Process Inputs]],Table_Process_Details[Input or Output],"Input")</f>
        <v>0</v>
      </c>
      <c r="HV18" s="1">
        <f ca="1">SUMIFS(Table_Process_Details[RV Water (kg) per kg API (SOLVENT)],Table_Process_Details[Display Name],Table_Process_Details[[#This Row],[Unique Process Inputs]],Table_Process_Details[Input or Output],"Input")</f>
        <v>0</v>
      </c>
      <c r="HW18" s="1">
        <f ca="1">SUMIFS(Table_Process_Details[RV Water (kg) per kg API (WATER)],Table_Process_Details[Display Name],Table_Process_Details[[#This Row],[Unique Process Inputs]],Table_Process_Details[Input or Output],"Input")</f>
        <v>0</v>
      </c>
      <c r="HX18" s="1">
        <f ca="1">SUMIFS(Table_Process_Details[RV Water (kg) per kg API (ENZ&amp;PLNT)],Table_Process_Details[Display Name],Table_Process_Details[[#This Row],[Unique Process Inputs]],Table_Process_Details[Input or Output],"Input")</f>
        <v>0</v>
      </c>
      <c r="HY18" s="1">
        <f ca="1">SUMIFS(Table_Process_Details[RV Water (kg) per kg API (OTHER)],Table_Process_Details[Display Name],Table_Process_Details[[#This Row],[Unique Process Inputs]],Table_Process_Details[Input or Output],"Input")</f>
        <v>0</v>
      </c>
      <c r="HZ18" s="22" t="str">
        <f ca="1">INDEX(Table_Process_Details[Unique Process Inputs],MATCH(Table_Process_Details[[#This Row],['[Water (kg) per kg API'] of Unique Inputs Sorted by '[Water (kg) per kg API']]],Table_Process_Details[Total '[Water (kg) per kg API'] of Unique Inputs],0))</f>
        <v>15 wt% reagent K (inorganic) in water</v>
      </c>
      <c r="IA18" s="22">
        <f ca="1">IF(LARGE(Table_Process_Details[Total '[Water (kg) per kg API'] of Unique Inputs],Table_Process_Details[[#This Row],[Table Row]])=0,NA(),LARGE(Table_Process_Details[Total '[Water (kg) per kg API'] of Unique Inputs],Table_Process_Details[[#This Row],[Table Row]]))</f>
        <v>6.4830128555698332</v>
      </c>
      <c r="IB18" s="1">
        <f ca="1">SUM(OFFSET(Table_Process_Details['[Water (kg) per kg API'] of Unique Inputs Sorted by '[Water (kg) per kg API']],0,0,Table_Process_Details[[#This Row],[Table Row]]))</f>
        <v>861.69875071217155</v>
      </c>
      <c r="IC18" s="1" t="str">
        <f ca="1">"("&amp;TEXT(Table_Process_Details[[#This Row],['[Water (kg) per kg API'] of Unique Inputs Sorted by '[Water (kg) per kg API']]]/SUMIF(Table_Process_Details['[Water (kg) per kg API'] of Unique Inputs Sorted by '[Water (kg) per kg API']],"&lt;&gt;#N/A"),"0%")&amp;")"</f>
        <v>(1%)</v>
      </c>
      <c r="ID18" s="1">
        <f ca="1">INDEX(Table_Process_Details[Total '[Water (kg) per kg API'] of Unique Inputs (REAGENT)], MATCH(Table_Process_Details[[#This Row],[Unique Inputs Sorted by '[Water (kg) per kg API']]],Table_Process_Details[Unique Process Inputs],0))</f>
        <v>0.57084510919434817</v>
      </c>
      <c r="IE18" s="1">
        <f ca="1">INDEX(Table_Process_Details[Total '[Water (kg) per kg API'] of Unique Inputs (METAL)], MATCH(Table_Process_Details[[#This Row],[Unique Inputs Sorted by '[Water (kg) per kg API']]],Table_Process_Details[Unique Process Inputs],0))</f>
        <v>0</v>
      </c>
      <c r="IF18" s="1">
        <f ca="1">INDEX(Table_Process_Details[Total '[Water (kg) per kg API'] of Unique Inputs (SOLVENT)], MATCH(Table_Process_Details[[#This Row],[Unique Inputs Sorted by '[Water (kg) per kg API']]],Table_Process_Details[Unique Process Inputs],0))</f>
        <v>0</v>
      </c>
      <c r="IG18" s="1">
        <f ca="1">INDEX(Table_Process_Details[Total '[Water (kg) per kg API'] of Unique Inputs (WATER)], MATCH(Table_Process_Details[[#This Row],[Unique Inputs Sorted by '[Water (kg) per kg API']]],Table_Process_Details[Unique Process Inputs],0))</f>
        <v>5.912167746375486</v>
      </c>
      <c r="IH18" s="1">
        <f ca="1">INDEX(Table_Process_Details[Total '[Water (kg) per kg API'] of Unique Inputs (ENZ&amp;PLNT)], MATCH(Table_Process_Details[[#This Row],[Unique Inputs Sorted by '[Water (kg) per kg API']]],Table_Process_Details[Unique Process Inputs],0))</f>
        <v>0</v>
      </c>
      <c r="II18" s="1">
        <f ca="1">INDEX(Table_Process_Details[Total '[Water (kg) per kg API'] of Unique Inputs (OTHER)], MATCH(Table_Process_Details[[#This Row],[Unique Inputs Sorted by '[Water (kg) per kg API']]],Table_Process_Details[Unique Process Inputs],0))</f>
        <v>0</v>
      </c>
    </row>
    <row r="19" spans="1:243" s="119" customFormat="1" x14ac:dyDescent="0.25">
      <c r="A19" s="126" t="str">
        <f>A18</f>
        <v>1e) Virtual solution prep for (1): 6 M HCl (aq)</v>
      </c>
      <c r="B19" s="127" t="s">
        <v>5</v>
      </c>
      <c r="C19" s="127" t="s">
        <v>155</v>
      </c>
      <c r="D19" s="126" t="s">
        <v>155</v>
      </c>
      <c r="E19" s="126" t="str">
        <f>'1. Define Process Steps'!C11</f>
        <v>6 M HCl (aq)</v>
      </c>
      <c r="F19" s="128">
        <v>1072</v>
      </c>
      <c r="G19" s="128"/>
      <c r="H19" s="128" t="s">
        <v>853</v>
      </c>
      <c r="I19" s="128"/>
      <c r="J19" s="128" t="str">
        <f>INDEX(Process_Steps[Reference],MATCH(Table_Process_Details[[#This Row],[Step Name]],Process_Steps[Name],0))</f>
        <v>Reference Document  for Step 1</v>
      </c>
      <c r="K19" s="129" t="str">
        <f>INDEX(Process_Steps[Real or Virtual?],MATCH(Table_Process_Details[[#This Row],[Step Name]],Process_Steps[Name],0))</f>
        <v>Virtual</v>
      </c>
      <c r="L19"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9"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9" s="128">
        <f>INDEX(Table_Process_Details[Physical Mass (kg)],MATCH(1,INDEX(((Table_Process_Details[Step Name]=Table_Process_Details[[#This Row],[Step Name]])*(Table_Process_Details[Input or Output]="Output")),0),0))</f>
        <v>1072</v>
      </c>
      <c r="O19" s="130">
        <f ca="1">INDEX(Process_Steps[Step Scale Factor for 1kg Packaged API],MATCH(Table_Process_Details[[#This Row],[Step Name]],Process_Steps[Name],0))</f>
        <v>2.6082472222847325E-3</v>
      </c>
      <c r="P19"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v>
      </c>
      <c r="Q19"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v>
      </c>
      <c r="R19" s="128">
        <f ca="1">_xlfn.SWITCH(Run_Reset_PNG,"Reset",Table_Process_Details[[#This Row],[X Init]],"Run",Table_Process_Details[[#This Row],[X Moved]],"Freeze",Table_Process_Details[[#This Row],[X Mover]])</f>
        <v>10.21150408293698</v>
      </c>
      <c r="S19" s="128">
        <f ca="1">_xlfn.SWITCH(Run_Reset_PNG,"Reset",Table_Process_Details[[#This Row],[Y Init]],"Run",Table_Process_Details[[#This Row],[Y Moved]],"Freeze",Table_Process_Details[[#This Row],[Y Mover]])</f>
        <v>29.074212703146806</v>
      </c>
      <c r="T19" s="128" cm="1">
        <f t="array" aca="1" ref="T1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0.39818559469043935</v>
      </c>
      <c r="U19" s="128" cm="1">
        <f t="array" aca="1" ref="U1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1.2127095159175161</v>
      </c>
      <c r="V19" s="128" cm="1">
        <f t="array" aca="1" ref="V19" ca="1">SUM(--(SQRT((Table_Process_Details[[#This Row],[X Mover]]-Table_Process_Details[X Mover])^2+(Table_Process_Details[[#This Row],[Y Mover]]-Table_Process_Details[Y Mover])^2)&lt;Collision_Distance))</f>
        <v>11</v>
      </c>
      <c r="W19" s="128" cm="1">
        <f t="array" aca="1" ref="W1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-3.281508034263958E-2</v>
      </c>
      <c r="X19" s="128" cm="1">
        <f t="array" aca="1" ref="X1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6.4018117471113412E-2</v>
      </c>
      <c r="Y19" s="128" cm="1">
        <f t="array" aca="1" ref="Y1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19" s="128">
        <f>0</f>
        <v>0</v>
      </c>
      <c r="AA19" s="128">
        <f>0</f>
        <v>0</v>
      </c>
      <c r="AB19"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-5.1057520414684898</v>
      </c>
      <c r="AC19" s="128" cm="1">
        <f t="array" aca="1" ref="AC1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-14.537106351573403</v>
      </c>
      <c r="AD19" s="128">
        <f>MIN(1,COUNTA(Table_Process_Details[[#This Row],[target x]]),COUNTA(Table_Process_Details[[#This Row],[target y]]))*COUNTA(Table_Process_Details[Step Name])</f>
        <v>98</v>
      </c>
      <c r="AE19"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10.18466490262194</v>
      </c>
      <c r="AF19"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29.057460575352025</v>
      </c>
      <c r="AG19"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19" s="128" t="e" cm="1">
        <f t="array" ref="AH19">INDEX(Table_Process_Details[X Mover],MATCH(1,INDEX((Table_Process_Details[Input or Output]="Output")*(Table_Process_Details[Step Name]=Table_Process_Details[[#This Row],[Step Name]])*(Table_Process_Details[[#This Row],[Input or Output]]="Input"),0),0))</f>
        <v>#N/A</v>
      </c>
      <c r="AI19" s="128" t="e" cm="1">
        <f t="array" ref="AI19">INDEX(Table_Process_Details[Y Mover],MATCH(1,INDEX((Table_Process_Details[Input or Output]="Output")*(Table_Process_Details[Step Name]=Table_Process_Details[[#This Row],[Step Name]])*(Table_Process_Details[[#This Row],[Input or Output]]="Input"),0),0))</f>
        <v>#N/A</v>
      </c>
      <c r="AJ19" s="128" t="e">
        <f>SQRT((Table_Process_Details[[#This Row],[X End (To Node Center)]]-Table_Process_Details[[#This Row],[X Guide]])^2+(Table_Process_Details[[#This Row],[Y End (to Node Center)]]-Table_Process_Details[[#This Row],[Y Guide]])^2)</f>
        <v>#N/A</v>
      </c>
      <c r="AK19" s="128" t="e" cm="1">
        <f t="array" ref="AK19">INDEX(Table_Process_Details[X Mover],MATCH(1,INDEX((Table_Process_Details[Step Name]=Table_Process_Details[[#This Row],[LCA Data Source Subclass]])*(Table_Process_Details[Input or Output]="Output"),0)*(Table_Process_Details[[#This Row],[Input or Output]]="Input"),0))</f>
        <v>#N/A</v>
      </c>
      <c r="AL19" s="128" t="e" cm="1">
        <f t="array" ref="AL19">INDEX(Table_Process_Details[X Mover],MATCH(1,INDEX(((Table_Process_Details[Table Row]=Table_Process_Details[[#This Row],[Table Row]])*(1)),0)*(Table_Process_Details[[#This Row],[Input or Output]]="Input"),0))</f>
        <v>#N/A</v>
      </c>
      <c r="AM19" s="128" t="e" cm="1">
        <f t="array" ref="AM19">(Table_Process_Details[[#This Row],[X End (To Node Center)]]*Table_Process_Details[[#This Row],[r0]]-Table_Process_Details[[#This Row],[X End (To Node Center)]]*Arrow_Offset+Table_Process_Details[[#This Row],[X Guide]]*Arrow_Offset)/Table_Process_Details[[#This Row],[r0]]</f>
        <v>#N/A</v>
      </c>
      <c r="AN19" s="128" t="e">
        <f>IF(NOT(Table_Process_Details[[#This Row],[Display As]]="None"),Table_Process_Details[[#This Row],[X Start Prefilter]],NA())</f>
        <v>#N/A</v>
      </c>
      <c r="AO19" s="128" t="e">
        <f>IF(NOT(Table_Process_Details[[#This Row],[Display As]]="None"),Table_Process_Details[[#This Row],[X Guide Prefilter]],NA())</f>
        <v>#N/A</v>
      </c>
      <c r="AP19" s="128" t="e">
        <f>IF(NOT(Table_Process_Details[[#This Row],[Display As]]="None"),Table_Process_Details[[#This Row],[X End (to Stop Radius) Prefilter]],NA())</f>
        <v>#N/A</v>
      </c>
      <c r="AQ19" s="128" t="e">
        <f>NA()</f>
        <v>#N/A</v>
      </c>
      <c r="AR19" s="128" t="e" cm="1">
        <f t="array" ref="AR19">INDEX(Table_Process_Details[Y Mover],MATCH(1,INDEX((Table_Process_Details[Step Name]=Table_Process_Details[[#This Row],[LCA Data Source Subclass]])*(Table_Process_Details[Input or Output]="Output"),0)*(Table_Process_Details[[#This Row],[Input or Output]]="Input"),0))</f>
        <v>#N/A</v>
      </c>
      <c r="AS19" s="128" t="e" cm="1">
        <f t="array" ref="AS19">INDEX(Table_Process_Details[Y Mover],MATCH(1,INDEX(((Table_Process_Details[Table Row]=Table_Process_Details[[#This Row],[Table Row]])*(1)),0)*(Table_Process_Details[[#This Row],[Input or Output]]="Input"),0))</f>
        <v>#N/A</v>
      </c>
      <c r="AT19" s="128" t="e" cm="1">
        <f t="array" ref="AT19">(Table_Process_Details[[#This Row],[Y Guide]]*Arrow_Offset-Table_Process_Details[[#This Row],[Y End (to Node Center)]]*Arrow_Offset+Table_Process_Details[[#This Row],[Y End (to Node Center)]]*Table_Process_Details[[#This Row],[r0]])/Table_Process_Details[[#This Row],[r0]]</f>
        <v>#N/A</v>
      </c>
      <c r="AU19" s="128" t="e">
        <f>IF(NOT(Table_Process_Details[[#This Row],[Display As]]="None"),Table_Process_Details[[#This Row],[Y Start Prefilter]],NA())</f>
        <v>#N/A</v>
      </c>
      <c r="AV19" s="128" t="e">
        <f>IF(NOT(Table_Process_Details[[#This Row],[Display As]]="None"),Table_Process_Details[[#This Row],[Y Guide Prefilter]],NA())</f>
        <v>#N/A</v>
      </c>
      <c r="AW19" s="128" t="e">
        <f>IF(NOT(Table_Process_Details[[#This Row],[Display As]]="None"),Table_Process_Details[[#This Row],[Y End (to Stop Radius) Prefilter]],NA())</f>
        <v>#N/A</v>
      </c>
      <c r="AX19" s="128" t="e">
        <f>NA()</f>
        <v>#N/A</v>
      </c>
      <c r="AY19" s="128" t="e">
        <f>IF(Table_Process_Details[[#This Row],[Display As]]="Real Step",Table_Process_Details[[#This Row],[X Mover]],NA())</f>
        <v>#N/A</v>
      </c>
      <c r="AZ19" s="128" t="e">
        <f>IF(Table_Process_Details[[#This Row],[Display As]]="Real Step",Table_Process_Details[[#This Row],[Y Mover]],NA())</f>
        <v>#N/A</v>
      </c>
      <c r="BA19" s="128">
        <f ca="1">IF(Table_Process_Details[[#This Row],[Display As]]="Raw Material",Table_Process_Details[[#This Row],[X Mover]],NA())</f>
        <v>10.21150408293698</v>
      </c>
      <c r="BB19" s="128">
        <f ca="1">IF(Table_Process_Details[[#This Row],[Display As]]="Raw Material",Table_Process_Details[[#This Row],[Y Mover]],NA())</f>
        <v>29.074212703146806</v>
      </c>
      <c r="BC19" s="128">
        <f ca="1">IF(OR(Table_Process_Details[[#This Row],[Display As]]="Real Step",Table_Process_Details[[#This Row],[Display As]]="Raw Material"),Table_Process_Details[[#This Row],[X Mover]],NA())</f>
        <v>10.21150408293698</v>
      </c>
      <c r="BD19" s="128">
        <f ca="1">IF(OR(Table_Process_Details[[#This Row],[Display As]]="Real Step",Table_Process_Details[[#This Row],[Display As]]="Raw Material"),Table_Process_Details[[#This Row],[Y Mover]],NA())</f>
        <v>29.074212703146806</v>
      </c>
      <c r="BE19" s="126">
        <f>ROW()-ROW(Table_Process_Details[[#Headers],[Table Row]])</f>
        <v>15</v>
      </c>
      <c r="BF19" s="122" t="str" cm="1">
        <f t="array" aca="1" ref="BF19" ca="1">INDEX(Table_Process_Details[Display Name],MATCH(0,IF(Table_Process_Details[Input or Output]="Input",INDEX(COUNTIF(OFFSET(Table_Process_Details[[#Headers],[Unique Process Inputs]],0,0,Table_Process_Details[[#This Row],[Table Row]],1),Table_Process_Details[Display Name]),),""),0))</f>
        <v>reagent R (organic)</v>
      </c>
      <c r="BG19" s="122">
        <f ca="1">Table_Process_Details[[#This Row],[Physical Mass (kg)]]*Table_Process_Details[[#This Row],[Step Scale Factor for 1kg Packaged API]]</f>
        <v>2.7960410222892333</v>
      </c>
      <c r="BH19"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9" s="122">
        <f ca="1">MATCH(Table_Process_Details[[#This Row],[LCA Data Source Class]],INDIRECT(Table_Process_Details[[#This Row],[Input or Output]]),0)</f>
        <v>1</v>
      </c>
      <c r="BJ19" s="122">
        <f ca="1">MATCH(Table_Process_Details[[#This Row],[LCA Data Source Subclass]],INDIRECT(Table_Process_Details[[#This Row],[LCA Data Source Class]]&amp;"[Name]"),0)</f>
        <v>1</v>
      </c>
      <c r="BK19" s="122">
        <f ca="1">IFERROR(INDEX(INDIRECT(Table_Process_Details[[#This Row],[LCA Data Source Class]]&amp;"[Mass Net (kg)]"),MATCH(Table_Process_Details[[#This Row],[LCA Data Source Subclass]],INDIRECT(Table_Process_Details[[#This Row],[LCA Data Source Class]]&amp;"[Name]"),0)),0)</f>
        <v>0</v>
      </c>
      <c r="BL19" s="122">
        <f ca="1">IFERROR(INDEX(INDIRECT(Table_Process_Details[[#This Row],[LCA Data Source Class]]&amp;"[Energy (MJ)]"),MATCH(Table_Process_Details[[#This Row],[LCA Data Source Subclass]],INDIRECT(Table_Process_Details[[#This Row],[LCA Data Source Class]]&amp;"[Name]"),0)),0)</f>
        <v>0</v>
      </c>
      <c r="BM19" s="122">
        <f ca="1">IFERROR(INDEX(INDIRECT(Table_Process_Details[[#This Row],[LCA Data Source Class]]&amp;"[GWP (kg CO2 equiv.)]"),MATCH(Table_Process_Details[[#This Row],[LCA Data Source Subclass]],INDIRECT(Table_Process_Details[[#This Row],[LCA Data Source Class]]&amp;"[Name]"),0)),0)</f>
        <v>0</v>
      </c>
      <c r="BN19" s="122">
        <f ca="1">IFERROR(INDEX(INDIRECT(Table_Process_Details[[#This Row],[LCA Data Source Class]]&amp;"[Acidification (kg SO2 equiv.)]"),MATCH(Table_Process_Details[[#This Row],[LCA Data Source Subclass]],INDIRECT(Table_Process_Details[[#This Row],[LCA Data Source Class]]&amp;"[Name]"),0)),0)</f>
        <v>0</v>
      </c>
      <c r="BO19" s="122">
        <f ca="1">IFERROR(INDEX(INDIRECT(Table_Process_Details[[#This Row],[LCA Data Source Class]]&amp;"[Eutrophication (kg posphate equiv.)]"),MATCH(Table_Process_Details[[#This Row],[LCA Data Source Subclass]],INDIRECT(Table_Process_Details[[#This Row],[LCA Data Source Class]]&amp;"[Name]"),0)),0)</f>
        <v>0</v>
      </c>
      <c r="BP19" s="122">
        <f ca="1">IFERROR(INDEX(INDIRECT(Table_Process_Details[[#This Row],[LCA Data Source Class]]&amp;"[Water (kg)]"),MATCH(Table_Process_Details[[#This Row],[LCA Data Source Subclass]],INDIRECT(Table_Process_Details[[#This Row],[LCA Data Source Class]]&amp;"[Name]"),0)),0)</f>
        <v>0</v>
      </c>
      <c r="BQ19" s="129">
        <f ca="1">(Table_Process_Details[[#This Row],[Input or Output]]="Input")*(Table_Process_Details[[#This Row],[LCA Data Source Class]]&lt;&gt;"Process_Steps")*Table_Process_Details[[#This Row],[Scaled Physical Mass per kg API for All Inputs &amp; Outputs]]</f>
        <v>0</v>
      </c>
      <c r="BR19" s="129">
        <f ca="1">(Table_Process_Details[[#This Row],[Material Class]]="REAGENT")*Table_Process_Details[[#This Row],[Physical Mass per kg API]]</f>
        <v>0</v>
      </c>
      <c r="BS19" s="129">
        <f ca="1">(Table_Process_Details[[#This Row],[Material Class]]="METAL")*Table_Process_Details[[#This Row],[Physical Mass per kg API]]</f>
        <v>0</v>
      </c>
      <c r="BT19" s="129">
        <f ca="1">(Table_Process_Details[[#This Row],[Material Class]]="SOLVENT")*Table_Process_Details[[#This Row],[Physical Mass per kg API]]</f>
        <v>0</v>
      </c>
      <c r="BU19" s="129">
        <f ca="1">(Table_Process_Details[[#This Row],[Material Class]]="WATER")*Table_Process_Details[[#This Row],[Physical Mass per kg API]]</f>
        <v>0</v>
      </c>
      <c r="BV19" s="129">
        <f ca="1">(Table_Process_Details[[#This Row],[Material Class]]="ENZ&amp;PLNT")*Table_Process_Details[[#This Row],[Physical Mass per kg API]]</f>
        <v>0</v>
      </c>
      <c r="BW19" s="129">
        <f ca="1">(Table_Process_Details[[#This Row],[Material Class]]="OTHER")*Table_Process_Details[[#This Row],[Physical Mass per kg API]]</f>
        <v>0</v>
      </c>
      <c r="BX19"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9"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9"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9"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9"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9"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9"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9" s="131">
        <f ca="1">SUMIFS(Table_Process_Details[RV Physical Mass per kg API],Table_Process_Details[Display Name],Table_Process_Details[[#This Row],[Unique Process Inputs]],Table_Process_Details[Input or Output],"Input")</f>
        <v>3.4950512778431775E-4</v>
      </c>
      <c r="CF19" s="131">
        <f ca="1">SUMIFS(Table_Process_Details[RV Physical Mass per kg API (REAGENT)],Table_Process_Details[Display Name],Table_Process_Details[[#This Row],[Unique Process Inputs]],Table_Process_Details[Input or Output],"Input")</f>
        <v>3.4950512778431775E-4</v>
      </c>
      <c r="CG19" s="131">
        <f ca="1">SUMIFS(Table_Process_Details[RV Physical Mass per kg API (METAL)],Table_Process_Details[Display Name],Table_Process_Details[[#This Row],[Unique Process Inputs]],Table_Process_Details[Input or Output],"Input")</f>
        <v>0</v>
      </c>
      <c r="CH19" s="131">
        <f ca="1">SUMIFS(Table_Process_Details[RV Physical Mass per kg API (SOLVENT)],Table_Process_Details[Display Name],Table_Process_Details[[#This Row],[Unique Process Inputs]],Table_Process_Details[Input or Output],"Input")</f>
        <v>0</v>
      </c>
      <c r="CI19" s="131">
        <f ca="1">SUMIFS(Table_Process_Details[RV Physical Mass per kg API (WATER)],Table_Process_Details[Display Name],Table_Process_Details[[#This Row],[Unique Process Inputs]],Table_Process_Details[Input or Output],"Input")</f>
        <v>0</v>
      </c>
      <c r="CJ19" s="131">
        <f ca="1">SUMIFS(Table_Process_Details[RV Physical Mass per kg API (ENZ&amp;PLNT)],Table_Process_Details[Display Name],Table_Process_Details[[#This Row],[Unique Process Inputs]],Table_Process_Details[Input or Output],"Input")</f>
        <v>0</v>
      </c>
      <c r="CK19" s="131">
        <f ca="1">SUMIFS(Table_Process_Details[RV Physical Mass per kg API (OTHER)],Table_Process_Details[Display Name],Table_Process_Details[[#This Row],[Unique Process Inputs]],Table_Process_Details[Input or Output],"Input")</f>
        <v>0</v>
      </c>
      <c r="CL19" s="126" t="str">
        <f ca="1">INDEX(Table_Process_Details[Unique Process Inputs],MATCH(Table_Process_Details[[#This Row],['[Physical Mass per kg API'] of Unique Inputs Sorted by '[Physical Mass per kg API']]],Table_Process_Details[Total '[Physical Mass per kg API'] of Unique Inputs],0))</f>
        <v>95 wt% reagent M (organic)</v>
      </c>
      <c r="CM19" s="126">
        <f ca="1">IF(LARGE(Table_Process_Details[Total '[Physical Mass per kg API'] of Unique Inputs],Table_Process_Details[[#This Row],[Table Row]])=0,NA(),LARGE(Table_Process_Details[Total '[Physical Mass per kg API'] of Unique Inputs],Table_Process_Details[[#This Row],[Table Row]]))</f>
        <v>2.2022389429253093</v>
      </c>
      <c r="CN19" s="126">
        <f ca="1">SUM(OFFSET(Table_Process_Details['[Physical Mass per kg API'] of Unique Inputs Sorted by '[Physical Mass per kg API']],0,0,Table_Process_Details[[#This Row],[Table Row]]))</f>
        <v>140.0295400783213</v>
      </c>
      <c r="CO19" s="126" t="str">
        <f ca="1">"("&amp;TEXT(Table_Process_Details[[#This Row],['[Physical Mass per kg API'] of Unique Inputs Sorted by '[Physical Mass per kg API']]]/SUMIF(Table_Process_Details['[Physical Mass per kg API'] of Unique Inputs Sorted by '[Physical Mass per kg API']],"&lt;&gt;#N/A"),"0%")&amp;")"</f>
        <v>(1%)</v>
      </c>
      <c r="CP19" s="126">
        <f ca="1">INDEX(Table_Process_Details[Total '[Physical Mass per kg API'] of Unique Inputs (REAGENT)],MATCH(Table_Process_Details[[#This Row],[Unique Inputs Sorted by '[Physical Mass per kg API']]],Table_Process_Details[Unique Process Inputs],0))</f>
        <v>2.092126995779044</v>
      </c>
      <c r="CQ19" s="126">
        <f ca="1">INDEX(Table_Process_Details[Total '[Physical Mass per kg API'] of Unique Inputs (METAL)],MATCH(Table_Process_Details[[#This Row],[Unique Inputs Sorted by '[Physical Mass per kg API']]],Table_Process_Details[Unique Process Inputs],0))</f>
        <v>0</v>
      </c>
      <c r="CR19" s="126">
        <f ca="1">INDEX(Table_Process_Details[Total '[Physical Mass per kg API'] of Unique Inputs (SOLVENT)],MATCH(Table_Process_Details[[#This Row],[Unique Inputs Sorted by '[Physical Mass per kg API']]],Table_Process_Details[Unique Process Inputs],0))</f>
        <v>0</v>
      </c>
      <c r="CS19" s="126">
        <f ca="1">INDEX(Table_Process_Details[Total '[Physical Mass per kg API'] of Unique Inputs (WATER)],MATCH(Table_Process_Details[[#This Row],[Unique Inputs Sorted by '[Physical Mass per kg API']]],Table_Process_Details[Unique Process Inputs],0))</f>
        <v>0.11011194714626546</v>
      </c>
      <c r="CT19" s="126">
        <f ca="1">INDEX(Table_Process_Details[Total '[Physical Mass per kg API'] of Unique Inputs (ENZ&amp;PLNT)],MATCH(Table_Process_Details[[#This Row],[Unique Inputs Sorted by '[Physical Mass per kg API']]],Table_Process_Details[Unique Process Inputs],0))</f>
        <v>0</v>
      </c>
      <c r="CU19" s="126">
        <f ca="1">INDEX(Table_Process_Details[Total '[Physical Mass per kg API'] of Unique Inputs (OTHER)],MATCH(Table_Process_Details[[#This Row],[Unique Inputs Sorted by '[Physical Mass per kg API']]],Table_Process_Details[Unique Process Inputs],0))</f>
        <v>0</v>
      </c>
      <c r="CV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9" s="126">
        <f ca="1">SUMIFS(Table_Process_Details[RV Mass Net (kg) per kg API],Table_Process_Details[Display Name],Table_Process_Details[[#This Row],[Unique Process Inputs]],Table_Process_Details[Input or Output],"Input")</f>
        <v>7.2910992286567692E-4</v>
      </c>
      <c r="DD19" s="126">
        <f ca="1">SUMIFS(Table_Process_Details[RV Mass Net (kg) per kg API (REAGENT)],Table_Process_Details[Display Name],Table_Process_Details[[#This Row],[Unique Process Inputs]],Table_Process_Details[Input or Output],"Input")</f>
        <v>7.2910992286567692E-4</v>
      </c>
      <c r="DE19" s="126">
        <f ca="1">SUMIFS(Table_Process_Details[RV Mass Net (kg) per kg API (METAL)],Table_Process_Details[Display Name],Table_Process_Details[[#This Row],[Unique Process Inputs]],Table_Process_Details[Input or Output],"Input")</f>
        <v>0</v>
      </c>
      <c r="DF19" s="126">
        <f ca="1">SUMIFS(Table_Process_Details[RV Mass Net (kg) per kg API (SOLVENT)],Table_Process_Details[Display Name],Table_Process_Details[[#This Row],[Unique Process Inputs]],Table_Process_Details[Input or Output],"Input")</f>
        <v>0</v>
      </c>
      <c r="DG19" s="126">
        <f ca="1">SUMIFS(Table_Process_Details[RV Mass Net (kg) per kg API (WATER)],Table_Process_Details[Display Name],Table_Process_Details[[#This Row],[Unique Process Inputs]],Table_Process_Details[Input or Output],"Input")</f>
        <v>0</v>
      </c>
      <c r="DH19" s="126">
        <f ca="1">SUMIFS(Table_Process_Details[RV Mass Net (kg) per kg API (ENZ&amp;PLNT)],Table_Process_Details[Display Name],Table_Process_Details[[#This Row],[Unique Process Inputs]],Table_Process_Details[Input or Output],"Input")</f>
        <v>0</v>
      </c>
      <c r="DI19" s="126">
        <f ca="1">SUMIFS(Table_Process_Details[RV Mass Net (kg) per kg API (OTHER)],Table_Process_Details[Display Name],Table_Process_Details[[#This Row],[Unique Process Inputs]],Table_Process_Details[Input or Output],"Input")</f>
        <v>0</v>
      </c>
      <c r="DJ19" s="126" t="str">
        <f ca="1">INDEX(Table_Process_Details[Unique Process Inputs],MATCH(Table_Process_Details[[#This Row],['[Mass Net (kg) per kg API'] of Unique Inputs Sorted by '[Mass Net (kg) per kg API']]],Table_Process_Details[Total '[Mass Net (kg) per kg API'] of Unique Inputs],0))</f>
        <v>15 wt% reagent K (inorganic) in water</v>
      </c>
      <c r="DK19" s="126">
        <f ca="1">IF(LARGE(Table_Process_Details[Total '[Mass Net (kg) per kg API'] of Unique Inputs],Table_Process_Details[[#This Row],[Table Row]])=0,NA(),LARGE(Table_Process_Details[Total '[Mass Net (kg) per kg API'] of Unique Inputs],Table_Process_Details[[#This Row],[Table Row]]))</f>
        <v>1.1137863397228862</v>
      </c>
      <c r="DL19" s="126">
        <f ca="1">SUM(OFFSET(Table_Process_Details['[Mass Net (kg) per kg API'] of Unique Inputs Sorted by '[Mass Net (kg) per kg API']],0,0,Table_Process_Details[[#This Row],[Table Row]]))</f>
        <v>124.23832278210691</v>
      </c>
      <c r="DM19" s="126" t="str">
        <f ca="1">"("&amp;TEXT(Table_Process_Details[[#This Row],['[Mass Net (kg) per kg API'] of Unique Inputs Sorted by '[Mass Net (kg) per kg API']]]/SUMIF(Table_Process_Details['[Mass Net (kg) per kg API'] of Unique Inputs Sorted by '[Mass Net (kg) per kg API']],"&lt;&gt;#N/A"),"0%")&amp;")"</f>
        <v>(1%)</v>
      </c>
      <c r="DN19" s="126">
        <f ca="1">INDEX(Table_Process_Details[Total '[Mass Net (kg) per kg API'] of Unique Inputs (REAGENT)], MATCH(Table_Process_Details[[#This Row],[Unique Inputs Sorted by '[Mass Net (kg) per kg API']]],Table_Process_Details[Unique Process Inputs],0))</f>
        <v>1.1066250688199681</v>
      </c>
      <c r="DO19" s="126">
        <f ca="1">INDEX(Table_Process_Details[Total '[Mass Net (kg) per kg API'] of Unique Inputs (METAL)], MATCH(Table_Process_Details[[#This Row],[Unique Inputs Sorted by '[Mass Net (kg) per kg API']]],Table_Process_Details[Unique Process Inputs],0))</f>
        <v>0</v>
      </c>
      <c r="DP19" s="126">
        <f ca="1">INDEX(Table_Process_Details[Total '[Mass Net (kg) per kg API'] of Unique Inputs (SOLVENT)], MATCH(Table_Process_Details[[#This Row],[Unique Inputs Sorted by '[Mass Net (kg) per kg API']]],Table_Process_Details[Unique Process Inputs],0))</f>
        <v>0</v>
      </c>
      <c r="DQ19" s="126">
        <f ca="1">INDEX(Table_Process_Details[Total '[Mass Net (kg) per kg API'] of Unique Inputs (WATER)], MATCH(Table_Process_Details[[#This Row],[Unique Inputs Sorted by '[Mass Net (kg) per kg API']]],Table_Process_Details[Unique Process Inputs],0))</f>
        <v>7.1612709029179713E-3</v>
      </c>
      <c r="DR19" s="126">
        <f ca="1">INDEX(Table_Process_Details[Total '[Mass Net (kg) per kg API'] of Unique Inputs (ENZ&amp;PLNT)], MATCH(Table_Process_Details[[#This Row],[Unique Inputs Sorted by '[Mass Net (kg) per kg API']]],Table_Process_Details[Unique Process Inputs],0))</f>
        <v>0</v>
      </c>
      <c r="DS19" s="126">
        <f ca="1">INDEX(Table_Process_Details[Total '[Mass Net (kg) per kg API'] of Unique Inputs (OTHER)], MATCH(Table_Process_Details[[#This Row],[Unique Inputs Sorted by '[Mass Net (kg) per kg API']]],Table_Process_Details[Unique Process Inputs],0))</f>
        <v>0</v>
      </c>
      <c r="DT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9" s="131">
        <f ca="1">SUMIFS(Table_Process_Details[RV Energy (MJ) per kg API],Table_Process_Details[Display Name],Table_Process_Details[[#This Row],[Unique Process Inputs]],Table_Process_Details[Input or Output],"Input")</f>
        <v>2.6166501273518144E-2</v>
      </c>
      <c r="EB19" s="131">
        <f ca="1">SUMIFS(Table_Process_Details[RV Energy (MJ) per kg API (REAGENT)],Table_Process_Details[Display Name],Table_Process_Details[[#This Row],[Unique Process Inputs]],Table_Process_Details[Input or Output],"Input")</f>
        <v>2.6166501273518144E-2</v>
      </c>
      <c r="EC19" s="131">
        <f ca="1">SUMIFS(Table_Process_Details[RV Energy (MJ) per kg API (METAL)],Table_Process_Details[Display Name],Table_Process_Details[[#This Row],[Unique Process Inputs]],Table_Process_Details[Input or Output],"Input")</f>
        <v>0</v>
      </c>
      <c r="ED19" s="131">
        <f ca="1">SUMIFS(Table_Process_Details[RV Energy (MJ) per kg API (SOLVENT)],Table_Process_Details[Display Name],Table_Process_Details[[#This Row],[Unique Process Inputs]],Table_Process_Details[Input or Output],"Input")</f>
        <v>0</v>
      </c>
      <c r="EE19" s="131">
        <f ca="1">SUMIFS(Table_Process_Details[RV Energy (MJ) per kg API (WATER)],Table_Process_Details[Display Name],Table_Process_Details[[#This Row],[Unique Process Inputs]],Table_Process_Details[Input or Output],"Input")</f>
        <v>0</v>
      </c>
      <c r="EF19" s="131">
        <f ca="1">SUMIFS(Table_Process_Details[RV Energy (MJ) per kg API (ENZ&amp;PLNT)],Table_Process_Details[Display Name],Table_Process_Details[[#This Row],[Unique Process Inputs]],Table_Process_Details[Input or Output],"Input")</f>
        <v>0</v>
      </c>
      <c r="EG19" s="131">
        <f ca="1">SUMIFS(Table_Process_Details[RV Energy (MJ) per kg API (OTHER)],Table_Process_Details[Display Name],Table_Process_Details[[#This Row],[Unique Process Inputs]],Table_Process_Details[Input or Output],"Input")</f>
        <v>0</v>
      </c>
      <c r="EH19" s="131" t="str">
        <f ca="1">INDEX(Table_Process_Details[Unique Process Inputs],MATCH(Table_Process_Details[[#This Row],['[Energy (MJ) per kg API'] of Unique Inputs Sorted by '[Energy (MJ) per kg API']]],Table_Process_Details[Total '[Energy (MJ) per kg API'] of Unique Inputs],0))</f>
        <v>reagent O (organic)</v>
      </c>
      <c r="EI19" s="126">
        <f ca="1">IF(LARGE(Table_Process_Details[Total '[Energy (MJ) per kg API'] of Unique Inputs],Table_Process_Details[[#This Row],[Table Row]])=0,NA(),LARGE(Table_Process_Details[Total '[Energy (MJ) per kg API'] of Unique Inputs],Table_Process_Details[[#This Row],[Table Row]]))</f>
        <v>10.466600509407257</v>
      </c>
      <c r="EJ19" s="126">
        <f ca="1">SUM(OFFSET(Table_Process_Details['[Energy (MJ) per kg API'] of Unique Inputs Sorted by '[Energy (MJ) per kg API']],0,0,Table_Process_Details[[#This Row],[Table Row]]))</f>
        <v>5012.3367192957903</v>
      </c>
      <c r="EK19" s="126" t="str">
        <f ca="1">"("&amp;TEXT(Table_Process_Details[[#This Row],['[Energy (MJ) per kg API'] of Unique Inputs Sorted by '[Energy (MJ) per kg API']]]/SUMIF(Table_Process_Details['[Energy (MJ) per kg API'] of Unique Inputs Sorted by '[Energy (MJ) per kg API']],"&lt;&gt;#N/A"),"0%")&amp;")"</f>
        <v>(0%)</v>
      </c>
      <c r="EL19" s="126">
        <f ca="1">INDEX(Table_Process_Details[Total '[Energy (MJ) per kg API'] of Unique Inputs (REAGENT)], MATCH(Table_Process_Details[[#This Row],[Unique Inputs Sorted by '[Energy (MJ) per kg API']]],Table_Process_Details[Unique Process Inputs],0))</f>
        <v>10.466600509407257</v>
      </c>
      <c r="EM19" s="126">
        <f ca="1">INDEX(Table_Process_Details[Total '[Energy (MJ) per kg API'] of Unique Inputs (METAL)], MATCH(Table_Process_Details[[#This Row],[Unique Inputs Sorted by '[Energy (MJ) per kg API']]],Table_Process_Details[Unique Process Inputs],0))</f>
        <v>0</v>
      </c>
      <c r="EN19" s="126">
        <f ca="1">INDEX(Table_Process_Details[Total '[Energy (MJ) per kg API'] of Unique Inputs (SOLVENT)], MATCH(Table_Process_Details[[#This Row],[Unique Inputs Sorted by '[Energy (MJ) per kg API']]],Table_Process_Details[Unique Process Inputs],0))</f>
        <v>0</v>
      </c>
      <c r="EO19" s="126">
        <f ca="1">INDEX(Table_Process_Details[Total '[Energy (MJ) per kg API'] of Unique Inputs (WATER)], MATCH(Table_Process_Details[[#This Row],[Unique Inputs Sorted by '[Energy (MJ) per kg API']]],Table_Process_Details[Unique Process Inputs],0))</f>
        <v>0</v>
      </c>
      <c r="EP19" s="126">
        <f ca="1">INDEX(Table_Process_Details[Total '[Energy (MJ) per kg API'] of Unique Inputs (ENZ&amp;PLNT)], MATCH(Table_Process_Details[[#This Row],[Unique Inputs Sorted by '[Energy (MJ) per kg API']]],Table_Process_Details[Unique Process Inputs],0))</f>
        <v>0</v>
      </c>
      <c r="EQ19" s="126">
        <f ca="1">INDEX(Table_Process_Details[Total '[Energy (MJ) per kg API'] of Unique Inputs (OTHER)], MATCH(Table_Process_Details[[#This Row],[Unique Inputs Sorted by '[Energy (MJ) per kg API']]],Table_Process_Details[Unique Process Inputs],0))</f>
        <v>0</v>
      </c>
      <c r="ER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9" s="126">
        <f ca="1">SUMIFS(Table_Process_Details[RV GWP (kg CO2 equiv.) per kg API],Table_Process_Details[Display Name],Table_Process_Details[[#This Row],[Unique Process Inputs]],Table_Process_Details[Input or Output],"Input")</f>
        <v>9.172425001297516E-4</v>
      </c>
      <c r="EZ19" s="131">
        <f ca="1">SUMIFS(Table_Process_Details[RV GWP (kg CO2 equiv.) per kg API (REAGENT)],Table_Process_Details[Display Name],Table_Process_Details[[#This Row],[Unique Process Inputs]],Table_Process_Details[Input or Output],"Input")</f>
        <v>9.172425001297516E-4</v>
      </c>
      <c r="FA19" s="131">
        <f ca="1">SUMIFS(Table_Process_Details[RV GWP (kg CO2 equiv.) per kg API (METAL)],Table_Process_Details[Display Name],Table_Process_Details[[#This Row],[Unique Process Inputs]],Table_Process_Details[Input or Output],"Input")</f>
        <v>0</v>
      </c>
      <c r="FB19" s="131">
        <f ca="1">SUMIFS(Table_Process_Details[RV GWP (kg CO2 equiv.) per kg API (SOLVENT)],Table_Process_Details[Display Name],Table_Process_Details[[#This Row],[Unique Process Inputs]],Table_Process_Details[Input or Output],"Input")</f>
        <v>0</v>
      </c>
      <c r="FC19" s="131">
        <f ca="1">SUMIFS(Table_Process_Details[RV GWP (kg CO2 equiv.) per kg API (WATER)],Table_Process_Details[Display Name],Table_Process_Details[[#This Row],[Unique Process Inputs]],Table_Process_Details[Input or Output],"Input")</f>
        <v>0</v>
      </c>
      <c r="FD19" s="131">
        <f ca="1">SUMIFS(Table_Process_Details[RV GWP (kg CO2 equiv.) per kg API (ENZ&amp;PLNT)],Table_Process_Details[Display Name],Table_Process_Details[[#This Row],[Unique Process Inputs]],Table_Process_Details[Input or Output],"Input")</f>
        <v>0</v>
      </c>
      <c r="FE19" s="131">
        <f ca="1">SUMIFS(Table_Process_Details[RV GWP (kg CO2 equiv.) per kg API (OTHER)],Table_Process_Details[Display Name],Table_Process_Details[[#This Row],[Unique Process Inputs]],Table_Process_Details[Input or Output],"Input")</f>
        <v>0</v>
      </c>
      <c r="FF19" s="126" t="str">
        <f ca="1">INDEX(Table_Process_Details[Unique Process Inputs],MATCH(Table_Process_Details[[#This Row],['[GWP (kg CO2 equiv.) per kg API'] of Unique Inputs Sorted by '[GWP (kg CO2 equiv.) per kg API']]],Table_Process_Details[Total '[GWP (kg CO2 equiv.) per kg API'] of Unique Inputs],0))</f>
        <v>15 wt% reagent K (inorganic) in water</v>
      </c>
      <c r="FG19" s="126">
        <f ca="1">IF(LARGE(Table_Process_Details[Total '[GWP (kg CO2 equiv.) per kg API'] of Unique Inputs],Table_Process_Details[[#This Row],[Table Row]])=0,NA(),LARGE(Table_Process_Details[Total '[GWP (kg CO2 equiv.) per kg API'] of Unique Inputs],Table_Process_Details[[#This Row],[Table Row]]))</f>
        <v>1.1488716133235466</v>
      </c>
      <c r="FH19" s="126">
        <f ca="1">SUM(OFFSET(Table_Process_Details['[GWP (kg CO2 equiv.) per kg API'] of Unique Inputs Sorted by '[GWP (kg CO2 equiv.) per kg API']],0,0,Table_Process_Details[[#This Row],[Table Row]]))</f>
        <v>153.27793658013681</v>
      </c>
      <c r="FI19" s="126" t="str">
        <f ca="1">"("&amp;TEXT(Table_Process_Details[[#This Row],['[GWP (kg CO2 equiv.) per kg API'] of Unique Inputs Sorted by '[GWP (kg CO2 equiv.) per kg API']]]/SUMIF(Table_Process_Details['[GWP (kg CO2 equiv.) per kg API'] of Unique Inputs Sorted by '[GWP (kg CO2 equiv.) per kg API']],"&lt;&gt;#N/A"),"0%")&amp;")"</f>
        <v>(1%)</v>
      </c>
      <c r="FJ19" s="126">
        <f ca="1">INDEX(Table_Process_Details[Total '[GWP (kg CO2 equiv.) per kg API'] of Unique Inputs (REAGENT)], MATCH(Table_Process_Details[[#This Row],[Unique Inputs Sorted by '[GWP (kg CO2 equiv.) per kg API']]],Table_Process_Details[Unique Process Inputs],0))</f>
        <v>1.1441181868232713</v>
      </c>
      <c r="FK19" s="126">
        <f ca="1">INDEX(Table_Process_Details[Total '[GWP (kg CO2 equiv.) per kg API'] of Unique Inputs (METAL)], MATCH(Table_Process_Details[[#This Row],[Unique Inputs Sorted by '[GWP (kg CO2 equiv.) per kg API']]],Table_Process_Details[Unique Process Inputs],0))</f>
        <v>0</v>
      </c>
      <c r="FL19" s="126">
        <f ca="1">INDEX(Table_Process_Details[Total '[GWP (kg CO2 equiv.) per kg API'] of Unique Inputs (SOLVENT)], MATCH(Table_Process_Details[[#This Row],[Unique Inputs Sorted by '[GWP (kg CO2 equiv.) per kg API']]],Table_Process_Details[Unique Process Inputs],0))</f>
        <v>0</v>
      </c>
      <c r="FM19" s="126">
        <f ca="1">INDEX(Table_Process_Details[Total '[GWP (kg CO2 equiv.) per kg API'] of Unique Inputs (WATER)], MATCH(Table_Process_Details[[#This Row],[Unique Inputs Sorted by '[GWP (kg CO2 equiv.) per kg API']]],Table_Process_Details[Unique Process Inputs],0))</f>
        <v>4.7534265002752828E-3</v>
      </c>
      <c r="FN19" s="126">
        <f ca="1">INDEX(Table_Process_Details[Total '[GWP (kg CO2 equiv.) per kg API'] of Unique Inputs (ENZ&amp;PLNT)], MATCH(Table_Process_Details[[#This Row],[Unique Inputs Sorted by '[GWP (kg CO2 equiv.) per kg API']]],Table_Process_Details[Unique Process Inputs],0))</f>
        <v>0</v>
      </c>
      <c r="FO19" s="126">
        <f ca="1">INDEX(Table_Process_Details[Total '[GWP (kg CO2 equiv.) per kg API'] of Unique Inputs (OTHER)], MATCH(Table_Process_Details[[#This Row],[Unique Inputs Sorted by '[GWP (kg CO2 equiv.) per kg API']]],Table_Process_Details[Unique Process Inputs],0))</f>
        <v>0</v>
      </c>
      <c r="FP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9" s="126">
        <f ca="1">SUMIFS(Table_Process_Details[RV Acidification (kg SO2 equiv.) per kg API],Table_Process_Details[Display Name],Table_Process_Details[[#This Row],[Unique Process Inputs]],Table_Process_Details[Input or Output],"Input")</f>
        <v>3.922535803076812E-6</v>
      </c>
      <c r="FX19" s="131">
        <f ca="1">SUMIFS(Table_Process_Details[RV Acidification (kg SO2 equiv.) per kg API (REAGENT)],Table_Process_Details[Display Name],Table_Process_Details[[#This Row],[Unique Process Inputs]],Table_Process_Details[Input or Output],"Input")</f>
        <v>3.922535803076812E-6</v>
      </c>
      <c r="FY19" s="131">
        <f ca="1">SUMIFS(Table_Process_Details[RV Acidification (kg SO2 equiv.) per kg API (METAL)],Table_Process_Details[Display Name],Table_Process_Details[[#This Row],[Unique Process Inputs]],Table_Process_Details[Input or Output],"Input")</f>
        <v>0</v>
      </c>
      <c r="FZ19" s="131">
        <f ca="1">SUMIFS(Table_Process_Details[RV Acidification (kg SO2 equiv.) per kg API (SOLVENT)],Table_Process_Details[Display Name],Table_Process_Details[[#This Row],[Unique Process Inputs]],Table_Process_Details[Input or Output],"Input")</f>
        <v>0</v>
      </c>
      <c r="GA19" s="131">
        <f ca="1">SUMIFS(Table_Process_Details[RV Acidification (kg SO2 equiv.) per kg API (WATER)],Table_Process_Details[Display Name],Table_Process_Details[[#This Row],[Unique Process Inputs]],Table_Process_Details[Input or Output],"Input")</f>
        <v>0</v>
      </c>
      <c r="GB19" s="131">
        <f ca="1">SUMIFS(Table_Process_Details[RV Acidification (kg SO2 equiv.) per kg API (ENZ&amp;PLNT)],Table_Process_Details[Display Name],Table_Process_Details[[#This Row],[Unique Process Inputs]],Table_Process_Details[Input or Output],"Input")</f>
        <v>0</v>
      </c>
      <c r="GC19" s="131">
        <f ca="1">SUMIFS(Table_Process_Details[RV Acidification (kg SO2 equiv.) per kg API (OTHER)],Table_Process_Details[Display Name],Table_Process_Details[[#This Row],[Unique Process Inputs]],Table_Process_Details[Input or Output],"Input")</f>
        <v>0</v>
      </c>
      <c r="GD19"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V (organic)</v>
      </c>
      <c r="GE19" s="126">
        <f ca="1">IF(LARGE(Table_Process_Details[Total '[Acidification (kg SO2 equiv.) per kg API'] of Unique Inputs],Table_Process_Details[[#This Row],[Table Row]])=0,NA(),LARGE(Table_Process_Details[Total '[Acidification (kg SO2 equiv.) per kg API'] of Unique Inputs],Table_Process_Details[[#This Row],[Table Row]]))</f>
        <v>8.9784909948387101E-3</v>
      </c>
      <c r="GF19" s="126">
        <f ca="1">SUM(OFFSET(Table_Process_Details['[Acidification (kg SO2 equiv.) per kg API'] of Unique Inputs Sorted by '[Acidification (kg SO2 equiv.) per kg API']],0,0,Table_Process_Details[[#This Row],[Table Row]]))</f>
        <v>0.63226378180641252</v>
      </c>
      <c r="GG19"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(1%)</v>
      </c>
      <c r="GH19" s="126">
        <f ca="1">INDEX(Table_Process_Details[Total '[Acidification (kg SO2 equiv.) per kg API'] of Unique Inputs (REAGENT)], MATCH(Table_Process_Details[[#This Row],[Unique Inputs Sorted by '[Acidification (kg SO2 equiv.) per kg API']]],Table_Process_Details[Unique Process Inputs],0))</f>
        <v>8.9784909948387101E-3</v>
      </c>
      <c r="GI19" s="126">
        <f ca="1">INDEX(Table_Process_Details[Total '[Acidification (kg SO2 equiv.) per kg API'] of Unique Inputs (METAL)], MATCH(Table_Process_Details[[#This Row],[Unique Inputs Sorted by '[Acidification (kg SO2 equiv.) per kg API']]],Table_Process_Details[Unique Process Inputs],0))</f>
        <v>0</v>
      </c>
      <c r="GJ19" s="126">
        <f ca="1">INDEX(Table_Process_Details[Total '[Acidification (kg SO2 equiv.) per kg API'] of Unique Inputs (SOLVENT)], MATCH(Table_Process_Details[[#This Row],[Unique Inputs Sorted by '[Acidification (kg SO2 equiv.) per kg API']]],Table_Process_Details[Unique Process Inputs],0))</f>
        <v>0</v>
      </c>
      <c r="GK19" s="126">
        <f ca="1">INDEX(Table_Process_Details[Total '[Acidification (kg SO2 equiv.) per kg API'] of Unique Inputs (WATER)], MATCH(Table_Process_Details[[#This Row],[Unique Inputs Sorted by '[Acidification (kg SO2 equiv.) per kg API']]],Table_Process_Details[Unique Process Inputs],0))</f>
        <v>0</v>
      </c>
      <c r="GL19" s="126">
        <f ca="1">INDEX(Table_Process_Details[Total '[Acidification (kg SO2 equiv.) per kg API'] of Unique Inputs (ENZ&amp;PLNT)], MATCH(Table_Process_Details[[#This Row],[Unique Inputs Sorted by '[Acidification (kg SO2 equiv.) per kg API']]],Table_Process_Details[Unique Process Inputs],0))</f>
        <v>0</v>
      </c>
      <c r="GM19" s="126">
        <f ca="1">INDEX(Table_Process_Details[Total '[Acidification (kg SO2 equiv.) per kg API'] of Unique Inputs (OTHER)], MATCH(Table_Process_Details[[#This Row],[Unique Inputs Sorted by '[Acidification (kg SO2 equiv.) per kg API']]],Table_Process_Details[Unique Process Inputs],0))</f>
        <v>0</v>
      </c>
      <c r="GN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9" s="126">
        <f ca="1">SUMIFS(Table_Process_Details[RV Eutrophication (kg phosphate equiv.) per kg API],Table_Process_Details[Display Name],Table_Process_Details[[#This Row],[Unique Process Inputs]],Table_Process_Details[Input or Output],"Input")</f>
        <v>3.1408116216878934E-6</v>
      </c>
      <c r="GV19" s="131">
        <f ca="1">SUMIFS(Table_Process_Details[RV Eutrophication (kg phosphate equiv.) per kg API (REAGENT)],Table_Process_Details[Display Name],Table_Process_Details[[#This Row],[Unique Process Inputs]],Table_Process_Details[Input or Output],"Input")</f>
        <v>3.1408116216878934E-6</v>
      </c>
      <c r="GW19" s="131">
        <f ca="1">SUMIFS(Table_Process_Details[RV Eutrophication (kg phosphate equiv.) per kg API (METAL)],Table_Process_Details[Display Name],Table_Process_Details[[#This Row],[Unique Process Inputs]],Table_Process_Details[Input or Output],"Input")</f>
        <v>0</v>
      </c>
      <c r="GX19" s="131">
        <f ca="1">SUMIFS(Table_Process_Details[RV Eutrophication (kg phosphate equiv.) per kg API (SOLVENT)],Table_Process_Details[Display Name],Table_Process_Details[[#This Row],[Unique Process Inputs]],Table_Process_Details[Input or Output],"Input")</f>
        <v>0</v>
      </c>
      <c r="GY19" s="131">
        <f ca="1">SUMIFS(Table_Process_Details[RV Eutrophication (kg phosphate equiv.) per kg API (WATER)],Table_Process_Details[Display Name],Table_Process_Details[[#This Row],[Unique Process Inputs]],Table_Process_Details[Input or Output],"Input")</f>
        <v>0</v>
      </c>
      <c r="GZ19" s="131">
        <f ca="1">SUMIFS(Table_Process_Details[RV Eutrophication (kg phosphate equiv.) per kg API (ENZ&amp;PLNT)],Table_Process_Details[Display Name],Table_Process_Details[[#This Row],[Unique Process Inputs]],Table_Process_Details[Input or Output],"Input")</f>
        <v>0</v>
      </c>
      <c r="HA19" s="131">
        <f ca="1">SUMIFS(Table_Process_Details[RV Eutrophication (kg phosphate equiv.) per kg API (OTHER)],Table_Process_Details[Display Name],Table_Process_Details[[#This Row],[Unique Process Inputs]],Table_Process_Details[Input or Output],"Input")</f>
        <v>0</v>
      </c>
      <c r="HB19"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O (organic)</v>
      </c>
      <c r="HC19" s="126">
        <f ca="1">IF(LARGE(Table_Process_Details[Total '[Eutrophication (kg posphate equiv.) per kg API'] of Unique Inputs],Table_Process_Details[[#This Row],[Table Row]])=0,NA(),LARGE(Table_Process_Details[Total '[Eutrophication (kg posphate equiv.) per kg API'] of Unique Inputs],Table_Process_Details[[#This Row],[Table Row]]))</f>
        <v>1.2563246486751573E-3</v>
      </c>
      <c r="HD19" s="126">
        <f ca="1">SUM(OFFSET(Table_Process_Details['[Eutrophication (kg posphate equiv.) per kg API'] of Unique Inputs Sorted by '[Eutrophication (kg posphate equiv.) per kg API']],0,0,Table_Process_Details[[#This Row],[Table Row]]))</f>
        <v>1.3711687919671753</v>
      </c>
      <c r="HE19"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19" s="131">
        <f ca="1">INDEX(Table_Process_Details[Total '[Eutrophication (kg posphate equiv.) per kg API'] of Unique Inputs (REAGENT)], MATCH(Table_Process_Details[[#This Row],[Unique Inputs Sorted by '[Eutrophication (kg posphate equiv.) per kg API']]],Table_Process_Details[Unique Process Inputs],0))</f>
        <v>1.2563246486751573E-3</v>
      </c>
      <c r="HG19" s="131">
        <f ca="1">INDEX(Table_Process_Details[Total '[Eutrophication (kg posphate equiv.) per kg API'] of Unique Inputs (METAL)], MATCH(Table_Process_Details[[#This Row],[Unique Inputs Sorted by '[Eutrophication (kg posphate equiv.) per kg API']]],Table_Process_Details[Unique Process Inputs],0))</f>
        <v>0</v>
      </c>
      <c r="HH19" s="131">
        <f ca="1">INDEX(Table_Process_Details[Total '[Eutrophication (kg posphate equiv.) per kg API'] of Unique Inputs (SOLVENT)], MATCH(Table_Process_Details[[#This Row],[Unique Inputs Sorted by '[Eutrophication (kg posphate equiv.) per kg API']]],Table_Process_Details[Unique Process Inputs],0))</f>
        <v>0</v>
      </c>
      <c r="HI19" s="131">
        <f ca="1">INDEX(Table_Process_Details[Total '[Eutrophication (kg posphate equiv.) per kg API'] of Unique Inputs (WATER)], MATCH(Table_Process_Details[[#This Row],[Unique Inputs Sorted by '[Eutrophication (kg posphate equiv.) per kg API']]],Table_Process_Details[Unique Process Inputs],0))</f>
        <v>0</v>
      </c>
      <c r="HJ19" s="131">
        <f ca="1">INDEX(Table_Process_Details[Total '[Eutrophication (kg posphate equiv.) per kg API'] of Unique Inputs (ENZ&amp;PLNT)], MATCH(Table_Process_Details[[#This Row],[Unique Inputs Sorted by '[Eutrophication (kg posphate equiv.) per kg API']]],Table_Process_Details[Unique Process Inputs],0))</f>
        <v>0</v>
      </c>
      <c r="HK19" s="131">
        <f ca="1">INDEX(Table_Process_Details[Total '[Eutrophication (kg posphate equiv.) per kg API'] of Unique Inputs (OTHER)], MATCH(Table_Process_Details[[#This Row],[Unique Inputs Sorted by '[Eutrophication (kg posphate equiv.) per kg API']]],Table_Process_Details[Unique Process Inputs],0))</f>
        <v>0</v>
      </c>
      <c r="HL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9" s="131">
        <f ca="1">SUMIFS(Table_Process_Details[RV Water (kg) per kg API],Table_Process_Details[Display Name],Table_Process_Details[[#This Row],[Unique Process Inputs]],Table_Process_Details[Input or Output],"Input")</f>
        <v>5.1360894142072483E-3</v>
      </c>
      <c r="HT19" s="131">
        <f ca="1">SUMIFS(Table_Process_Details[RV Water (kg) per kg API (REAGENT)],Table_Process_Details[Display Name],Table_Process_Details[[#This Row],[Unique Process Inputs]],Table_Process_Details[Input or Output],"Input")</f>
        <v>5.1360894142072483E-3</v>
      </c>
      <c r="HU19" s="131">
        <f ca="1">SUMIFS(Table_Process_Details[RV Water (kg) per kg API (METAL)],Table_Process_Details[Display Name],Table_Process_Details[[#This Row],[Unique Process Inputs]],Table_Process_Details[Input or Output],"Input")</f>
        <v>0</v>
      </c>
      <c r="HV19" s="131">
        <f ca="1">SUMIFS(Table_Process_Details[RV Water (kg) per kg API (SOLVENT)],Table_Process_Details[Display Name],Table_Process_Details[[#This Row],[Unique Process Inputs]],Table_Process_Details[Input or Output],"Input")</f>
        <v>0</v>
      </c>
      <c r="HW19" s="131">
        <f ca="1">SUMIFS(Table_Process_Details[RV Water (kg) per kg API (WATER)],Table_Process_Details[Display Name],Table_Process_Details[[#This Row],[Unique Process Inputs]],Table_Process_Details[Input or Output],"Input")</f>
        <v>0</v>
      </c>
      <c r="HX19" s="131">
        <f ca="1">SUMIFS(Table_Process_Details[RV Water (kg) per kg API (ENZ&amp;PLNT)],Table_Process_Details[Display Name],Table_Process_Details[[#This Row],[Unique Process Inputs]],Table_Process_Details[Input or Output],"Input")</f>
        <v>0</v>
      </c>
      <c r="HY19" s="131">
        <f ca="1">SUMIFS(Table_Process_Details[RV Water (kg) per kg API (OTHER)],Table_Process_Details[Display Name],Table_Process_Details[[#This Row],[Unique Process Inputs]],Table_Process_Details[Input or Output],"Input")</f>
        <v>0</v>
      </c>
      <c r="HZ19" s="126" t="str">
        <f ca="1">INDEX(Table_Process_Details[Unique Process Inputs],MATCH(Table_Process_Details[[#This Row],['[Water (kg) per kg API'] of Unique Inputs Sorted by '[Water (kg) per kg API']]],Table_Process_Details[Total '[Water (kg) per kg API'] of Unique Inputs],0))</f>
        <v>0.1 M reagent G (inorganic) in water</v>
      </c>
      <c r="IA19" s="126">
        <f ca="1">IF(LARGE(Table_Process_Details[Total '[Water (kg) per kg API'] of Unique Inputs],Table_Process_Details[[#This Row],[Table Row]])=0,NA(),LARGE(Table_Process_Details[Total '[Water (kg) per kg API'] of Unique Inputs],Table_Process_Details[[#This Row],[Table Row]]))</f>
        <v>5.2877693397403256</v>
      </c>
      <c r="IB19" s="131">
        <f ca="1">SUM(OFFSET(Table_Process_Details['[Water (kg) per kg API'] of Unique Inputs Sorted by '[Water (kg) per kg API']],0,0,Table_Process_Details[[#This Row],[Table Row]]))</f>
        <v>866.98652005191184</v>
      </c>
      <c r="IC19" s="131" t="str">
        <f ca="1">"("&amp;TEXT(Table_Process_Details[[#This Row],['[Water (kg) per kg API'] of Unique Inputs Sorted by '[Water (kg) per kg API']]]/SUMIF(Table_Process_Details['[Water (kg) per kg API'] of Unique Inputs Sorted by '[Water (kg) per kg API']],"&lt;&gt;#N/A"),"0%")&amp;")"</f>
        <v>(1%)</v>
      </c>
      <c r="ID19" s="131">
        <f ca="1">INDEX(Table_Process_Details[Total '[Water (kg) per kg API'] of Unique Inputs (REAGENT)], MATCH(Table_Process_Details[[#This Row],[Unique Inputs Sorted by '[Water (kg) per kg API']]],Table_Process_Details[Unique Process Inputs],0))</f>
        <v>1.3041862633033861E-2</v>
      </c>
      <c r="IE19" s="131">
        <f ca="1">INDEX(Table_Process_Details[Total '[Water (kg) per kg API'] of Unique Inputs (METAL)], MATCH(Table_Process_Details[[#This Row],[Unique Inputs Sorted by '[Water (kg) per kg API']]],Table_Process_Details[Unique Process Inputs],0))</f>
        <v>0</v>
      </c>
      <c r="IF19" s="131">
        <f ca="1">INDEX(Table_Process_Details[Total '[Water (kg) per kg API'] of Unique Inputs (SOLVENT)], MATCH(Table_Process_Details[[#This Row],[Unique Inputs Sorted by '[Water (kg) per kg API']]],Table_Process_Details[Unique Process Inputs],0))</f>
        <v>0</v>
      </c>
      <c r="IG19" s="131">
        <f ca="1">INDEX(Table_Process_Details[Total '[Water (kg) per kg API'] of Unique Inputs (WATER)], MATCH(Table_Process_Details[[#This Row],[Unique Inputs Sorted by '[Water (kg) per kg API']]],Table_Process_Details[Unique Process Inputs],0))</f>
        <v>5.2747274771072918</v>
      </c>
      <c r="IH19" s="131">
        <f ca="1">INDEX(Table_Process_Details[Total '[Water (kg) per kg API'] of Unique Inputs (ENZ&amp;PLNT)], MATCH(Table_Process_Details[[#This Row],[Unique Inputs Sorted by '[Water (kg) per kg API']]],Table_Process_Details[Unique Process Inputs],0))</f>
        <v>0</v>
      </c>
      <c r="II19" s="131">
        <f ca="1">INDEX(Table_Process_Details[Total '[Water (kg) per kg API'] of Unique Inputs (OTHER)], MATCH(Table_Process_Details[[#This Row],[Unique Inputs Sorted by '[Water (kg) per kg API']]],Table_Process_Details[Unique Process Inputs],0))</f>
        <v>0</v>
      </c>
    </row>
    <row r="20" spans="1:243" customFormat="1" x14ac:dyDescent="0.25">
      <c r="A20" s="22" t="str">
        <f>'1. Define Process Steps'!A12</f>
        <v>1f) Virtual solution prep for (1) and (3): 20 wt% reagent D (organic) in DMF</v>
      </c>
      <c r="B20" s="21" t="s">
        <v>4</v>
      </c>
      <c r="C20" s="21" t="s">
        <v>153</v>
      </c>
      <c r="D20" s="22" t="s">
        <v>156</v>
      </c>
      <c r="E20" s="22" t="s">
        <v>819</v>
      </c>
      <c r="F20" s="26">
        <v>20</v>
      </c>
      <c r="G20" s="26"/>
      <c r="H20" s="26"/>
      <c r="I20" s="26"/>
      <c r="J20" s="26" t="str">
        <f>INDEX(Process_Steps[Reference],MATCH(Table_Process_Details[[#This Row],[Step Name]],Process_Steps[Name],0))</f>
        <v>Reference Document  for Step 1</v>
      </c>
      <c r="K20" s="27" t="str">
        <f>INDEX(Process_Steps[Real or Virtual?],MATCH(Table_Process_Details[[#This Row],[Step Name]],Process_Steps[Name],0))</f>
        <v>Real</v>
      </c>
      <c r="L2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0" s="26">
        <f>INDEX(Table_Process_Details[Physical Mass (kg)],MATCH(1,INDEX(((Table_Process_Details[Step Name]=Table_Process_Details[[#This Row],[Step Name]])*(Table_Process_Details[Input or Output]="Output")),0),0))</f>
        <v>100</v>
      </c>
      <c r="O20" s="29">
        <f ca="1">INDEX(Process_Steps[Step Scale Factor for 1kg Packaged API],MATCH(Table_Process_Details[[#This Row],[Step Name]],Process_Steps[Name],0))</f>
        <v>6.0993994366774176E-2</v>
      </c>
      <c r="P2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5.333333333333333</v>
      </c>
      <c r="Q2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14.333333333333332</v>
      </c>
      <c r="R20" s="26">
        <f ca="1">_xlfn.SWITCH(Run_Reset_PNG,"Reset",Table_Process_Details[[#This Row],[X Init]],"Run",Table_Process_Details[[#This Row],[X Moved]],"Freeze",Table_Process_Details[[#This Row],[X Mover]])</f>
        <v>14.989868850382683</v>
      </c>
      <c r="S20" s="26">
        <f ca="1">_xlfn.SWITCH(Run_Reset_PNG,"Reset",Table_Process_Details[[#This Row],[Y Init]],"Run",Table_Process_Details[[#This Row],[Y Moved]],"Freeze",Table_Process_Details[[#This Row],[Y Mover]])</f>
        <v>23.62796102157942</v>
      </c>
      <c r="T20" s="26" cm="1">
        <f t="array" aca="1" ref="T2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2.4544353925325519</v>
      </c>
      <c r="U20" s="26" cm="1">
        <f t="array" aca="1" ref="U2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4.1310550271945763</v>
      </c>
      <c r="V20" s="26" cm="1">
        <f t="array" aca="1" ref="V20" ca="1">SUM(--(SQRT((Table_Process_Details[[#This Row],[X Mover]]-Table_Process_Details[X Mover])^2+(Table_Process_Details[[#This Row],[Y Mover]]-Table_Process_Details[Y Mover])^2)&lt;Collision_Distance))</f>
        <v>10</v>
      </c>
      <c r="W20" s="26" cm="1">
        <f t="array" aca="1" ref="W2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-0.21882088923923892</v>
      </c>
      <c r="X20" s="26" cm="1">
        <f t="array" aca="1" ref="X2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-0.35378259996498895</v>
      </c>
      <c r="Y20" s="26" cm="1">
        <f t="array" aca="1" ref="Y2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0" s="26">
        <f>0</f>
        <v>0</v>
      </c>
      <c r="AA20" s="26">
        <f>0</f>
        <v>0</v>
      </c>
      <c r="AB2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-7.4949344251913415</v>
      </c>
      <c r="AC20" s="26" cm="1">
        <f t="array" aca="1" ref="AC2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-11.81398051078971</v>
      </c>
      <c r="AD20" s="26">
        <f>MIN(1,COUNTA(Table_Process_Details[[#This Row],[target x]]),COUNTA(Table_Process_Details[[#This Row],[target y]]))*COUNTA(Table_Process_Details[Step Name])</f>
        <v>98</v>
      </c>
      <c r="AE2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14.940012577690664</v>
      </c>
      <c r="AF2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23.566733102795215</v>
      </c>
      <c r="AG2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0" s="26" cm="1">
        <f t="array" aca="1" ref="AH20" ca="1">INDEX(Table_Process_Details[X Mover],MATCH(1,INDEX((Table_Process_Details[Input or Output]="Output")*(Table_Process_Details[Step Name]=Table_Process_Details[[#This Row],[Step Name]])*(Table_Process_Details[[#This Row],[Input or Output]]="Input"),0),0))</f>
        <v>12.974140333930144</v>
      </c>
      <c r="AI20" s="26" cm="1">
        <f t="array" aca="1" ref="AI20" ca="1">INDEX(Table_Process_Details[Y Mover],MATCH(1,INDEX((Table_Process_Details[Input or Output]="Output")*(Table_Process_Details[Step Name]=Table_Process_Details[[#This Row],[Step Name]])*(Table_Process_Details[[#This Row],[Input or Output]]="Input"),0),0))</f>
        <v>20.368995765321468</v>
      </c>
      <c r="AJ20" s="26">
        <f ca="1">SQRT((Table_Process_Details[[#This Row],[X End (To Node Center)]]-Table_Process_Details[[#This Row],[X Guide]])^2+(Table_Process_Details[[#This Row],[Y End (to Node Center)]]-Table_Process_Details[[#This Row],[Y Guide]])^2)</f>
        <v>3.8319728591857758</v>
      </c>
      <c r="AK20" s="26" t="e" cm="1">
        <f t="array" ref="AK20">INDEX(Table_Process_Details[X Mover],MATCH(1,INDEX((Table_Process_Details[Step Name]=Table_Process_Details[[#This Row],[LCA Data Source Subclass]])*(Table_Process_Details[Input or Output]="Output"),0)*(Table_Process_Details[[#This Row],[Input or Output]]="Input"),0))</f>
        <v>#N/A</v>
      </c>
      <c r="AL20" s="26" cm="1">
        <f t="array" aca="1" ref="AL20" ca="1">INDEX(Table_Process_Details[X Mover],MATCH(1,INDEX(((Table_Process_Details[Table Row]=Table_Process_Details[[#This Row],[Table Row]])*(1)),0)*(Table_Process_Details[[#This Row],[Input or Output]]="Input"),0))</f>
        <v>14.989868850382683</v>
      </c>
      <c r="AM20" s="26" cm="1">
        <f t="array" aca="1" ref="AM20" ca="1">(Table_Process_Details[[#This Row],[X End (To Node Center)]]*Table_Process_Details[[#This Row],[r0]]-Table_Process_Details[[#This Row],[X End (To Node Center)]]*Arrow_Offset+Table_Process_Details[[#This Row],[X Guide]]*Arrow_Offset)/Table_Process_Details[[#This Row],[r0]]</f>
        <v>13.394963464056561</v>
      </c>
      <c r="AN20" s="26" t="e">
        <f>IF(NOT(Table_Process_Details[[#This Row],[Display As]]="None"),Table_Process_Details[[#This Row],[X Start Prefilter]],NA())</f>
        <v>#N/A</v>
      </c>
      <c r="AO20" s="26">
        <f ca="1">IF(NOT(Table_Process_Details[[#This Row],[Display As]]="None"),Table_Process_Details[[#This Row],[X Guide Prefilter]],NA())</f>
        <v>14.989868850382683</v>
      </c>
      <c r="AP20" s="26">
        <f ca="1">IF(NOT(Table_Process_Details[[#This Row],[Display As]]="None"),Table_Process_Details[[#This Row],[X End (to Stop Radius) Prefilter]],NA())</f>
        <v>13.394963464056561</v>
      </c>
      <c r="AQ20" s="26" t="e">
        <f>NA()</f>
        <v>#N/A</v>
      </c>
      <c r="AR20" s="26" t="e" cm="1">
        <f t="array" ref="AR20">INDEX(Table_Process_Details[Y Mover],MATCH(1,INDEX((Table_Process_Details[Step Name]=Table_Process_Details[[#This Row],[LCA Data Source Subclass]])*(Table_Process_Details[Input or Output]="Output"),0)*(Table_Process_Details[[#This Row],[Input or Output]]="Input"),0))</f>
        <v>#N/A</v>
      </c>
      <c r="AS20" s="26" cm="1">
        <f t="array" aca="1" ref="AS20" ca="1">INDEX(Table_Process_Details[Y Mover],MATCH(1,INDEX(((Table_Process_Details[Table Row]=Table_Process_Details[[#This Row],[Table Row]])*(1)),0)*(Table_Process_Details[[#This Row],[Input or Output]]="Input"),0))</f>
        <v>23.62796102157942</v>
      </c>
      <c r="AT20" s="26" cm="1">
        <f t="array" aca="1" ref="AT20" ca="1">(Table_Process_Details[[#This Row],[Y Guide]]*Arrow_Offset-Table_Process_Details[[#This Row],[Y End (to Node Center)]]*Arrow_Offset+Table_Process_Details[[#This Row],[Y End (to Node Center)]]*Table_Process_Details[[#This Row],[r0]])/Table_Process_Details[[#This Row],[r0]]</f>
        <v>21.049369113675596</v>
      </c>
      <c r="AU20" s="26" t="e">
        <f>IF(NOT(Table_Process_Details[[#This Row],[Display As]]="None"),Table_Process_Details[[#This Row],[Y Start Prefilter]],NA())</f>
        <v>#N/A</v>
      </c>
      <c r="AV20" s="26">
        <f ca="1">IF(NOT(Table_Process_Details[[#This Row],[Display As]]="None"),Table_Process_Details[[#This Row],[Y Guide Prefilter]],NA())</f>
        <v>23.62796102157942</v>
      </c>
      <c r="AW20" s="26">
        <f ca="1">IF(NOT(Table_Process_Details[[#This Row],[Display As]]="None"),Table_Process_Details[[#This Row],[Y End (to Stop Radius) Prefilter]],NA())</f>
        <v>21.049369113675596</v>
      </c>
      <c r="AX20" s="26" t="e">
        <f>NA()</f>
        <v>#N/A</v>
      </c>
      <c r="AY20" s="26" t="e">
        <f>IF(Table_Process_Details[[#This Row],[Display As]]="Real Step",Table_Process_Details[[#This Row],[X Mover]],NA())</f>
        <v>#N/A</v>
      </c>
      <c r="AZ20" s="26" t="e">
        <f>IF(Table_Process_Details[[#This Row],[Display As]]="Real Step",Table_Process_Details[[#This Row],[Y Mover]],NA())</f>
        <v>#N/A</v>
      </c>
      <c r="BA20" s="26">
        <f ca="1">IF(Table_Process_Details[[#This Row],[Display As]]="Raw Material",Table_Process_Details[[#This Row],[X Mover]],NA())</f>
        <v>14.989868850382683</v>
      </c>
      <c r="BB20" s="26">
        <f ca="1">IF(Table_Process_Details[[#This Row],[Display As]]="Raw Material",Table_Process_Details[[#This Row],[Y Mover]],NA())</f>
        <v>23.62796102157942</v>
      </c>
      <c r="BC20" s="26">
        <f ca="1">IF(OR(Table_Process_Details[[#This Row],[Display As]]="Real Step",Table_Process_Details[[#This Row],[Display As]]="Raw Material"),Table_Process_Details[[#This Row],[X Mover]],NA())</f>
        <v>14.989868850382683</v>
      </c>
      <c r="BD20" s="26">
        <f ca="1">IF(OR(Table_Process_Details[[#This Row],[Display As]]="Real Step",Table_Process_Details[[#This Row],[Display As]]="Raw Material"),Table_Process_Details[[#This Row],[Y Mover]],NA())</f>
        <v>23.62796102157942</v>
      </c>
      <c r="BE20" s="22">
        <f>ROW()-ROW(Table_Process_Details[[#Headers],[Table Row]])</f>
        <v>16</v>
      </c>
      <c r="BF20" s="23" t="str" cm="1">
        <f t="array" aca="1" ref="BF20" ca="1">INDEX(Table_Process_Details[Display Name],MATCH(0,IF(Table_Process_Details[Input or Output]="Input",INDEX(COUNTIF(OFFSET(Table_Process_Details[[#Headers],[Unique Process Inputs]],0,0,Table_Process_Details[[#This Row],[Table Row]],1),Table_Process_Details[Display Name]),),""),0))</f>
        <v>5 wt% reagent A (organic) in acetonitrile</v>
      </c>
      <c r="BG20" s="23">
        <f ca="1">Table_Process_Details[[#This Row],[Physical Mass (kg)]]*Table_Process_Details[[#This Row],[Step Scale Factor for 1kg Packaged API]]</f>
        <v>1.2198798873354835</v>
      </c>
      <c r="BH2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0" s="23">
        <f ca="1">MATCH(Table_Process_Details[[#This Row],[LCA Data Source Class]],INDIRECT(Table_Process_Details[[#This Row],[Input or Output]]),0)</f>
        <v>3</v>
      </c>
      <c r="BJ20" s="23">
        <f ca="1">MATCH(Table_Process_Details[[#This Row],[LCA Data Source Subclass]],INDIRECT(Table_Process_Details[[#This Row],[LCA Data Source Class]]&amp;"[Name]"),0)</f>
        <v>1</v>
      </c>
      <c r="BK20" s="23">
        <f ca="1">IFERROR(INDEX(INDIRECT(Table_Process_Details[[#This Row],[LCA Data Source Class]]&amp;"[Mass Net (kg)]"),MATCH(Table_Process_Details[[#This Row],[LCA Data Source Subclass]],INDIRECT(Table_Process_Details[[#This Row],[LCA Data Source Class]]&amp;"[Name]"),0)),0)</f>
        <v>2.0861208174193546</v>
      </c>
      <c r="BL20" s="23">
        <f ca="1">IFERROR(INDEX(INDIRECT(Table_Process_Details[[#This Row],[LCA Data Source Class]]&amp;"[Energy (MJ)]"),MATCH(Table_Process_Details[[#This Row],[LCA Data Source Subclass]],INDIRECT(Table_Process_Details[[#This Row],[LCA Data Source Class]]&amp;"[Name]"),0)),0)</f>
        <v>74.867288612903238</v>
      </c>
      <c r="BM20" s="23">
        <f ca="1">IFERROR(INDEX(INDIRECT(Table_Process_Details[[#This Row],[LCA Data Source Class]]&amp;"[GWP (kg CO2 equiv.)]"),MATCH(Table_Process_Details[[#This Row],[LCA Data Source Subclass]],INDIRECT(Table_Process_Details[[#This Row],[LCA Data Source Class]]&amp;"[Name]"),0)),0)</f>
        <v>2.6244035558064511</v>
      </c>
      <c r="BN20" s="23">
        <f ca="1">IFERROR(INDEX(INDIRECT(Table_Process_Details[[#This Row],[LCA Data Source Class]]&amp;"[Acidification (kg SO2 equiv.)]"),MATCH(Table_Process_Details[[#This Row],[LCA Data Source Subclass]],INDIRECT(Table_Process_Details[[#This Row],[LCA Data Source Class]]&amp;"[Name]"),0)),0)</f>
        <v>1.1223113743548388E-2</v>
      </c>
      <c r="BO20" s="23">
        <f ca="1">IFERROR(INDEX(INDIRECT(Table_Process_Details[[#This Row],[LCA Data Source Class]]&amp;"[Eutrophication (kg posphate equiv.)]"),MATCH(Table_Process_Details[[#This Row],[LCA Data Source Subclass]],INDIRECT(Table_Process_Details[[#This Row],[LCA Data Source Class]]&amp;"[Name]"),0)),0)</f>
        <v>8.9864536225806452E-3</v>
      </c>
      <c r="BP20" s="23">
        <f ca="1">IFERROR(INDEX(INDIRECT(Table_Process_Details[[#This Row],[LCA Data Source Class]]&amp;"[Water (kg)]"),MATCH(Table_Process_Details[[#This Row],[LCA Data Source Subclass]],INDIRECT(Table_Process_Details[[#This Row],[LCA Data Source Class]]&amp;"[Name]"),0)),0)</f>
        <v>14.695319198225807</v>
      </c>
      <c r="BQ20" s="27">
        <f ca="1">(Table_Process_Details[[#This Row],[Input or Output]]="Input")*(Table_Process_Details[[#This Row],[LCA Data Source Class]]&lt;&gt;"Process_Steps")*Table_Process_Details[[#This Row],[Scaled Physical Mass per kg API for All Inputs &amp; Outputs]]</f>
        <v>1.2198798873354835</v>
      </c>
      <c r="BR20" s="27">
        <f ca="1">(Table_Process_Details[[#This Row],[Material Class]]="REAGENT")*Table_Process_Details[[#This Row],[Physical Mass per kg API]]</f>
        <v>1.2198798873354835</v>
      </c>
      <c r="BS20" s="27">
        <f ca="1">(Table_Process_Details[[#This Row],[Material Class]]="METAL")*Table_Process_Details[[#This Row],[Physical Mass per kg API]]</f>
        <v>0</v>
      </c>
      <c r="BT20" s="27">
        <f ca="1">(Table_Process_Details[[#This Row],[Material Class]]="SOLVENT")*Table_Process_Details[[#This Row],[Physical Mass per kg API]]</f>
        <v>0</v>
      </c>
      <c r="BU20" s="27">
        <f ca="1">(Table_Process_Details[[#This Row],[Material Class]]="WATER")*Table_Process_Details[[#This Row],[Physical Mass per kg API]]</f>
        <v>0</v>
      </c>
      <c r="BV20" s="27">
        <f ca="1">(Table_Process_Details[[#This Row],[Material Class]]="ENZ&amp;PLNT")*Table_Process_Details[[#This Row],[Physical Mass per kg API]]</f>
        <v>0</v>
      </c>
      <c r="BW20" s="27">
        <f ca="1">(Table_Process_Details[[#This Row],[Material Class]]="OTHER")*Table_Process_Details[[#This Row],[Physical Mass per kg API]]</f>
        <v>0</v>
      </c>
      <c r="BX2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1.2198798873354835</v>
      </c>
      <c r="BY2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1.2198798873354835</v>
      </c>
      <c r="BZ2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0" s="1">
        <f ca="1">SUMIFS(Table_Process_Details[RV Physical Mass per kg API],Table_Process_Details[Display Name],Table_Process_Details[[#This Row],[Unique Process Inputs]],Table_Process_Details[Input or Output],"Input")</f>
        <v>5.5920820445490835E-2</v>
      </c>
      <c r="CF20" s="1">
        <f ca="1">SUMIFS(Table_Process_Details[RV Physical Mass per kg API (REAGENT)],Table_Process_Details[Display Name],Table_Process_Details[[#This Row],[Unique Process Inputs]],Table_Process_Details[Input or Output],"Input")</f>
        <v>2.796041022274542E-3</v>
      </c>
      <c r="CG20" s="1">
        <f ca="1">SUMIFS(Table_Process_Details[RV Physical Mass per kg API (METAL)],Table_Process_Details[Display Name],Table_Process_Details[[#This Row],[Unique Process Inputs]],Table_Process_Details[Input or Output],"Input")</f>
        <v>0</v>
      </c>
      <c r="CH20" s="1">
        <f ca="1">SUMIFS(Table_Process_Details[RV Physical Mass per kg API (SOLVENT)],Table_Process_Details[Display Name],Table_Process_Details[[#This Row],[Unique Process Inputs]],Table_Process_Details[Input or Output],"Input")</f>
        <v>5.3124779423216292E-2</v>
      </c>
      <c r="CI20" s="1">
        <f ca="1">SUMIFS(Table_Process_Details[RV Physical Mass per kg API (WATER)],Table_Process_Details[Display Name],Table_Process_Details[[#This Row],[Unique Process Inputs]],Table_Process_Details[Input or Output],"Input")</f>
        <v>0</v>
      </c>
      <c r="CJ20" s="1">
        <f ca="1">SUMIFS(Table_Process_Details[RV Physical Mass per kg API (ENZ&amp;PLNT)],Table_Process_Details[Display Name],Table_Process_Details[[#This Row],[Unique Process Inputs]],Table_Process_Details[Input or Output],"Input")</f>
        <v>0</v>
      </c>
      <c r="CK20" s="1">
        <f ca="1">SUMIFS(Table_Process_Details[RV Physical Mass per kg API (OTHER)],Table_Process_Details[Display Name],Table_Process_Details[[#This Row],[Unique Process Inputs]],Table_Process_Details[Input or Output],"Input")</f>
        <v>0</v>
      </c>
      <c r="CL20" s="22" t="str">
        <f ca="1">INDEX(Table_Process_Details[Unique Process Inputs],MATCH(Table_Process_Details[[#This Row],['[Physical Mass per kg API'] of Unique Inputs Sorted by '[Physical Mass per kg API']]],Table_Process_Details[Total '[Physical Mass per kg API'] of Unique Inputs],0))</f>
        <v>reagent D (organic)</v>
      </c>
      <c r="CM20" s="22">
        <f ca="1">IF(LARGE(Table_Process_Details[Total '[Physical Mass per kg API'] of Unique Inputs],Table_Process_Details[[#This Row],[Table Row]])=0,NA(),LARGE(Table_Process_Details[Total '[Physical Mass per kg API'] of Unique Inputs],Table_Process_Details[[#This Row],[Table Row]]))</f>
        <v>1.2198798873354835</v>
      </c>
      <c r="CN20" s="22">
        <f ca="1">SUM(OFFSET(Table_Process_Details['[Physical Mass per kg API'] of Unique Inputs Sorted by '[Physical Mass per kg API']],0,0,Table_Process_Details[[#This Row],[Table Row]]))</f>
        <v>141.24941996565678</v>
      </c>
      <c r="CO20" s="22" t="str">
        <f ca="1">"("&amp;TEXT(Table_Process_Details[[#This Row],['[Physical Mass per kg API'] of Unique Inputs Sorted by '[Physical Mass per kg API']]]/SUMIF(Table_Process_Details['[Physical Mass per kg API'] of Unique Inputs Sorted by '[Physical Mass per kg API']],"&lt;&gt;#N/A"),"0%")&amp;")"</f>
        <v>(1%)</v>
      </c>
      <c r="CP20" s="22">
        <f ca="1">INDEX(Table_Process_Details[Total '[Physical Mass per kg API'] of Unique Inputs (REAGENT)],MATCH(Table_Process_Details[[#This Row],[Unique Inputs Sorted by '[Physical Mass per kg API']]],Table_Process_Details[Unique Process Inputs],0))</f>
        <v>1.2198798873354835</v>
      </c>
      <c r="CQ20" s="22">
        <f ca="1">INDEX(Table_Process_Details[Total '[Physical Mass per kg API'] of Unique Inputs (METAL)],MATCH(Table_Process_Details[[#This Row],[Unique Inputs Sorted by '[Physical Mass per kg API']]],Table_Process_Details[Unique Process Inputs],0))</f>
        <v>0</v>
      </c>
      <c r="CR20" s="22">
        <f ca="1">INDEX(Table_Process_Details[Total '[Physical Mass per kg API'] of Unique Inputs (SOLVENT)],MATCH(Table_Process_Details[[#This Row],[Unique Inputs Sorted by '[Physical Mass per kg API']]],Table_Process_Details[Unique Process Inputs],0))</f>
        <v>0</v>
      </c>
      <c r="CS20" s="22">
        <f ca="1">INDEX(Table_Process_Details[Total '[Physical Mass per kg API'] of Unique Inputs (WATER)],MATCH(Table_Process_Details[[#This Row],[Unique Inputs Sorted by '[Physical Mass per kg API']]],Table_Process_Details[Unique Process Inputs],0))</f>
        <v>0</v>
      </c>
      <c r="CT20" s="22">
        <f ca="1">INDEX(Table_Process_Details[Total '[Physical Mass per kg API'] of Unique Inputs (ENZ&amp;PLNT)],MATCH(Table_Process_Details[[#This Row],[Unique Inputs Sorted by '[Physical Mass per kg API']]],Table_Process_Details[Unique Process Inputs],0))</f>
        <v>0</v>
      </c>
      <c r="CU20" s="22">
        <f ca="1">INDEX(Table_Process_Details[Total '[Physical Mass per kg API'] of Unique Inputs (OTHER)],MATCH(Table_Process_Details[[#This Row],[Unique Inputs Sorted by '[Physical Mass per kg API']]],Table_Process_Details[Unique Process Inputs],0))</f>
        <v>0</v>
      </c>
      <c r="CV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2.5448168277217289</v>
      </c>
      <c r="CW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2.5448168277217289</v>
      </c>
      <c r="CX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0" s="22">
        <f ca="1">SUMIFS(Table_Process_Details[RV Mass Net (kg) per kg API],Table_Process_Details[Display Name],Table_Process_Details[[#This Row],[Unique Process Inputs]],Table_Process_Details[Input or Output],"Input")</f>
        <v>0.1139373270902652</v>
      </c>
      <c r="DD20" s="22">
        <f ca="1">SUMIFS(Table_Process_Details[RV Mass Net (kg) per kg API (REAGENT)],Table_Process_Details[Display Name],Table_Process_Details[[#This Row],[Unique Process Inputs]],Table_Process_Details[Input or Output],"Input")</f>
        <v>5.8328793829254153E-3</v>
      </c>
      <c r="DE20" s="22">
        <f ca="1">SUMIFS(Table_Process_Details[RV Mass Net (kg) per kg API (METAL)],Table_Process_Details[Display Name],Table_Process_Details[[#This Row],[Unique Process Inputs]],Table_Process_Details[Input or Output],"Input")</f>
        <v>0</v>
      </c>
      <c r="DF20" s="22">
        <f ca="1">SUMIFS(Table_Process_Details[RV Mass Net (kg) per kg API (SOLVENT)],Table_Process_Details[Display Name],Table_Process_Details[[#This Row],[Unique Process Inputs]],Table_Process_Details[Input or Output],"Input")</f>
        <v>0.10810444770733978</v>
      </c>
      <c r="DG20" s="22">
        <f ca="1">SUMIFS(Table_Process_Details[RV Mass Net (kg) per kg API (WATER)],Table_Process_Details[Display Name],Table_Process_Details[[#This Row],[Unique Process Inputs]],Table_Process_Details[Input or Output],"Input")</f>
        <v>0</v>
      </c>
      <c r="DH20" s="22">
        <f ca="1">SUMIFS(Table_Process_Details[RV Mass Net (kg) per kg API (ENZ&amp;PLNT)],Table_Process_Details[Display Name],Table_Process_Details[[#This Row],[Unique Process Inputs]],Table_Process_Details[Input or Output],"Input")</f>
        <v>0</v>
      </c>
      <c r="DI20" s="22">
        <f ca="1">SUMIFS(Table_Process_Details[RV Mass Net (kg) per kg API (OTHER)],Table_Process_Details[Display Name],Table_Process_Details[[#This Row],[Unique Process Inputs]],Table_Process_Details[Input or Output],"Input")</f>
        <v>0</v>
      </c>
      <c r="DJ20" s="22" t="str">
        <f ca="1">INDEX(Table_Process_Details[Unique Process Inputs],MATCH(Table_Process_Details[[#This Row],['[Mass Net (kg) per kg API'] of Unique Inputs Sorted by '[Mass Net (kg) per kg API']]],Table_Process_Details[Total '[Mass Net (kg) per kg API'] of Unique Inputs],0))</f>
        <v>6 M HCl (aq)</v>
      </c>
      <c r="DK20" s="22">
        <f ca="1">IF(LARGE(Table_Process_Details[Total '[Mass Net (kg) per kg API'] of Unique Inputs],Table_Process_Details[[#This Row],[Table Row]])=0,NA(),LARGE(Table_Process_Details[Total '[Mass Net (kg) per kg API'] of Unique Inputs],Table_Process_Details[[#This Row],[Table Row]]))</f>
        <v>0.76588832709085819</v>
      </c>
      <c r="DL20" s="22">
        <f ca="1">SUM(OFFSET(Table_Process_Details['[Mass Net (kg) per kg API'] of Unique Inputs Sorted by '[Mass Net (kg) per kg API']],0,0,Table_Process_Details[[#This Row],[Table Row]]))</f>
        <v>125.00421110919777</v>
      </c>
      <c r="DM20" s="22" t="str">
        <f ca="1">"("&amp;TEXT(Table_Process_Details[[#This Row],['[Mass Net (kg) per kg API'] of Unique Inputs Sorted by '[Mass Net (kg) per kg API']]]/SUMIF(Table_Process_Details['[Mass Net (kg) per kg API'] of Unique Inputs Sorted by '[Mass Net (kg) per kg API']],"&lt;&gt;#N/A"),"0%")&amp;")"</f>
        <v>(1%)</v>
      </c>
      <c r="DN20" s="22">
        <f ca="1">INDEX(Table_Process_Details[Total '[Mass Net (kg) per kg API'] of Unique Inputs (REAGENT)], MATCH(Table_Process_Details[[#This Row],[Unique Inputs Sorted by '[Mass Net (kg) per kg API']]],Table_Process_Details[Unique Process Inputs],0))</f>
        <v>0.76248038677426744</v>
      </c>
      <c r="DO20" s="22">
        <f ca="1">INDEX(Table_Process_Details[Total '[Mass Net (kg) per kg API'] of Unique Inputs (METAL)], MATCH(Table_Process_Details[[#This Row],[Unique Inputs Sorted by '[Mass Net (kg) per kg API']]],Table_Process_Details[Unique Process Inputs],0))</f>
        <v>0</v>
      </c>
      <c r="DP20" s="22">
        <f ca="1">INDEX(Table_Process_Details[Total '[Mass Net (kg) per kg API'] of Unique Inputs (SOLVENT)], MATCH(Table_Process_Details[[#This Row],[Unique Inputs Sorted by '[Mass Net (kg) per kg API']]],Table_Process_Details[Unique Process Inputs],0))</f>
        <v>0</v>
      </c>
      <c r="DQ20" s="22">
        <f ca="1">INDEX(Table_Process_Details[Total '[Mass Net (kg) per kg API'] of Unique Inputs (WATER)], MATCH(Table_Process_Details[[#This Row],[Unique Inputs Sorted by '[Mass Net (kg) per kg API']]],Table_Process_Details[Unique Process Inputs],0))</f>
        <v>3.4079403165906907E-3</v>
      </c>
      <c r="DR20" s="22">
        <f ca="1">INDEX(Table_Process_Details[Total '[Mass Net (kg) per kg API'] of Unique Inputs (ENZ&amp;PLNT)], MATCH(Table_Process_Details[[#This Row],[Unique Inputs Sorted by '[Mass Net (kg) per kg API']]],Table_Process_Details[Unique Process Inputs],0))</f>
        <v>0</v>
      </c>
      <c r="DS20" s="22">
        <f ca="1">INDEX(Table_Process_Details[Total '[Mass Net (kg) per kg API'] of Unique Inputs (OTHER)], MATCH(Table_Process_Details[[#This Row],[Unique Inputs Sorted by '[Mass Net (kg) per kg API']]],Table_Process_Details[Unique Process Inputs],0))</f>
        <v>0</v>
      </c>
      <c r="DT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91.329099598221532</v>
      </c>
      <c r="DU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91.329099598221532</v>
      </c>
      <c r="DV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0" s="1">
        <f ca="1">SUMIFS(Table_Process_Details[RV Energy (MJ) per kg API],Table_Process_Details[Display Name],Table_Process_Details[[#This Row],[Unique Process Inputs]],Table_Process_Details[Input or Output],"Input")</f>
        <v>4.8137200206601536</v>
      </c>
      <c r="EB20" s="1">
        <f ca="1">SUMIFS(Table_Process_Details[RV Energy (MJ) per kg API (REAGENT)],Table_Process_Details[Display Name],Table_Process_Details[[#This Row],[Unique Process Inputs]],Table_Process_Details[Input or Output],"Input")</f>
        <v>0.20933201018814515</v>
      </c>
      <c r="EC20" s="1">
        <f ca="1">SUMIFS(Table_Process_Details[RV Energy (MJ) per kg API (METAL)],Table_Process_Details[Display Name],Table_Process_Details[[#This Row],[Unique Process Inputs]],Table_Process_Details[Input or Output],"Input")</f>
        <v>0</v>
      </c>
      <c r="ED20" s="1">
        <f ca="1">SUMIFS(Table_Process_Details[RV Energy (MJ) per kg API (SOLVENT)],Table_Process_Details[Display Name],Table_Process_Details[[#This Row],[Unique Process Inputs]],Table_Process_Details[Input or Output],"Input")</f>
        <v>4.6043880104720083</v>
      </c>
      <c r="EE20" s="1">
        <f ca="1">SUMIFS(Table_Process_Details[RV Energy (MJ) per kg API (WATER)],Table_Process_Details[Display Name],Table_Process_Details[[#This Row],[Unique Process Inputs]],Table_Process_Details[Input or Output],"Input")</f>
        <v>0</v>
      </c>
      <c r="EF20" s="1">
        <f ca="1">SUMIFS(Table_Process_Details[RV Energy (MJ) per kg API (ENZ&amp;PLNT)],Table_Process_Details[Display Name],Table_Process_Details[[#This Row],[Unique Process Inputs]],Table_Process_Details[Input or Output],"Input")</f>
        <v>0</v>
      </c>
      <c r="EG20" s="1">
        <f ca="1">SUMIFS(Table_Process_Details[RV Energy (MJ) per kg API (OTHER)],Table_Process_Details[Display Name],Table_Process_Details[[#This Row],[Unique Process Inputs]],Table_Process_Details[Input or Output],"Input")</f>
        <v>0</v>
      </c>
      <c r="EH20" s="1" t="str">
        <f ca="1">INDEX(Table_Process_Details[Unique Process Inputs],MATCH(Table_Process_Details[[#This Row],['[Energy (MJ) per kg API'] of Unique Inputs Sorted by '[Energy (MJ) per kg API']]],Table_Process_Details[Total '[Energy (MJ) per kg API'] of Unique Inputs],0))</f>
        <v>reagent S (organic)</v>
      </c>
      <c r="EI20" s="22">
        <f ca="1">IF(LARGE(Table_Process_Details[Total '[Energy (MJ) per kg API'] of Unique Inputs],Table_Process_Details[[#This Row],[Table Row]])=0,NA(),LARGE(Table_Process_Details[Total '[Energy (MJ) per kg API'] of Unique Inputs],Table_Process_Details[[#This Row],[Table Row]]))</f>
        <v>10.466600509401363</v>
      </c>
      <c r="EJ20" s="22">
        <f ca="1">SUM(OFFSET(Table_Process_Details['[Energy (MJ) per kg API'] of Unique Inputs Sorted by '[Energy (MJ) per kg API']],0,0,Table_Process_Details[[#This Row],[Table Row]]))</f>
        <v>5022.8033198051917</v>
      </c>
      <c r="EK20" s="22" t="str">
        <f ca="1">"("&amp;TEXT(Table_Process_Details[[#This Row],['[Energy (MJ) per kg API'] of Unique Inputs Sorted by '[Energy (MJ) per kg API']]]/SUMIF(Table_Process_Details['[Energy (MJ) per kg API'] of Unique Inputs Sorted by '[Energy (MJ) per kg API']],"&lt;&gt;#N/A"),"0%")&amp;")"</f>
        <v>(0%)</v>
      </c>
      <c r="EL20" s="22">
        <f ca="1">INDEX(Table_Process_Details[Total '[Energy (MJ) per kg API'] of Unique Inputs (REAGENT)], MATCH(Table_Process_Details[[#This Row],[Unique Inputs Sorted by '[Energy (MJ) per kg API']]],Table_Process_Details[Unique Process Inputs],0))</f>
        <v>10.466600509401363</v>
      </c>
      <c r="EM20" s="22">
        <f ca="1">INDEX(Table_Process_Details[Total '[Energy (MJ) per kg API'] of Unique Inputs (METAL)], MATCH(Table_Process_Details[[#This Row],[Unique Inputs Sorted by '[Energy (MJ) per kg API']]],Table_Process_Details[Unique Process Inputs],0))</f>
        <v>0</v>
      </c>
      <c r="EN20" s="22">
        <f ca="1">INDEX(Table_Process_Details[Total '[Energy (MJ) per kg API'] of Unique Inputs (SOLVENT)], MATCH(Table_Process_Details[[#This Row],[Unique Inputs Sorted by '[Energy (MJ) per kg API']]],Table_Process_Details[Unique Process Inputs],0))</f>
        <v>0</v>
      </c>
      <c r="EO20" s="22">
        <f ca="1">INDEX(Table_Process_Details[Total '[Energy (MJ) per kg API'] of Unique Inputs (WATER)], MATCH(Table_Process_Details[[#This Row],[Unique Inputs Sorted by '[Energy (MJ) per kg API']]],Table_Process_Details[Unique Process Inputs],0))</f>
        <v>0</v>
      </c>
      <c r="EP20" s="22">
        <f ca="1">INDEX(Table_Process_Details[Total '[Energy (MJ) per kg API'] of Unique Inputs (ENZ&amp;PLNT)], MATCH(Table_Process_Details[[#This Row],[Unique Inputs Sorted by '[Energy (MJ) per kg API']]],Table_Process_Details[Unique Process Inputs],0))</f>
        <v>0</v>
      </c>
      <c r="EQ20" s="22">
        <f ca="1">INDEX(Table_Process_Details[Total '[Energy (MJ) per kg API'] of Unique Inputs (OTHER)], MATCH(Table_Process_Details[[#This Row],[Unique Inputs Sorted by '[Energy (MJ) per kg API']]],Table_Process_Details[Unique Process Inputs],0))</f>
        <v>0</v>
      </c>
      <c r="ER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3.2014571139800156</v>
      </c>
      <c r="ES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3.2014571139800156</v>
      </c>
      <c r="ET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0" s="22">
        <f ca="1">SUMIFS(Table_Process_Details[RV GWP (kg CO2 equiv.) per kg API],Table_Process_Details[Display Name],Table_Process_Details[[#This Row],[Unique Process Inputs]],Table_Process_Details[Input or Output],"Input")</f>
        <v>0.16923093468809744</v>
      </c>
      <c r="EZ20" s="1">
        <f ca="1">SUMIFS(Table_Process_Details[RV GWP (kg CO2 equiv.) per kg API (REAGENT)],Table_Process_Details[Display Name],Table_Process_Details[[#This Row],[Unique Process Inputs]],Table_Process_Details[Input or Output],"Input")</f>
        <v>7.3379400010380128E-3</v>
      </c>
      <c r="FA20" s="1">
        <f ca="1">SUMIFS(Table_Process_Details[RV GWP (kg CO2 equiv.) per kg API (METAL)],Table_Process_Details[Display Name],Table_Process_Details[[#This Row],[Unique Process Inputs]],Table_Process_Details[Input or Output],"Input")</f>
        <v>0</v>
      </c>
      <c r="FB20" s="1">
        <f ca="1">SUMIFS(Table_Process_Details[RV GWP (kg CO2 equiv.) per kg API (SOLVENT)],Table_Process_Details[Display Name],Table_Process_Details[[#This Row],[Unique Process Inputs]],Table_Process_Details[Input or Output],"Input")</f>
        <v>0.16189299468705942</v>
      </c>
      <c r="FC20" s="1">
        <f ca="1">SUMIFS(Table_Process_Details[RV GWP (kg CO2 equiv.) per kg API (WATER)],Table_Process_Details[Display Name],Table_Process_Details[[#This Row],[Unique Process Inputs]],Table_Process_Details[Input or Output],"Input")</f>
        <v>0</v>
      </c>
      <c r="FD20" s="1">
        <f ca="1">SUMIFS(Table_Process_Details[RV GWP (kg CO2 equiv.) per kg API (ENZ&amp;PLNT)],Table_Process_Details[Display Name],Table_Process_Details[[#This Row],[Unique Process Inputs]],Table_Process_Details[Input or Output],"Input")</f>
        <v>0</v>
      </c>
      <c r="FE20" s="1">
        <f ca="1">SUMIFS(Table_Process_Details[RV GWP (kg CO2 equiv.) per kg API (OTHER)],Table_Process_Details[Display Name],Table_Process_Details[[#This Row],[Unique Process Inputs]],Table_Process_Details[Input or Output],"Input")</f>
        <v>0</v>
      </c>
      <c r="FF20" s="22" t="str">
        <f ca="1">INDEX(Table_Process_Details[Unique Process Inputs],MATCH(Table_Process_Details[[#This Row],['[GWP (kg CO2 equiv.) per kg API'] of Unique Inputs Sorted by '[GWP (kg CO2 equiv.) per kg API']]],Table_Process_Details[Total '[GWP (kg CO2 equiv.) per kg API'] of Unique Inputs],0))</f>
        <v>6 M HCl (aq)</v>
      </c>
      <c r="FG20" s="22">
        <f ca="1">IF(LARGE(Table_Process_Details[Total '[GWP (kg CO2 equiv.) per kg API'] of Unique Inputs],Table_Process_Details[[#This Row],[Table Row]])=0,NA(),LARGE(Table_Process_Details[Total '[GWP (kg CO2 equiv.) per kg API'] of Unique Inputs],Table_Process_Details[[#This Row],[Table Row]]))</f>
        <v>0.7905757611388885</v>
      </c>
      <c r="FH20" s="22">
        <f ca="1">SUM(OFFSET(Table_Process_Details['[GWP (kg CO2 equiv.) per kg API'] of Unique Inputs Sorted by '[GWP (kg CO2 equiv.) per kg API']],0,0,Table_Process_Details[[#This Row],[Table Row]]))</f>
        <v>154.06851234127569</v>
      </c>
      <c r="FI20" s="22" t="str">
        <f ca="1">"("&amp;TEXT(Table_Process_Details[[#This Row],['[GWP (kg CO2 equiv.) per kg API'] of Unique Inputs Sorted by '[GWP (kg CO2 equiv.) per kg API']]]/SUMIF(Table_Process_Details['[GWP (kg CO2 equiv.) per kg API'] of Unique Inputs Sorted by '[GWP (kg CO2 equiv.) per kg API']],"&lt;&gt;#N/A"),"0%")&amp;")"</f>
        <v>(1%)</v>
      </c>
      <c r="FJ20" s="22">
        <f ca="1">INDEX(Table_Process_Details[Total '[GWP (kg CO2 equiv.) per kg API'] of Unique Inputs (REAGENT)], MATCH(Table_Process_Details[[#This Row],[Unique Inputs Sorted by '[GWP (kg CO2 equiv.) per kg API']]],Table_Process_Details[Unique Process Inputs],0))</f>
        <v>0.78831367749035086</v>
      </c>
      <c r="FK20" s="22">
        <f ca="1">INDEX(Table_Process_Details[Total '[GWP (kg CO2 equiv.) per kg API'] of Unique Inputs (METAL)], MATCH(Table_Process_Details[[#This Row],[Unique Inputs Sorted by '[GWP (kg CO2 equiv.) per kg API']]],Table_Process_Details[Unique Process Inputs],0))</f>
        <v>0</v>
      </c>
      <c r="FL20" s="22">
        <f ca="1">INDEX(Table_Process_Details[Total '[GWP (kg CO2 equiv.) per kg API'] of Unique Inputs (SOLVENT)], MATCH(Table_Process_Details[[#This Row],[Unique Inputs Sorted by '[GWP (kg CO2 equiv.) per kg API']]],Table_Process_Details[Unique Process Inputs],0))</f>
        <v>0</v>
      </c>
      <c r="FM20" s="22">
        <f ca="1">INDEX(Table_Process_Details[Total '[GWP (kg CO2 equiv.) per kg API'] of Unique Inputs (WATER)], MATCH(Table_Process_Details[[#This Row],[Unique Inputs Sorted by '[GWP (kg CO2 equiv.) per kg API']]],Table_Process_Details[Unique Process Inputs],0))</f>
        <v>2.2620836485375845E-3</v>
      </c>
      <c r="FN20" s="22">
        <f ca="1">INDEX(Table_Process_Details[Total '[GWP (kg CO2 equiv.) per kg API'] of Unique Inputs (ENZ&amp;PLNT)], MATCH(Table_Process_Details[[#This Row],[Unique Inputs Sorted by '[GWP (kg CO2 equiv.) per kg API']]],Table_Process_Details[Unique Process Inputs],0))</f>
        <v>0</v>
      </c>
      <c r="FO20" s="22">
        <f ca="1">INDEX(Table_Process_Details[Total '[GWP (kg CO2 equiv.) per kg API'] of Unique Inputs (OTHER)], MATCH(Table_Process_Details[[#This Row],[Unique Inputs Sorted by '[GWP (kg CO2 equiv.) per kg API']]],Table_Process_Details[Unique Process Inputs],0))</f>
        <v>0</v>
      </c>
      <c r="FP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1.3690850729033123E-2</v>
      </c>
      <c r="FQ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1.3690850729033123E-2</v>
      </c>
      <c r="FR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0" s="22">
        <f ca="1">SUMIFS(Table_Process_Details[RV Acidification (kg SO2 equiv.) per kg API],Table_Process_Details[Display Name],Table_Process_Details[[#This Row],[Unique Process Inputs]],Table_Process_Details[Input or Output],"Input")</f>
        <v>7.8017787737896663E-4</v>
      </c>
      <c r="FX20" s="1">
        <f ca="1">SUMIFS(Table_Process_Details[RV Acidification (kg SO2 equiv.) per kg API (REAGENT)],Table_Process_Details[Display Name],Table_Process_Details[[#This Row],[Unique Process Inputs]],Table_Process_Details[Input or Output],"Input")</f>
        <v>3.1380286424614496E-5</v>
      </c>
      <c r="FY20" s="1">
        <f ca="1">SUMIFS(Table_Process_Details[RV Acidification (kg SO2 equiv.) per kg API (METAL)],Table_Process_Details[Display Name],Table_Process_Details[[#This Row],[Unique Process Inputs]],Table_Process_Details[Input or Output],"Input")</f>
        <v>0</v>
      </c>
      <c r="FZ20" s="1">
        <f ca="1">SUMIFS(Table_Process_Details[RV Acidification (kg SO2 equiv.) per kg API (SOLVENT)],Table_Process_Details[Display Name],Table_Process_Details[[#This Row],[Unique Process Inputs]],Table_Process_Details[Input or Output],"Input")</f>
        <v>7.4879759095435212E-4</v>
      </c>
      <c r="GA20" s="1">
        <f ca="1">SUMIFS(Table_Process_Details[RV Acidification (kg SO2 equiv.) per kg API (WATER)],Table_Process_Details[Display Name],Table_Process_Details[[#This Row],[Unique Process Inputs]],Table_Process_Details[Input or Output],"Input")</f>
        <v>0</v>
      </c>
      <c r="GB20" s="1">
        <f ca="1">SUMIFS(Table_Process_Details[RV Acidification (kg SO2 equiv.) per kg API (ENZ&amp;PLNT)],Table_Process_Details[Display Name],Table_Process_Details[[#This Row],[Unique Process Inputs]],Table_Process_Details[Input or Output],"Input")</f>
        <v>0</v>
      </c>
      <c r="GC20" s="1">
        <f ca="1">SUMIFS(Table_Process_Details[RV Acidification (kg SO2 equiv.) per kg API (OTHER)],Table_Process_Details[Display Name],Table_Process_Details[[#This Row],[Unique Process Inputs]],Table_Process_Details[Input or Output],"Input")</f>
        <v>0</v>
      </c>
      <c r="GD20"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6 M HCl (aq)</v>
      </c>
      <c r="GE20" s="22">
        <f ca="1">IF(LARGE(Table_Process_Details[Total '[Acidification (kg SO2 equiv.) per kg API'] of Unique Inputs],Table_Process_Details[[#This Row],[Table Row]])=0,NA(),LARGE(Table_Process_Details[Total '[Acidification (kg SO2 equiv.) per kg API'] of Unique Inputs],Table_Process_Details[[#This Row],[Table Row]]))</f>
        <v>7.9179778009241808E-3</v>
      </c>
      <c r="GF20" s="22">
        <f ca="1">SUM(OFFSET(Table_Process_Details['[Acidification (kg SO2 equiv.) per kg API'] of Unique Inputs Sorted by '[Acidification (kg SO2 equiv.) per kg API']],0,0,Table_Process_Details[[#This Row],[Table Row]]))</f>
        <v>0.6401817596073367</v>
      </c>
      <c r="GG20"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(1%)</v>
      </c>
      <c r="GH20" s="22">
        <f ca="1">INDEX(Table_Process_Details[Total '[Acidification (kg SO2 equiv.) per kg API'] of Unique Inputs (REAGENT)], MATCH(Table_Process_Details[[#This Row],[Unique Inputs Sorted by '[Acidification (kg SO2 equiv.) per kg API']]],Table_Process_Details[Unique Process Inputs],0))</f>
        <v>7.9093114747479983E-3</v>
      </c>
      <c r="GI20" s="22">
        <f ca="1">INDEX(Table_Process_Details[Total '[Acidification (kg SO2 equiv.) per kg API'] of Unique Inputs (METAL)], MATCH(Table_Process_Details[[#This Row],[Unique Inputs Sorted by '[Acidification (kg SO2 equiv.) per kg API']]],Table_Process_Details[Unique Process Inputs],0))</f>
        <v>0</v>
      </c>
      <c r="GJ20" s="22">
        <f ca="1">INDEX(Table_Process_Details[Total '[Acidification (kg SO2 equiv.) per kg API'] of Unique Inputs (SOLVENT)], MATCH(Table_Process_Details[[#This Row],[Unique Inputs Sorted by '[Acidification (kg SO2 equiv.) per kg API']]],Table_Process_Details[Unique Process Inputs],0))</f>
        <v>0</v>
      </c>
      <c r="GK20" s="22">
        <f ca="1">INDEX(Table_Process_Details[Total '[Acidification (kg SO2 equiv.) per kg API'] of Unique Inputs (WATER)], MATCH(Table_Process_Details[[#This Row],[Unique Inputs Sorted by '[Acidification (kg SO2 equiv.) per kg API']]],Table_Process_Details[Unique Process Inputs],0))</f>
        <v>8.6663261761814061E-6</v>
      </c>
      <c r="GL20" s="22">
        <f ca="1">INDEX(Table_Process_Details[Total '[Acidification (kg SO2 equiv.) per kg API'] of Unique Inputs (ENZ&amp;PLNT)], MATCH(Table_Process_Details[[#This Row],[Unique Inputs Sorted by '[Acidification (kg SO2 equiv.) per kg API']]],Table_Process_Details[Unique Process Inputs],0))</f>
        <v>0</v>
      </c>
      <c r="GM20" s="22">
        <f ca="1">INDEX(Table_Process_Details[Total '[Acidification (kg SO2 equiv.) per kg API'] of Unique Inputs (OTHER)], MATCH(Table_Process_Details[[#This Row],[Unique Inputs Sorted by '[Acidification (kg SO2 equiv.) per kg API']]],Table_Process_Details[Unique Process Inputs],0))</f>
        <v>0</v>
      </c>
      <c r="GN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1.0962394032659225E-2</v>
      </c>
      <c r="GO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1.0962394032659225E-2</v>
      </c>
      <c r="GP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0" s="22">
        <f ca="1">SUMIFS(Table_Process_Details[RV Eutrophication (kg phosphate equiv.) per kg API],Table_Process_Details[Display Name],Table_Process_Details[[#This Row],[Unique Process Inputs]],Table_Process_Details[Input or Output],"Input")</f>
        <v>4.6634932286889266E-4</v>
      </c>
      <c r="GV20" s="1">
        <f ca="1">SUMIFS(Table_Process_Details[RV Eutrophication (kg phosphate equiv.) per kg API (REAGENT)],Table_Process_Details[Display Name],Table_Process_Details[[#This Row],[Unique Process Inputs]],Table_Process_Details[Input or Output],"Input")</f>
        <v>2.5126492973503151E-5</v>
      </c>
      <c r="GW20" s="1">
        <f ca="1">SUMIFS(Table_Process_Details[RV Eutrophication (kg phosphate equiv.) per kg API (METAL)],Table_Process_Details[Display Name],Table_Process_Details[[#This Row],[Unique Process Inputs]],Table_Process_Details[Input or Output],"Input")</f>
        <v>0</v>
      </c>
      <c r="GX20" s="1">
        <f ca="1">SUMIFS(Table_Process_Details[RV Eutrophication (kg phosphate equiv.) per kg API (SOLVENT)],Table_Process_Details[Display Name],Table_Process_Details[[#This Row],[Unique Process Inputs]],Table_Process_Details[Input or Output],"Input")</f>
        <v>4.4122282989538951E-4</v>
      </c>
      <c r="GY20" s="1">
        <f ca="1">SUMIFS(Table_Process_Details[RV Eutrophication (kg phosphate equiv.) per kg API (WATER)],Table_Process_Details[Display Name],Table_Process_Details[[#This Row],[Unique Process Inputs]],Table_Process_Details[Input or Output],"Input")</f>
        <v>0</v>
      </c>
      <c r="GZ20" s="1">
        <f ca="1">SUMIFS(Table_Process_Details[RV Eutrophication (kg phosphate equiv.) per kg API (ENZ&amp;PLNT)],Table_Process_Details[Display Name],Table_Process_Details[[#This Row],[Unique Process Inputs]],Table_Process_Details[Input or Output],"Input")</f>
        <v>0</v>
      </c>
      <c r="HA20" s="1">
        <f ca="1">SUMIFS(Table_Process_Details[RV Eutrophication (kg phosphate equiv.) per kg API (OTHER)],Table_Process_Details[Display Name],Table_Process_Details[[#This Row],[Unique Process Inputs]],Table_Process_Details[Input or Output],"Input")</f>
        <v>0</v>
      </c>
      <c r="HB20"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S (organic)</v>
      </c>
      <c r="HC20" s="22">
        <f ca="1">IF(LARGE(Table_Process_Details[Total '[Eutrophication (kg posphate equiv.) per kg API'] of Unique Inputs],Table_Process_Details[[#This Row],[Table Row]])=0,NA(),LARGE(Table_Process_Details[Total '[Eutrophication (kg posphate equiv.) per kg API'] of Unique Inputs],Table_Process_Details[[#This Row],[Table Row]]))</f>
        <v>1.2563246486744499E-3</v>
      </c>
      <c r="HD20" s="22">
        <f ca="1">SUM(OFFSET(Table_Process_Details['[Eutrophication (kg posphate equiv.) per kg API'] of Unique Inputs Sorted by '[Eutrophication (kg posphate equiv.) per kg API']],0,0,Table_Process_Details[[#This Row],[Table Row]]))</f>
        <v>1.3724251166158499</v>
      </c>
      <c r="HE20"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0" s="1">
        <f ca="1">INDEX(Table_Process_Details[Total '[Eutrophication (kg posphate equiv.) per kg API'] of Unique Inputs (REAGENT)], MATCH(Table_Process_Details[[#This Row],[Unique Inputs Sorted by '[Eutrophication (kg posphate equiv.) per kg API']]],Table_Process_Details[Unique Process Inputs],0))</f>
        <v>1.2563246486744499E-3</v>
      </c>
      <c r="HG20" s="1">
        <f ca="1">INDEX(Table_Process_Details[Total '[Eutrophication (kg posphate equiv.) per kg API'] of Unique Inputs (METAL)], MATCH(Table_Process_Details[[#This Row],[Unique Inputs Sorted by '[Eutrophication (kg posphate equiv.) per kg API']]],Table_Process_Details[Unique Process Inputs],0))</f>
        <v>0</v>
      </c>
      <c r="HH20" s="1">
        <f ca="1">INDEX(Table_Process_Details[Total '[Eutrophication (kg posphate equiv.) per kg API'] of Unique Inputs (SOLVENT)], MATCH(Table_Process_Details[[#This Row],[Unique Inputs Sorted by '[Eutrophication (kg posphate equiv.) per kg API']]],Table_Process_Details[Unique Process Inputs],0))</f>
        <v>0</v>
      </c>
      <c r="HI20" s="1">
        <f ca="1">INDEX(Table_Process_Details[Total '[Eutrophication (kg posphate equiv.) per kg API'] of Unique Inputs (WATER)], MATCH(Table_Process_Details[[#This Row],[Unique Inputs Sorted by '[Eutrophication (kg posphate equiv.) per kg API']]],Table_Process_Details[Unique Process Inputs],0))</f>
        <v>0</v>
      </c>
      <c r="HJ20" s="1">
        <f ca="1">INDEX(Table_Process_Details[Total '[Eutrophication (kg posphate equiv.) per kg API'] of Unique Inputs (ENZ&amp;PLNT)], MATCH(Table_Process_Details[[#This Row],[Unique Inputs Sorted by '[Eutrophication (kg posphate equiv.) per kg API']]],Table_Process_Details[Unique Process Inputs],0))</f>
        <v>0</v>
      </c>
      <c r="HK20" s="1">
        <f ca="1">INDEX(Table_Process_Details[Total '[Eutrophication (kg posphate equiv.) per kg API'] of Unique Inputs (OTHER)], MATCH(Table_Process_Details[[#This Row],[Unique Inputs Sorted by '[Eutrophication (kg posphate equiv.) per kg API']]],Table_Process_Details[Unique Process Inputs],0))</f>
        <v>0</v>
      </c>
      <c r="HL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17.926524327890665</v>
      </c>
      <c r="HM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17.926524327890665</v>
      </c>
      <c r="HN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0" s="1">
        <f ca="1">SUMIFS(Table_Process_Details[RV Water (kg) per kg API],Table_Process_Details[Display Name],Table_Process_Details[[#This Row],[Unique Process Inputs]],Table_Process_Details[Input or Output],"Input")</f>
        <v>0.67551279990262048</v>
      </c>
      <c r="HT20" s="1">
        <f ca="1">SUMIFS(Table_Process_Details[RV Water (kg) per kg API (REAGENT)],Table_Process_Details[Display Name],Table_Process_Details[[#This Row],[Unique Process Inputs]],Table_Process_Details[Input or Output],"Input")</f>
        <v>4.1088715313657986E-2</v>
      </c>
      <c r="HU20" s="1">
        <f ca="1">SUMIFS(Table_Process_Details[RV Water (kg) per kg API (METAL)],Table_Process_Details[Display Name],Table_Process_Details[[#This Row],[Unique Process Inputs]],Table_Process_Details[Input or Output],"Input")</f>
        <v>0</v>
      </c>
      <c r="HV20" s="1">
        <f ca="1">SUMIFS(Table_Process_Details[RV Water (kg) per kg API (SOLVENT)],Table_Process_Details[Display Name],Table_Process_Details[[#This Row],[Unique Process Inputs]],Table_Process_Details[Input or Output],"Input")</f>
        <v>0.63442408458896249</v>
      </c>
      <c r="HW20" s="1">
        <f ca="1">SUMIFS(Table_Process_Details[RV Water (kg) per kg API (WATER)],Table_Process_Details[Display Name],Table_Process_Details[[#This Row],[Unique Process Inputs]],Table_Process_Details[Input or Output],"Input")</f>
        <v>0</v>
      </c>
      <c r="HX20" s="1">
        <f ca="1">SUMIFS(Table_Process_Details[RV Water (kg) per kg API (ENZ&amp;PLNT)],Table_Process_Details[Display Name],Table_Process_Details[[#This Row],[Unique Process Inputs]],Table_Process_Details[Input or Output],"Input")</f>
        <v>0</v>
      </c>
      <c r="HY20" s="1">
        <f ca="1">SUMIFS(Table_Process_Details[RV Water (kg) per kg API (OTHER)],Table_Process_Details[Display Name],Table_Process_Details[[#This Row],[Unique Process Inputs]],Table_Process_Details[Input or Output],"Input")</f>
        <v>0</v>
      </c>
      <c r="HZ20" s="22" t="str">
        <f ca="1">INDEX(Table_Process_Details[Unique Process Inputs],MATCH(Table_Process_Details[[#This Row],['[Water (kg) per kg API'] of Unique Inputs Sorted by '[Water (kg) per kg API']]],Table_Process_Details[Total '[Water (kg) per kg API'] of Unique Inputs],0))</f>
        <v>20 wt% reagent J (inorganic) in water</v>
      </c>
      <c r="IA20" s="22">
        <f ca="1">IF(LARGE(Table_Process_Details[Total '[Water (kg) per kg API'] of Unique Inputs],Table_Process_Details[[#This Row],[Table Row]])=0,NA(),LARGE(Table_Process_Details[Total '[Water (kg) per kg API'] of Unique Inputs],Table_Process_Details[[#This Row],[Table Row]]))</f>
        <v>5.0165918852282481</v>
      </c>
      <c r="IB20" s="1">
        <f ca="1">SUM(OFFSET(Table_Process_Details['[Water (kg) per kg API'] of Unique Inputs Sorted by '[Water (kg) per kg API']],0,0,Table_Process_Details[[#This Row],[Table Row]]))</f>
        <v>872.00311193714003</v>
      </c>
      <c r="IC20" s="1" t="str">
        <f ca="1">"("&amp;TEXT(Table_Process_Details[[#This Row],['[Water (kg) per kg API'] of Unique Inputs Sorted by '[Water (kg) per kg API']]]/SUMIF(Table_Process_Details['[Water (kg) per kg API'] of Unique Inputs Sorted by '[Water (kg) per kg API']],"&lt;&gt;#N/A"),"0%")&amp;")"</f>
        <v>(1%)</v>
      </c>
      <c r="ID20" s="1">
        <f ca="1">INDEX(Table_Process_Details[Total '[Water (kg) per kg API'] of Unique Inputs (REAGENT)], MATCH(Table_Process_Details[[#This Row],[Unique Inputs Sorted by '[Water (kg) per kg API']]],Table_Process_Details[Unique Process Inputs],0))</f>
        <v>0.66184940196446163</v>
      </c>
      <c r="IE20" s="1">
        <f ca="1">INDEX(Table_Process_Details[Total '[Water (kg) per kg API'] of Unique Inputs (METAL)], MATCH(Table_Process_Details[[#This Row],[Unique Inputs Sorted by '[Water (kg) per kg API']]],Table_Process_Details[Unique Process Inputs],0))</f>
        <v>0</v>
      </c>
      <c r="IF20" s="1">
        <f ca="1">INDEX(Table_Process_Details[Total '[Water (kg) per kg API'] of Unique Inputs (SOLVENT)], MATCH(Table_Process_Details[[#This Row],[Unique Inputs Sorted by '[Water (kg) per kg API']]],Table_Process_Details[Unique Process Inputs],0))</f>
        <v>0</v>
      </c>
      <c r="IG20" s="1">
        <f ca="1">INDEX(Table_Process_Details[Total '[Water (kg) per kg API'] of Unique Inputs (WATER)], MATCH(Table_Process_Details[[#This Row],[Unique Inputs Sorted by '[Water (kg) per kg API']]],Table_Process_Details[Unique Process Inputs],0))</f>
        <v>4.3547424832637853</v>
      </c>
      <c r="IH20" s="1">
        <f ca="1">INDEX(Table_Process_Details[Total '[Water (kg) per kg API'] of Unique Inputs (ENZ&amp;PLNT)], MATCH(Table_Process_Details[[#This Row],[Unique Inputs Sorted by '[Water (kg) per kg API']]],Table_Process_Details[Unique Process Inputs],0))</f>
        <v>0</v>
      </c>
      <c r="II20" s="1">
        <f ca="1">INDEX(Table_Process_Details[Total '[Water (kg) per kg API'] of Unique Inputs (OTHER)], MATCH(Table_Process_Details[[#This Row],[Unique Inputs Sorted by '[Water (kg) per kg API']]],Table_Process_Details[Unique Process Inputs],0))</f>
        <v>0</v>
      </c>
    </row>
    <row r="21" spans="1:243" customFormat="1" x14ac:dyDescent="0.25">
      <c r="A21" s="22" t="str">
        <f>A20</f>
        <v>1f) Virtual solution prep for (1) and (3): 20 wt% reagent D (organic) in DMF</v>
      </c>
      <c r="B21" s="21" t="s">
        <v>4</v>
      </c>
      <c r="C21" s="21" t="s">
        <v>6</v>
      </c>
      <c r="D21" s="22" t="s">
        <v>122</v>
      </c>
      <c r="E21" s="22" t="s">
        <v>820</v>
      </c>
      <c r="F21" s="26">
        <v>80</v>
      </c>
      <c r="G21" s="26"/>
      <c r="H21" s="26"/>
      <c r="I21" s="26"/>
      <c r="J21" s="26" t="str">
        <f>INDEX(Process_Steps[Reference],MATCH(Table_Process_Details[[#This Row],[Step Name]],Process_Steps[Name],0))</f>
        <v>Reference Document  for Step 1</v>
      </c>
      <c r="K21" s="27" t="str">
        <f>INDEX(Process_Steps[Real or Virtual?],MATCH(Table_Process_Details[[#This Row],[Step Name]],Process_Steps[Name],0))</f>
        <v>Real</v>
      </c>
      <c r="L2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68-12-2</v>
      </c>
      <c r="M2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21" s="26">
        <f>INDEX(Table_Process_Details[Physical Mass (kg)],MATCH(1,INDEX(((Table_Process_Details[Step Name]=Table_Process_Details[[#This Row],[Step Name]])*(Table_Process_Details[Input or Output]="Output")),0),0))</f>
        <v>100</v>
      </c>
      <c r="O21" s="29">
        <f ca="1">INDEX(Process_Steps[Step Scale Factor for 1kg Packaged API],MATCH(Table_Process_Details[[#This Row],[Step Name]],Process_Steps[Name],0))</f>
        <v>6.0993994366774176E-2</v>
      </c>
      <c r="P2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5.666666666666667</v>
      </c>
      <c r="Q2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14.666666666666668</v>
      </c>
      <c r="R21" s="26">
        <f ca="1">_xlfn.SWITCH(Run_Reset_PNG,"Reset",Table_Process_Details[[#This Row],[X Init]],"Run",Table_Process_Details[[#This Row],[X Moved]],"Freeze",Table_Process_Details[[#This Row],[X Mover]])</f>
        <v>16.833467162144437</v>
      </c>
      <c r="S21" s="26">
        <f ca="1">_xlfn.SWITCH(Run_Reset_PNG,"Reset",Table_Process_Details[[#This Row],[Y Init]],"Run",Table_Process_Details[[#This Row],[Y Moved]],"Freeze",Table_Process_Details[[#This Row],[Y Mover]])</f>
        <v>21.182866096260693</v>
      </c>
      <c r="T21" s="26" cm="1">
        <f t="array" aca="1" ref="T2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5.5299654978672379</v>
      </c>
      <c r="U21" s="26" cm="1">
        <f t="array" aca="1" ref="U2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1.8615425261079943</v>
      </c>
      <c r="V21" s="26" cm="1">
        <f t="array" aca="1" ref="V21" ca="1">SUM(--(SQRT((Table_Process_Details[[#This Row],[X Mover]]-Table_Process_Details[X Mover])^2+(Table_Process_Details[[#This Row],[Y Mover]]-Table_Process_Details[Y Mover])^2)&lt;Collision_Distance))</f>
        <v>12</v>
      </c>
      <c r="W21" s="26" cm="1">
        <f t="array" aca="1" ref="W2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-0.46194465818631503</v>
      </c>
      <c r="X21" s="26" cm="1">
        <f t="array" aca="1" ref="X2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-9.7416743532876882E-2</v>
      </c>
      <c r="Y21" s="26" cm="1">
        <f t="array" aca="1" ref="Y2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1" s="26">
        <f>0</f>
        <v>0</v>
      </c>
      <c r="AA21" s="26">
        <f>0</f>
        <v>0</v>
      </c>
      <c r="AB2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-8.4167335810722186</v>
      </c>
      <c r="AC21" s="26" cm="1">
        <f t="array" aca="1" ref="AC2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-10.591433048130346</v>
      </c>
      <c r="AD21" s="26">
        <f>MIN(1,COUNTA(Table_Process_Details[[#This Row],[target x]]),COUNTA(Table_Process_Details[[#This Row],[target y]]))*COUNTA(Table_Process_Details[Step Name])</f>
        <v>98</v>
      </c>
      <c r="AE2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16.746467925572169</v>
      </c>
      <c r="AF2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21.13250204914025</v>
      </c>
      <c r="AG2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1" s="26" cm="1">
        <f t="array" aca="1" ref="AH21" ca="1">INDEX(Table_Process_Details[X Mover],MATCH(1,INDEX((Table_Process_Details[Input or Output]="Output")*(Table_Process_Details[Step Name]=Table_Process_Details[[#This Row],[Step Name]])*(Table_Process_Details[[#This Row],[Input or Output]]="Input"),0),0))</f>
        <v>12.974140333930144</v>
      </c>
      <c r="AI21" s="26" cm="1">
        <f t="array" aca="1" ref="AI21" ca="1">INDEX(Table_Process_Details[Y Mover],MATCH(1,INDEX((Table_Process_Details[Input or Output]="Output")*(Table_Process_Details[Step Name]=Table_Process_Details[[#This Row],[Step Name]])*(Table_Process_Details[[#This Row],[Input or Output]]="Input"),0),0))</f>
        <v>20.368995765321468</v>
      </c>
      <c r="AJ21" s="26">
        <f ca="1">SQRT((Table_Process_Details[[#This Row],[X End (To Node Center)]]-Table_Process_Details[[#This Row],[X Guide]])^2+(Table_Process_Details[[#This Row],[Y End (to Node Center)]]-Table_Process_Details[[#This Row],[Y Guide]])^2)</f>
        <v>3.9442094876613383</v>
      </c>
      <c r="AK21" s="26" t="e" cm="1">
        <f t="array" ref="AK21">INDEX(Table_Process_Details[X Mover],MATCH(1,INDEX((Table_Process_Details[Step Name]=Table_Process_Details[[#This Row],[LCA Data Source Subclass]])*(Table_Process_Details[Input or Output]="Output"),0)*(Table_Process_Details[[#This Row],[Input or Output]]="Input"),0))</f>
        <v>#N/A</v>
      </c>
      <c r="AL21" s="26" cm="1">
        <f t="array" aca="1" ref="AL21" ca="1">INDEX(Table_Process_Details[X Mover],MATCH(1,INDEX(((Table_Process_Details[Table Row]=Table_Process_Details[[#This Row],[Table Row]])*(1)),0)*(Table_Process_Details[[#This Row],[Input or Output]]="Input"),0))</f>
        <v>16.833467162144437</v>
      </c>
      <c r="AM21" s="26" cm="1">
        <f t="array" aca="1" ref="AM21" ca="1">(Table_Process_Details[[#This Row],[X End (To Node Center)]]*Table_Process_Details[[#This Row],[r0]]-Table_Process_Details[[#This Row],[X End (To Node Center)]]*Arrow_Offset+Table_Process_Details[[#This Row],[X Guide]]*Arrow_Offset)/Table_Process_Details[[#This Row],[r0]]</f>
        <v>13.756923670421255</v>
      </c>
      <c r="AN21" s="26" t="e">
        <f>IF(NOT(Table_Process_Details[[#This Row],[Display As]]="None"),Table_Process_Details[[#This Row],[X Start Prefilter]],NA())</f>
        <v>#N/A</v>
      </c>
      <c r="AO21" s="26">
        <f ca="1">IF(NOT(Table_Process_Details[[#This Row],[Display As]]="None"),Table_Process_Details[[#This Row],[X Guide Prefilter]],NA())</f>
        <v>16.833467162144437</v>
      </c>
      <c r="AP21" s="26">
        <f ca="1">IF(NOT(Table_Process_Details[[#This Row],[Display As]]="None"),Table_Process_Details[[#This Row],[X End (to Stop Radius) Prefilter]],NA())</f>
        <v>13.756923670421255</v>
      </c>
      <c r="AQ21" s="26" t="e">
        <f>NA()</f>
        <v>#N/A</v>
      </c>
      <c r="AR21" s="26" t="e" cm="1">
        <f t="array" ref="AR21">INDEX(Table_Process_Details[Y Mover],MATCH(1,INDEX((Table_Process_Details[Step Name]=Table_Process_Details[[#This Row],[LCA Data Source Subclass]])*(Table_Process_Details[Input or Output]="Output"),0)*(Table_Process_Details[[#This Row],[Input or Output]]="Input"),0))</f>
        <v>#N/A</v>
      </c>
      <c r="AS21" s="26" cm="1">
        <f t="array" aca="1" ref="AS21" ca="1">INDEX(Table_Process_Details[Y Mover],MATCH(1,INDEX(((Table_Process_Details[Table Row]=Table_Process_Details[[#This Row],[Table Row]])*(1)),0)*(Table_Process_Details[[#This Row],[Input or Output]]="Input"),0))</f>
        <v>21.182866096260693</v>
      </c>
      <c r="AT21" s="26" cm="1">
        <f t="array" aca="1" ref="AT21" ca="1">(Table_Process_Details[[#This Row],[Y Guide]]*Arrow_Offset-Table_Process_Details[[#This Row],[Y End (to Node Center)]]*Arrow_Offset+Table_Process_Details[[#This Row],[Y End (to Node Center)]]*Table_Process_Details[[#This Row],[r0]])/Table_Process_Details[[#This Row],[r0]]</f>
        <v>20.534072257021059</v>
      </c>
      <c r="AU21" s="26" t="e">
        <f>IF(NOT(Table_Process_Details[[#This Row],[Display As]]="None"),Table_Process_Details[[#This Row],[Y Start Prefilter]],NA())</f>
        <v>#N/A</v>
      </c>
      <c r="AV21" s="26">
        <f ca="1">IF(NOT(Table_Process_Details[[#This Row],[Display As]]="None"),Table_Process_Details[[#This Row],[Y Guide Prefilter]],NA())</f>
        <v>21.182866096260693</v>
      </c>
      <c r="AW21" s="26">
        <f ca="1">IF(NOT(Table_Process_Details[[#This Row],[Display As]]="None"),Table_Process_Details[[#This Row],[Y End (to Stop Radius) Prefilter]],NA())</f>
        <v>20.534072257021059</v>
      </c>
      <c r="AX21" s="26" t="e">
        <f>NA()</f>
        <v>#N/A</v>
      </c>
      <c r="AY21" s="26" t="e">
        <f>IF(Table_Process_Details[[#This Row],[Display As]]="Real Step",Table_Process_Details[[#This Row],[X Mover]],NA())</f>
        <v>#N/A</v>
      </c>
      <c r="AZ21" s="26" t="e">
        <f>IF(Table_Process_Details[[#This Row],[Display As]]="Real Step",Table_Process_Details[[#This Row],[Y Mover]],NA())</f>
        <v>#N/A</v>
      </c>
      <c r="BA21" s="26">
        <f ca="1">IF(Table_Process_Details[[#This Row],[Display As]]="Raw Material",Table_Process_Details[[#This Row],[X Mover]],NA())</f>
        <v>16.833467162144437</v>
      </c>
      <c r="BB21" s="26">
        <f ca="1">IF(Table_Process_Details[[#This Row],[Display As]]="Raw Material",Table_Process_Details[[#This Row],[Y Mover]],NA())</f>
        <v>21.182866096260693</v>
      </c>
      <c r="BC21" s="26">
        <f ca="1">IF(OR(Table_Process_Details[[#This Row],[Display As]]="Real Step",Table_Process_Details[[#This Row],[Display As]]="Raw Material"),Table_Process_Details[[#This Row],[X Mover]],NA())</f>
        <v>16.833467162144437</v>
      </c>
      <c r="BD21" s="26">
        <f ca="1">IF(OR(Table_Process_Details[[#This Row],[Display As]]="Real Step",Table_Process_Details[[#This Row],[Display As]]="Raw Material"),Table_Process_Details[[#This Row],[Y Mover]],NA())</f>
        <v>21.182866096260693</v>
      </c>
      <c r="BE21" s="22">
        <f>ROW()-ROW(Table_Process_Details[[#Headers],[Table Row]])</f>
        <v>17</v>
      </c>
      <c r="BF21" s="23" t="str" cm="1">
        <f t="array" aca="1" ref="BF21" ca="1">INDEX(Table_Process_Details[Display Name],MATCH(0,IF(Table_Process_Details[Input or Output]="Input",INDEX(COUNTIF(OFFSET(Table_Process_Details[[#Headers],[Unique Process Inputs]],0,0,Table_Process_Details[[#This Row],[Table Row]],1),Table_Process_Details[Display Name]),),""),0))</f>
        <v>10 wt% reagent B (inorganic) in water</v>
      </c>
      <c r="BG21" s="23">
        <f ca="1">Table_Process_Details[[#This Row],[Physical Mass (kg)]]*Table_Process_Details[[#This Row],[Step Scale Factor for 1kg Packaged API]]</f>
        <v>4.8795195493419339</v>
      </c>
      <c r="BH2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1" s="23">
        <f ca="1">MATCH(Table_Process_Details[[#This Row],[LCA Data Source Class]],INDIRECT(Table_Process_Details[[#This Row],[Input or Output]]),0)</f>
        <v>2</v>
      </c>
      <c r="BJ21" s="23">
        <f ca="1">MATCH(Table_Process_Details[[#This Row],[LCA Data Source Subclass]],INDIRECT(Table_Process_Details[[#This Row],[LCA Data Source Class]]&amp;"[Name]"),0)</f>
        <v>51</v>
      </c>
      <c r="BK21" s="23">
        <f ca="1">IFERROR(INDEX(INDIRECT(Table_Process_Details[[#This Row],[LCA Data Source Class]]&amp;"[Mass Net (kg)]"),MATCH(Table_Process_Details[[#This Row],[LCA Data Source Subclass]],INDIRECT(Table_Process_Details[[#This Row],[LCA Data Source Class]]&amp;"[Name]"),0)),0)</f>
        <v>1.6613169000000001</v>
      </c>
      <c r="BL21" s="23">
        <f ca="1">IFERROR(INDEX(INDIRECT(Table_Process_Details[[#This Row],[LCA Data Source Class]]&amp;"[Energy (MJ)]"),MATCH(Table_Process_Details[[#This Row],[LCA Data Source Subclass]],INDIRECT(Table_Process_Details[[#This Row],[LCA Data Source Class]]&amp;"[Name]"),0)),0)</f>
        <v>57.590679999999999</v>
      </c>
      <c r="BM21" s="23">
        <f ca="1">IFERROR(INDEX(INDIRECT(Table_Process_Details[[#This Row],[LCA Data Source Class]]&amp;"[GWP (kg CO2 equiv.)]"),MATCH(Table_Process_Details[[#This Row],[LCA Data Source Subclass]],INDIRECT(Table_Process_Details[[#This Row],[LCA Data Source Class]]&amp;"[Name]"),0)),0)</f>
        <v>1.8856040999999999</v>
      </c>
      <c r="BN21" s="23">
        <f ca="1">IFERROR(INDEX(INDIRECT(Table_Process_Details[[#This Row],[LCA Data Source Class]]&amp;"[Acidification (kg SO2 equiv.)]"),MATCH(Table_Process_Details[[#This Row],[LCA Data Source Subclass]],INDIRECT(Table_Process_Details[[#This Row],[LCA Data Source Class]]&amp;"[Name]"),0)),0)</f>
        <v>8.3330487999999994E-3</v>
      </c>
      <c r="BO21" s="23">
        <f ca="1">IFERROR(INDEX(INDIRECT(Table_Process_Details[[#This Row],[LCA Data Source Class]]&amp;"[Eutrophication (kg posphate equiv.)]"),MATCH(Table_Process_Details[[#This Row],[LCA Data Source Subclass]],INDIRECT(Table_Process_Details[[#This Row],[LCA Data Source Class]]&amp;"[Name]"),0)),0)</f>
        <v>8.8847363999999998E-2</v>
      </c>
      <c r="BP21" s="23">
        <f ca="1">IFERROR(INDEX(INDIRECT(Table_Process_Details[[#This Row],[LCA Data Source Class]]&amp;"[Water (kg)]"),MATCH(Table_Process_Details[[#This Row],[LCA Data Source Subclass]],INDIRECT(Table_Process_Details[[#This Row],[LCA Data Source Class]]&amp;"[Name]"),0)),0)</f>
        <v>9.6611399999999996</v>
      </c>
      <c r="BQ21" s="27">
        <f ca="1">(Table_Process_Details[[#This Row],[Input or Output]]="Input")*(Table_Process_Details[[#This Row],[LCA Data Source Class]]&lt;&gt;"Process_Steps")*Table_Process_Details[[#This Row],[Scaled Physical Mass per kg API for All Inputs &amp; Outputs]]</f>
        <v>4.8795195493419339</v>
      </c>
      <c r="BR21" s="27">
        <f ca="1">(Table_Process_Details[[#This Row],[Material Class]]="REAGENT")*Table_Process_Details[[#This Row],[Physical Mass per kg API]]</f>
        <v>0</v>
      </c>
      <c r="BS21" s="27">
        <f ca="1">(Table_Process_Details[[#This Row],[Material Class]]="METAL")*Table_Process_Details[[#This Row],[Physical Mass per kg API]]</f>
        <v>0</v>
      </c>
      <c r="BT21" s="27">
        <f ca="1">(Table_Process_Details[[#This Row],[Material Class]]="SOLVENT")*Table_Process_Details[[#This Row],[Physical Mass per kg API]]</f>
        <v>4.8795195493419339</v>
      </c>
      <c r="BU21" s="27">
        <f ca="1">(Table_Process_Details[[#This Row],[Material Class]]="WATER")*Table_Process_Details[[#This Row],[Physical Mass per kg API]]</f>
        <v>0</v>
      </c>
      <c r="BV21" s="27">
        <f ca="1">(Table_Process_Details[[#This Row],[Material Class]]="ENZ&amp;PLNT")*Table_Process_Details[[#This Row],[Physical Mass per kg API]]</f>
        <v>0</v>
      </c>
      <c r="BW21" s="27">
        <f ca="1">(Table_Process_Details[[#This Row],[Material Class]]="OTHER")*Table_Process_Details[[#This Row],[Physical Mass per kg API]]</f>
        <v>0</v>
      </c>
      <c r="BX2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4.8795195493419339</v>
      </c>
      <c r="BY2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2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4.8795195493419339</v>
      </c>
      <c r="CB2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1" s="1">
        <f ca="1">SUMIFS(Table_Process_Details[RV Physical Mass per kg API],Table_Process_Details[Display Name],Table_Process_Details[[#This Row],[Unique Process Inputs]],Table_Process_Details[Input or Output],"Input")</f>
        <v>1.1184164089098165</v>
      </c>
      <c r="CF21" s="1">
        <f ca="1">SUMIFS(Table_Process_Details[RV Physical Mass per kg API (REAGENT)],Table_Process_Details[Display Name],Table_Process_Details[[#This Row],[Unique Process Inputs]],Table_Process_Details[Input or Output],"Input")</f>
        <v>0.11184164089098167</v>
      </c>
      <c r="CG21" s="1">
        <f ca="1">SUMIFS(Table_Process_Details[RV Physical Mass per kg API (METAL)],Table_Process_Details[Display Name],Table_Process_Details[[#This Row],[Unique Process Inputs]],Table_Process_Details[Input or Output],"Input")</f>
        <v>0</v>
      </c>
      <c r="CH21" s="1">
        <f ca="1">SUMIFS(Table_Process_Details[RV Physical Mass per kg API (SOLVENT)],Table_Process_Details[Display Name],Table_Process_Details[[#This Row],[Unique Process Inputs]],Table_Process_Details[Input or Output],"Input")</f>
        <v>0</v>
      </c>
      <c r="CI21" s="1">
        <f ca="1">SUMIFS(Table_Process_Details[RV Physical Mass per kg API (WATER)],Table_Process_Details[Display Name],Table_Process_Details[[#This Row],[Unique Process Inputs]],Table_Process_Details[Input or Output],"Input")</f>
        <v>1.0065747680188348</v>
      </c>
      <c r="CJ21" s="1">
        <f ca="1">SUMIFS(Table_Process_Details[RV Physical Mass per kg API (ENZ&amp;PLNT)],Table_Process_Details[Display Name],Table_Process_Details[[#This Row],[Unique Process Inputs]],Table_Process_Details[Input or Output],"Input")</f>
        <v>0</v>
      </c>
      <c r="CK21" s="1">
        <f ca="1">SUMIFS(Table_Process_Details[RV Physical Mass per kg API (OTHER)],Table_Process_Details[Display Name],Table_Process_Details[[#This Row],[Unique Process Inputs]],Table_Process_Details[Input or Output],"Input")</f>
        <v>0</v>
      </c>
      <c r="CL21" s="22" t="str">
        <f ca="1">INDEX(Table_Process_Details[Unique Process Inputs],MATCH(Table_Process_Details[[#This Row],['[Physical Mass per kg API'] of Unique Inputs Sorted by '[Physical Mass per kg API']]],Table_Process_Details[Total '[Physical Mass per kg API'] of Unique Inputs],0))</f>
        <v>reagent M (organic)</v>
      </c>
      <c r="CM21" s="22">
        <f ca="1">IF(LARGE(Table_Process_Details[Total '[Physical Mass per kg API'] of Unique Inputs],Table_Process_Details[[#This Row],[Table Row]])=0,NA(),LARGE(Table_Process_Details[Total '[Physical Mass per kg API'] of Unique Inputs],Table_Process_Details[[#This Row],[Table Row]]))</f>
        <v>1.1200000000000001</v>
      </c>
      <c r="CN21" s="22">
        <f ca="1">SUM(OFFSET(Table_Process_Details['[Physical Mass per kg API'] of Unique Inputs Sorted by '[Physical Mass per kg API']],0,0,Table_Process_Details[[#This Row],[Table Row]]))</f>
        <v>142.36941996565679</v>
      </c>
      <c r="CO21" s="22" t="str">
        <f ca="1">"("&amp;TEXT(Table_Process_Details[[#This Row],['[Physical Mass per kg API'] of Unique Inputs Sorted by '[Physical Mass per kg API']]]/SUMIF(Table_Process_Details['[Physical Mass per kg API'] of Unique Inputs Sorted by '[Physical Mass per kg API']],"&lt;&gt;#N/A"),"0%")&amp;")"</f>
        <v>(1%)</v>
      </c>
      <c r="CP21" s="22">
        <f ca="1">INDEX(Table_Process_Details[Total '[Physical Mass per kg API'] of Unique Inputs (REAGENT)],MATCH(Table_Process_Details[[#This Row],[Unique Inputs Sorted by '[Physical Mass per kg API']]],Table_Process_Details[Unique Process Inputs],0))</f>
        <v>1.1200000000000001</v>
      </c>
      <c r="CQ21" s="22">
        <f ca="1">INDEX(Table_Process_Details[Total '[Physical Mass per kg API'] of Unique Inputs (METAL)],MATCH(Table_Process_Details[[#This Row],[Unique Inputs Sorted by '[Physical Mass per kg API']]],Table_Process_Details[Unique Process Inputs],0))</f>
        <v>0</v>
      </c>
      <c r="CR21" s="22">
        <f ca="1">INDEX(Table_Process_Details[Total '[Physical Mass per kg API'] of Unique Inputs (SOLVENT)],MATCH(Table_Process_Details[[#This Row],[Unique Inputs Sorted by '[Physical Mass per kg API']]],Table_Process_Details[Unique Process Inputs],0))</f>
        <v>0</v>
      </c>
      <c r="CS21" s="22">
        <f ca="1">INDEX(Table_Process_Details[Total '[Physical Mass per kg API'] of Unique Inputs (WATER)],MATCH(Table_Process_Details[[#This Row],[Unique Inputs Sorted by '[Physical Mass per kg API']]],Table_Process_Details[Unique Process Inputs],0))</f>
        <v>0</v>
      </c>
      <c r="CT21" s="22">
        <f ca="1">INDEX(Table_Process_Details[Total '[Physical Mass per kg API'] of Unique Inputs (ENZ&amp;PLNT)],MATCH(Table_Process_Details[[#This Row],[Unique Inputs Sorted by '[Physical Mass per kg API']]],Table_Process_Details[Unique Process Inputs],0))</f>
        <v>0</v>
      </c>
      <c r="CU21" s="22">
        <f ca="1">INDEX(Table_Process_Details[Total '[Physical Mass per kg API'] of Unique Inputs (OTHER)],MATCH(Table_Process_Details[[#This Row],[Unique Inputs Sorted by '[Physical Mass per kg API']]],Table_Process_Details[Unique Process Inputs],0))</f>
        <v>0</v>
      </c>
      <c r="CV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8.106428291202139</v>
      </c>
      <c r="CW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8.106428291202139</v>
      </c>
      <c r="CZ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1" s="22">
        <f ca="1">SUMIFS(Table_Process_Details[RV Mass Net (kg) per kg API],Table_Process_Details[Display Name],Table_Process_Details[[#This Row],[Unique Process Inputs]],Table_Process_Details[Input or Output],"Input")</f>
        <v>0.15140812523327021</v>
      </c>
      <c r="DD21" s="22">
        <f ca="1">SUMIFS(Table_Process_Details[RV Mass Net (kg) per kg API (REAGENT)],Table_Process_Details[Display Name],Table_Process_Details[[#This Row],[Unique Process Inputs]],Table_Process_Details[Input or Output],"Input")</f>
        <v>0.14986779879391543</v>
      </c>
      <c r="DE21" s="22">
        <f ca="1">SUMIFS(Table_Process_Details[RV Mass Net (kg) per kg API (METAL)],Table_Process_Details[Display Name],Table_Process_Details[[#This Row],[Unique Process Inputs]],Table_Process_Details[Input or Output],"Input")</f>
        <v>0</v>
      </c>
      <c r="DF21" s="22">
        <f ca="1">SUMIFS(Table_Process_Details[RV Mass Net (kg) per kg API (SOLVENT)],Table_Process_Details[Display Name],Table_Process_Details[[#This Row],[Unique Process Inputs]],Table_Process_Details[Input or Output],"Input")</f>
        <v>0</v>
      </c>
      <c r="DG21" s="22">
        <f ca="1">SUMIFS(Table_Process_Details[RV Mass Net (kg) per kg API (WATER)],Table_Process_Details[Display Name],Table_Process_Details[[#This Row],[Unique Process Inputs]],Table_Process_Details[Input or Output],"Input")</f>
        <v>1.5403264393547727E-3</v>
      </c>
      <c r="DH21" s="22">
        <f ca="1">SUMIFS(Table_Process_Details[RV Mass Net (kg) per kg API (ENZ&amp;PLNT)],Table_Process_Details[Display Name],Table_Process_Details[[#This Row],[Unique Process Inputs]],Table_Process_Details[Input or Output],"Input")</f>
        <v>0</v>
      </c>
      <c r="DI21" s="22">
        <f ca="1">SUMIFS(Table_Process_Details[RV Mass Net (kg) per kg API (OTHER)],Table_Process_Details[Display Name],Table_Process_Details[[#This Row],[Unique Process Inputs]],Table_Process_Details[Input or Output],"Input")</f>
        <v>0</v>
      </c>
      <c r="DJ21" s="22" t="str">
        <f ca="1">INDEX(Table_Process_Details[Unique Process Inputs],MATCH(Table_Process_Details[[#This Row],['[Mass Net (kg) per kg API'] of Unique Inputs Sorted by '[Mass Net (kg) per kg API']]],Table_Process_Details[Total '[Mass Net (kg) per kg API'] of Unique Inputs],0))</f>
        <v>reagent P (organic)</v>
      </c>
      <c r="DK21" s="22">
        <f ca="1">IF(LARGE(Table_Process_Details[Total '[Mass Net (kg) per kg API'] of Unique Inputs],Table_Process_Details[[#This Row],[Table Row]])=0,NA(),LARGE(Table_Process_Details[Total '[Mass Net (kg) per kg API'] of Unique Inputs],Table_Process_Details[[#This Row],[Table Row]]))</f>
        <v>0.43746595371940611</v>
      </c>
      <c r="DL21" s="22">
        <f ca="1">SUM(OFFSET(Table_Process_Details['[Mass Net (kg) per kg API'] of Unique Inputs Sorted by '[Mass Net (kg) per kg API']],0,0,Table_Process_Details[[#This Row],[Table Row]]))</f>
        <v>125.44167706291718</v>
      </c>
      <c r="DM21" s="22" t="str">
        <f ca="1">"("&amp;TEXT(Table_Process_Details[[#This Row],['[Mass Net (kg) per kg API'] of Unique Inputs Sorted by '[Mass Net (kg) per kg API']]]/SUMIF(Table_Process_Details['[Mass Net (kg) per kg API'] of Unique Inputs Sorted by '[Mass Net (kg) per kg API']],"&lt;&gt;#N/A"),"0%")&amp;")"</f>
        <v>(0%)</v>
      </c>
      <c r="DN21" s="22">
        <f ca="1">INDEX(Table_Process_Details[Total '[Mass Net (kg) per kg API'] of Unique Inputs (REAGENT)], MATCH(Table_Process_Details[[#This Row],[Unique Inputs Sorted by '[Mass Net (kg) per kg API']]],Table_Process_Details[Unique Process Inputs],0))</f>
        <v>0.43746595371940611</v>
      </c>
      <c r="DO21" s="22">
        <f ca="1">INDEX(Table_Process_Details[Total '[Mass Net (kg) per kg API'] of Unique Inputs (METAL)], MATCH(Table_Process_Details[[#This Row],[Unique Inputs Sorted by '[Mass Net (kg) per kg API']]],Table_Process_Details[Unique Process Inputs],0))</f>
        <v>0</v>
      </c>
      <c r="DP21" s="22">
        <f ca="1">INDEX(Table_Process_Details[Total '[Mass Net (kg) per kg API'] of Unique Inputs (SOLVENT)], MATCH(Table_Process_Details[[#This Row],[Unique Inputs Sorted by '[Mass Net (kg) per kg API']]],Table_Process_Details[Unique Process Inputs],0))</f>
        <v>0</v>
      </c>
      <c r="DQ21" s="22">
        <f ca="1">INDEX(Table_Process_Details[Total '[Mass Net (kg) per kg API'] of Unique Inputs (WATER)], MATCH(Table_Process_Details[[#This Row],[Unique Inputs Sorted by '[Mass Net (kg) per kg API']]],Table_Process_Details[Unique Process Inputs],0))</f>
        <v>0</v>
      </c>
      <c r="DR21" s="22">
        <f ca="1">INDEX(Table_Process_Details[Total '[Mass Net (kg) per kg API'] of Unique Inputs (ENZ&amp;PLNT)], MATCH(Table_Process_Details[[#This Row],[Unique Inputs Sorted by '[Mass Net (kg) per kg API']]],Table_Process_Details[Unique Process Inputs],0))</f>
        <v>0</v>
      </c>
      <c r="DS21" s="22">
        <f ca="1">INDEX(Table_Process_Details[Total '[Mass Net (kg) per kg API'] of Unique Inputs (OTHER)], MATCH(Table_Process_Details[[#This Row],[Unique Inputs Sorted by '[Mass Net (kg) per kg API']]],Table_Process_Details[Unique Process Inputs],0))</f>
        <v>0</v>
      </c>
      <c r="DT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281.01484891989554</v>
      </c>
      <c r="DU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281.01484891989554</v>
      </c>
      <c r="DX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1" s="1">
        <f ca="1">SUMIFS(Table_Process_Details[RV Energy (MJ) per kg API],Table_Process_Details[Display Name],Table_Process_Details[[#This Row],[Unique Process Inputs]],Table_Process_Details[Input or Output],"Input")</f>
        <v>1.2080601378623936</v>
      </c>
      <c r="EB21" s="1">
        <f ca="1">SUMIFS(Table_Process_Details[RV Energy (MJ) per kg API (REAGENT)],Table_Process_Details[Display Name],Table_Process_Details[[#This Row],[Unique Process Inputs]],Table_Process_Details[Input or Output],"Input")</f>
        <v>1.1888766426711352</v>
      </c>
      <c r="EC21" s="1">
        <f ca="1">SUMIFS(Table_Process_Details[RV Energy (MJ) per kg API (METAL)],Table_Process_Details[Display Name],Table_Process_Details[[#This Row],[Unique Process Inputs]],Table_Process_Details[Input or Output],"Input")</f>
        <v>0</v>
      </c>
      <c r="ED21" s="1">
        <f ca="1">SUMIFS(Table_Process_Details[RV Energy (MJ) per kg API (SOLVENT)],Table_Process_Details[Display Name],Table_Process_Details[[#This Row],[Unique Process Inputs]],Table_Process_Details[Input or Output],"Input")</f>
        <v>0</v>
      </c>
      <c r="EE21" s="1">
        <f ca="1">SUMIFS(Table_Process_Details[RV Energy (MJ) per kg API (WATER)],Table_Process_Details[Display Name],Table_Process_Details[[#This Row],[Unique Process Inputs]],Table_Process_Details[Input or Output],"Input")</f>
        <v>1.9183495191258417E-2</v>
      </c>
      <c r="EF21" s="1">
        <f ca="1">SUMIFS(Table_Process_Details[RV Energy (MJ) per kg API (ENZ&amp;PLNT)],Table_Process_Details[Display Name],Table_Process_Details[[#This Row],[Unique Process Inputs]],Table_Process_Details[Input or Output],"Input")</f>
        <v>0</v>
      </c>
      <c r="EG21" s="1">
        <f ca="1">SUMIFS(Table_Process_Details[RV Energy (MJ) per kg API (OTHER)],Table_Process_Details[Display Name],Table_Process_Details[[#This Row],[Unique Process Inputs]],Table_Process_Details[Input or Output],"Input")</f>
        <v>0</v>
      </c>
      <c r="EH21" s="1" t="str">
        <f ca="1">INDEX(Table_Process_Details[Unique Process Inputs],MATCH(Table_Process_Details[[#This Row],['[Energy (MJ) per kg API'] of Unique Inputs Sorted by '[Energy (MJ) per kg API']]],Table_Process_Details[Total '[Energy (MJ) per kg API'] of Unique Inputs],0))</f>
        <v>20 wt% reagent J (inorganic) in water</v>
      </c>
      <c r="EI21" s="22">
        <f ca="1">IF(LARGE(Table_Process_Details[Total '[Energy (MJ) per kg API'] of Unique Inputs],Table_Process_Details[[#This Row],[Table Row]])=0,NA(),LARGE(Table_Process_Details[Total '[Energy (MJ) per kg API'] of Unique Inputs],Table_Process_Details[[#This Row],[Table Row]]))</f>
        <v>10.243867155074335</v>
      </c>
      <c r="EJ21" s="22">
        <f ca="1">SUM(OFFSET(Table_Process_Details['[Energy (MJ) per kg API'] of Unique Inputs Sorted by '[Energy (MJ) per kg API']],0,0,Table_Process_Details[[#This Row],[Table Row]]))</f>
        <v>5033.0471869602661</v>
      </c>
      <c r="EK21" s="22" t="str">
        <f ca="1">"("&amp;TEXT(Table_Process_Details[[#This Row],['[Energy (MJ) per kg API'] of Unique Inputs Sorted by '[Energy (MJ) per kg API']]]/SUMIF(Table_Process_Details['[Energy (MJ) per kg API'] of Unique Inputs Sorted by '[Energy (MJ) per kg API']],"&lt;&gt;#N/A"),"0%")&amp;")"</f>
        <v>(0%)</v>
      </c>
      <c r="EL21" s="22">
        <f ca="1">INDEX(Table_Process_Details[Total '[Energy (MJ) per kg API'] of Unique Inputs (REAGENT)], MATCH(Table_Process_Details[[#This Row],[Unique Inputs Sorted by '[Energy (MJ) per kg API']]],Table_Process_Details[Unique Process Inputs],0))</f>
        <v>10.178173897085234</v>
      </c>
      <c r="EM21" s="22">
        <f ca="1">INDEX(Table_Process_Details[Total '[Energy (MJ) per kg API'] of Unique Inputs (METAL)], MATCH(Table_Process_Details[[#This Row],[Unique Inputs Sorted by '[Energy (MJ) per kg API']]],Table_Process_Details[Unique Process Inputs],0))</f>
        <v>0</v>
      </c>
      <c r="EN21" s="22">
        <f ca="1">INDEX(Table_Process_Details[Total '[Energy (MJ) per kg API'] of Unique Inputs (SOLVENT)], MATCH(Table_Process_Details[[#This Row],[Unique Inputs Sorted by '[Energy (MJ) per kg API']]],Table_Process_Details[Unique Process Inputs],0))</f>
        <v>0</v>
      </c>
      <c r="EO21" s="22">
        <f ca="1">INDEX(Table_Process_Details[Total '[Energy (MJ) per kg API'] of Unique Inputs (WATER)], MATCH(Table_Process_Details[[#This Row],[Unique Inputs Sorted by '[Energy (MJ) per kg API']]],Table_Process_Details[Unique Process Inputs],0))</f>
        <v>6.5693257989100584E-2</v>
      </c>
      <c r="EP21" s="22">
        <f ca="1">INDEX(Table_Process_Details[Total '[Energy (MJ) per kg API'] of Unique Inputs (ENZ&amp;PLNT)], MATCH(Table_Process_Details[[#This Row],[Unique Inputs Sorted by '[Energy (MJ) per kg API']]],Table_Process_Details[Unique Process Inputs],0))</f>
        <v>0</v>
      </c>
      <c r="EQ21" s="22">
        <f ca="1">INDEX(Table_Process_Details[Total '[Energy (MJ) per kg API'] of Unique Inputs (OTHER)], MATCH(Table_Process_Details[[#This Row],[Unique Inputs Sorted by '[Energy (MJ) per kg API']]],Table_Process_Details[Unique Process Inputs],0))</f>
        <v>0</v>
      </c>
      <c r="ER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9.2008420682693028</v>
      </c>
      <c r="ES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9.2008420682693028</v>
      </c>
      <c r="EV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1" s="22">
        <f ca="1">SUMIFS(Table_Process_Details[RV GWP (kg CO2 equiv.) per kg API],Table_Process_Details[Display Name],Table_Process_Details[[#This Row],[Unique Process Inputs]],Table_Process_Details[Input or Output],"Input")</f>
        <v>0.15596782955838298</v>
      </c>
      <c r="EZ21" s="1">
        <f ca="1">SUMIFS(Table_Process_Details[RV GWP (kg CO2 equiv.) per kg API (REAGENT)],Table_Process_Details[Display Name],Table_Process_Details[[#This Row],[Unique Process Inputs]],Table_Process_Details[Input or Output],"Input")</f>
        <v>0.15494540929036602</v>
      </c>
      <c r="FA21" s="1">
        <f ca="1">SUMIFS(Table_Process_Details[RV GWP (kg CO2 equiv.) per kg API (METAL)],Table_Process_Details[Display Name],Table_Process_Details[[#This Row],[Unique Process Inputs]],Table_Process_Details[Input or Output],"Input")</f>
        <v>0</v>
      </c>
      <c r="FB21" s="1">
        <f ca="1">SUMIFS(Table_Process_Details[RV GWP (kg CO2 equiv.) per kg API (SOLVENT)],Table_Process_Details[Display Name],Table_Process_Details[[#This Row],[Unique Process Inputs]],Table_Process_Details[Input or Output],"Input")</f>
        <v>0</v>
      </c>
      <c r="FC21" s="1">
        <f ca="1">SUMIFS(Table_Process_Details[RV GWP (kg CO2 equiv.) per kg API (WATER)],Table_Process_Details[Display Name],Table_Process_Details[[#This Row],[Unique Process Inputs]],Table_Process_Details[Input or Output],"Input")</f>
        <v>1.0224202680169875E-3</v>
      </c>
      <c r="FD21" s="1">
        <f ca="1">SUMIFS(Table_Process_Details[RV GWP (kg CO2 equiv.) per kg API (ENZ&amp;PLNT)],Table_Process_Details[Display Name],Table_Process_Details[[#This Row],[Unique Process Inputs]],Table_Process_Details[Input or Output],"Input")</f>
        <v>0</v>
      </c>
      <c r="FE21" s="1">
        <f ca="1">SUMIFS(Table_Process_Details[RV GWP (kg CO2 equiv.) per kg API (OTHER)],Table_Process_Details[Display Name],Table_Process_Details[[#This Row],[Unique Process Inputs]],Table_Process_Details[Input or Output],"Input")</f>
        <v>0</v>
      </c>
      <c r="FF21" s="22" t="str">
        <f ca="1">INDEX(Table_Process_Details[Unique Process Inputs],MATCH(Table_Process_Details[[#This Row],['[GWP (kg CO2 equiv.) per kg API'] of Unique Inputs Sorted by '[GWP (kg CO2 equiv.) per kg API']]],Table_Process_Details[Total '[GWP (kg CO2 equiv.) per kg API'] of Unique Inputs],0))</f>
        <v>reagent P (organic)</v>
      </c>
      <c r="FG21" s="22">
        <f ca="1">IF(LARGE(Table_Process_Details[Total '[GWP (kg CO2 equiv.) per kg API'] of Unique Inputs],Table_Process_Details[[#This Row],[Table Row]])=0,NA(),LARGE(Table_Process_Details[Total '[GWP (kg CO2 equiv.) per kg API'] of Unique Inputs],Table_Process_Details[[#This Row],[Table Row]]))</f>
        <v>0.55034550007785088</v>
      </c>
      <c r="FH21" s="22">
        <f ca="1">SUM(OFFSET(Table_Process_Details['[GWP (kg CO2 equiv.) per kg API'] of Unique Inputs Sorted by '[GWP (kg CO2 equiv.) per kg API']],0,0,Table_Process_Details[[#This Row],[Table Row]]))</f>
        <v>154.61885784135353</v>
      </c>
      <c r="FI21" s="22" t="str">
        <f ca="1">"("&amp;TEXT(Table_Process_Details[[#This Row],['[GWP (kg CO2 equiv.) per kg API'] of Unique Inputs Sorted by '[GWP (kg CO2 equiv.) per kg API']]]/SUMIF(Table_Process_Details['[GWP (kg CO2 equiv.) per kg API'] of Unique Inputs Sorted by '[GWP (kg CO2 equiv.) per kg API']],"&lt;&gt;#N/A"),"0%")&amp;")"</f>
        <v>(0%)</v>
      </c>
      <c r="FJ21" s="22">
        <f ca="1">INDEX(Table_Process_Details[Total '[GWP (kg CO2 equiv.) per kg API'] of Unique Inputs (REAGENT)], MATCH(Table_Process_Details[[#This Row],[Unique Inputs Sorted by '[GWP (kg CO2 equiv.) per kg API']]],Table_Process_Details[Unique Process Inputs],0))</f>
        <v>0.55034550007785088</v>
      </c>
      <c r="FK21" s="22">
        <f ca="1">INDEX(Table_Process_Details[Total '[GWP (kg CO2 equiv.) per kg API'] of Unique Inputs (METAL)], MATCH(Table_Process_Details[[#This Row],[Unique Inputs Sorted by '[GWP (kg CO2 equiv.) per kg API']]],Table_Process_Details[Unique Process Inputs],0))</f>
        <v>0</v>
      </c>
      <c r="FL21" s="22">
        <f ca="1">INDEX(Table_Process_Details[Total '[GWP (kg CO2 equiv.) per kg API'] of Unique Inputs (SOLVENT)], MATCH(Table_Process_Details[[#This Row],[Unique Inputs Sorted by '[GWP (kg CO2 equiv.) per kg API']]],Table_Process_Details[Unique Process Inputs],0))</f>
        <v>0</v>
      </c>
      <c r="FM21" s="22">
        <f ca="1">INDEX(Table_Process_Details[Total '[GWP (kg CO2 equiv.) per kg API'] of Unique Inputs (WATER)], MATCH(Table_Process_Details[[#This Row],[Unique Inputs Sorted by '[GWP (kg CO2 equiv.) per kg API']]],Table_Process_Details[Unique Process Inputs],0))</f>
        <v>0</v>
      </c>
      <c r="FN21" s="22">
        <f ca="1">INDEX(Table_Process_Details[Total '[GWP (kg CO2 equiv.) per kg API'] of Unique Inputs (ENZ&amp;PLNT)], MATCH(Table_Process_Details[[#This Row],[Unique Inputs Sorted by '[GWP (kg CO2 equiv.) per kg API']]],Table_Process_Details[Unique Process Inputs],0))</f>
        <v>0</v>
      </c>
      <c r="FO21" s="22">
        <f ca="1">INDEX(Table_Process_Details[Total '[GWP (kg CO2 equiv.) per kg API'] of Unique Inputs (OTHER)], MATCH(Table_Process_Details[[#This Row],[Unique Inputs Sorted by '[GWP (kg CO2 equiv.) per kg API']]],Table_Process_Details[Unique Process Inputs],0))</f>
        <v>0</v>
      </c>
      <c r="FP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4.0661274525220337E-2</v>
      </c>
      <c r="FQ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4.0661274525220337E-2</v>
      </c>
      <c r="FT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1" s="22">
        <f ca="1">SUMIFS(Table_Process_Details[RV Acidification (kg SO2 equiv.) per kg API],Table_Process_Details[Display Name],Table_Process_Details[[#This Row],[Unique Process Inputs]],Table_Process_Details[Input or Output],"Input")</f>
        <v>1.5585158286670305E-3</v>
      </c>
      <c r="FX21" s="1">
        <f ca="1">SUMIFS(Table_Process_Details[RV Acidification (kg SO2 equiv.) per kg API (REAGENT)],Table_Process_Details[Display Name],Table_Process_Details[[#This Row],[Unique Process Inputs]],Table_Process_Details[Input or Output],"Input")</f>
        <v>1.5545988083846452E-3</v>
      </c>
      <c r="FY21" s="1">
        <f ca="1">SUMIFS(Table_Process_Details[RV Acidification (kg SO2 equiv.) per kg API (METAL)],Table_Process_Details[Display Name],Table_Process_Details[[#This Row],[Unique Process Inputs]],Table_Process_Details[Input or Output],"Input")</f>
        <v>0</v>
      </c>
      <c r="FZ21" s="1">
        <f ca="1">SUMIFS(Table_Process_Details[RV Acidification (kg SO2 equiv.) per kg API (SOLVENT)],Table_Process_Details[Display Name],Table_Process_Details[[#This Row],[Unique Process Inputs]],Table_Process_Details[Input or Output],"Input")</f>
        <v>0</v>
      </c>
      <c r="GA21" s="1">
        <f ca="1">SUMIFS(Table_Process_Details[RV Acidification (kg SO2 equiv.) per kg API (WATER)],Table_Process_Details[Display Name],Table_Process_Details[[#This Row],[Unique Process Inputs]],Table_Process_Details[Input or Output],"Input")</f>
        <v>3.9170202823853742E-6</v>
      </c>
      <c r="GB21" s="1">
        <f ca="1">SUMIFS(Table_Process_Details[RV Acidification (kg SO2 equiv.) per kg API (ENZ&amp;PLNT)],Table_Process_Details[Display Name],Table_Process_Details[[#This Row],[Unique Process Inputs]],Table_Process_Details[Input or Output],"Input")</f>
        <v>0</v>
      </c>
      <c r="GC21" s="1">
        <f ca="1">SUMIFS(Table_Process_Details[RV Acidification (kg SO2 equiv.) per kg API (OTHER)],Table_Process_Details[Display Name],Table_Process_Details[[#This Row],[Unique Process Inputs]],Table_Process_Details[Input or Output],"Input")</f>
        <v>0</v>
      </c>
      <c r="GD21"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30 wt% reagent F (inorganic) in water</v>
      </c>
      <c r="GE21" s="22">
        <f ca="1">IF(LARGE(Table_Process_Details[Total '[Acidification (kg SO2 equiv.) per kg API'] of Unique Inputs],Table_Process_Details[[#This Row],[Table Row]])=0,NA(),LARGE(Table_Process_Details[Total '[Acidification (kg SO2 equiv.) per kg API'] of Unique Inputs],Table_Process_Details[[#This Row],[Table Row]]))</f>
        <v>2.6518626255442458E-3</v>
      </c>
      <c r="GF21" s="22">
        <f ca="1">SUM(OFFSET(Table_Process_Details['[Acidification (kg SO2 equiv.) per kg API'] of Unique Inputs Sorted by '[Acidification (kg SO2 equiv.) per kg API']],0,0,Table_Process_Details[[#This Row],[Table Row]]))</f>
        <v>0.64283362223288099</v>
      </c>
      <c r="GG21"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1" s="22">
        <f ca="1">INDEX(Table_Process_Details[Total '[Acidification (kg SO2 equiv.) per kg API'] of Unique Inputs (REAGENT)], MATCH(Table_Process_Details[[#This Row],[Unique Inputs Sorted by '[Acidification (kg SO2 equiv.) per kg API']]],Table_Process_Details[Unique Process Inputs],0))</f>
        <v>2.6498843324723352E-3</v>
      </c>
      <c r="GI21" s="22">
        <f ca="1">INDEX(Table_Process_Details[Total '[Acidification (kg SO2 equiv.) per kg API'] of Unique Inputs (METAL)], MATCH(Table_Process_Details[[#This Row],[Unique Inputs Sorted by '[Acidification (kg SO2 equiv.) per kg API']]],Table_Process_Details[Unique Process Inputs],0))</f>
        <v>0</v>
      </c>
      <c r="GJ21" s="22">
        <f ca="1">INDEX(Table_Process_Details[Total '[Acidification (kg SO2 equiv.) per kg API'] of Unique Inputs (SOLVENT)], MATCH(Table_Process_Details[[#This Row],[Unique Inputs Sorted by '[Acidification (kg SO2 equiv.) per kg API']]],Table_Process_Details[Unique Process Inputs],0))</f>
        <v>0</v>
      </c>
      <c r="GK21" s="22">
        <f ca="1">INDEX(Table_Process_Details[Total '[Acidification (kg SO2 equiv.) per kg API'] of Unique Inputs (WATER)], MATCH(Table_Process_Details[[#This Row],[Unique Inputs Sorted by '[Acidification (kg SO2 equiv.) per kg API']]],Table_Process_Details[Unique Process Inputs],0))</f>
        <v>1.9782930719106919E-6</v>
      </c>
      <c r="GL21" s="22">
        <f ca="1">INDEX(Table_Process_Details[Total '[Acidification (kg SO2 equiv.) per kg API'] of Unique Inputs (ENZ&amp;PLNT)], MATCH(Table_Process_Details[[#This Row],[Unique Inputs Sorted by '[Acidification (kg SO2 equiv.) per kg API']]],Table_Process_Details[Unique Process Inputs],0))</f>
        <v>0</v>
      </c>
      <c r="GM21" s="22">
        <f ca="1">INDEX(Table_Process_Details[Total '[Acidification (kg SO2 equiv.) per kg API'] of Unique Inputs (OTHER)], MATCH(Table_Process_Details[[#This Row],[Unique Inputs Sorted by '[Acidification (kg SO2 equiv.) per kg API']]],Table_Process_Details[Unique Process Inputs],0))</f>
        <v>0</v>
      </c>
      <c r="GN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0.43353244954549874</v>
      </c>
      <c r="GO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0.43353244954549874</v>
      </c>
      <c r="GR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1" s="22">
        <f ca="1">SUMIFS(Table_Process_Details[RV Eutrophication (kg phosphate equiv.) per kg API],Table_Process_Details[Display Name],Table_Process_Details[[#This Row],[Unique Process Inputs]],Table_Process_Details[Input or Output],"Input")</f>
        <v>8.0622559449720533E-5</v>
      </c>
      <c r="GV21" s="1">
        <f ca="1">SUMIFS(Table_Process_Details[RV Eutrophication (kg phosphate equiv.) per kg API (REAGENT)],Table_Process_Details[Display Name],Table_Process_Details[[#This Row],[Unique Process Inputs]],Table_Process_Details[Input or Output],"Input")</f>
        <v>7.8289148623687164E-5</v>
      </c>
      <c r="GW21" s="1">
        <f ca="1">SUMIFS(Table_Process_Details[RV Eutrophication (kg phosphate equiv.) per kg API (METAL)],Table_Process_Details[Display Name],Table_Process_Details[[#This Row],[Unique Process Inputs]],Table_Process_Details[Input or Output],"Input")</f>
        <v>0</v>
      </c>
      <c r="GX21" s="1">
        <f ca="1">SUMIFS(Table_Process_Details[RV Eutrophication (kg phosphate equiv.) per kg API (SOLVENT)],Table_Process_Details[Display Name],Table_Process_Details[[#This Row],[Unique Process Inputs]],Table_Process_Details[Input or Output],"Input")</f>
        <v>0</v>
      </c>
      <c r="GY21" s="1">
        <f ca="1">SUMIFS(Table_Process_Details[RV Eutrophication (kg phosphate equiv.) per kg API (WATER)],Table_Process_Details[Display Name],Table_Process_Details[[#This Row],[Unique Process Inputs]],Table_Process_Details[Input or Output],"Input")</f>
        <v>2.3334108260333617E-6</v>
      </c>
      <c r="GZ21" s="1">
        <f ca="1">SUMIFS(Table_Process_Details[RV Eutrophication (kg phosphate equiv.) per kg API (ENZ&amp;PLNT)],Table_Process_Details[Display Name],Table_Process_Details[[#This Row],[Unique Process Inputs]],Table_Process_Details[Input or Output],"Input")</f>
        <v>0</v>
      </c>
      <c r="HA21" s="1">
        <f ca="1">SUMIFS(Table_Process_Details[RV Eutrophication (kg phosphate equiv.) per kg API (OTHER)],Table_Process_Details[Display Name],Table_Process_Details[[#This Row],[Unique Process Inputs]],Table_Process_Details[Input or Output],"Input")</f>
        <v>0</v>
      </c>
      <c r="HB21"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20 wt% reagent J (inorganic) in water</v>
      </c>
      <c r="HC21" s="22">
        <f ca="1">IF(LARGE(Table_Process_Details[Total '[Eutrophication (kg posphate equiv.) per kg API'] of Unique Inputs],Table_Process_Details[[#This Row],[Table Row]])=0,NA(),LARGE(Table_Process_Details[Total '[Eutrophication (kg posphate equiv.) per kg API'] of Unique Inputs],Table_Process_Details[[#This Row],[Table Row]]))</f>
        <v>6.7823732460523325E-4</v>
      </c>
      <c r="HD21" s="22">
        <f ca="1">SUM(OFFSET(Table_Process_Details['[Eutrophication (kg posphate equiv.) per kg API'] of Unique Inputs Sorted by '[Eutrophication (kg posphate equiv.) per kg API']],0,0,Table_Process_Details[[#This Row],[Table Row]]))</f>
        <v>1.3731033539404551</v>
      </c>
      <c r="HE21"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1" s="1">
        <f ca="1">INDEX(Table_Process_Details[Total '[Eutrophication (kg posphate equiv.) per kg API'] of Unique Inputs (REAGENT)], MATCH(Table_Process_Details[[#This Row],[Unique Inputs Sorted by '[Eutrophication (kg posphate equiv.) per kg API']]],Table_Process_Details[Unique Process Inputs],0))</f>
        <v>6.7024663480335495E-4</v>
      </c>
      <c r="HG21" s="1">
        <f ca="1">INDEX(Table_Process_Details[Total '[Eutrophication (kg posphate equiv.) per kg API'] of Unique Inputs (METAL)], MATCH(Table_Process_Details[[#This Row],[Unique Inputs Sorted by '[Eutrophication (kg posphate equiv.) per kg API']]],Table_Process_Details[Unique Process Inputs],0))</f>
        <v>0</v>
      </c>
      <c r="HH21" s="1">
        <f ca="1">INDEX(Table_Process_Details[Total '[Eutrophication (kg posphate equiv.) per kg API'] of Unique Inputs (SOLVENT)], MATCH(Table_Process_Details[[#This Row],[Unique Inputs Sorted by '[Eutrophication (kg posphate equiv.) per kg API']]],Table_Process_Details[Unique Process Inputs],0))</f>
        <v>0</v>
      </c>
      <c r="HI21" s="1">
        <f ca="1">INDEX(Table_Process_Details[Total '[Eutrophication (kg posphate equiv.) per kg API'] of Unique Inputs (WATER)], MATCH(Table_Process_Details[[#This Row],[Unique Inputs Sorted by '[Eutrophication (kg posphate equiv.) per kg API']]],Table_Process_Details[Unique Process Inputs],0))</f>
        <v>7.9906898018782946E-6</v>
      </c>
      <c r="HJ21" s="1">
        <f ca="1">INDEX(Table_Process_Details[Total '[Eutrophication (kg posphate equiv.) per kg API'] of Unique Inputs (ENZ&amp;PLNT)], MATCH(Table_Process_Details[[#This Row],[Unique Inputs Sorted by '[Eutrophication (kg posphate equiv.) per kg API']]],Table_Process_Details[Unique Process Inputs],0))</f>
        <v>0</v>
      </c>
      <c r="HK21" s="1">
        <f ca="1">INDEX(Table_Process_Details[Total '[Eutrophication (kg posphate equiv.) per kg API'] of Unique Inputs (OTHER)], MATCH(Table_Process_Details[[#This Row],[Unique Inputs Sorted by '[Eutrophication (kg posphate equiv.) per kg API']]],Table_Process_Details[Unique Process Inputs],0))</f>
        <v>0</v>
      </c>
      <c r="HL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47.141721498929329</v>
      </c>
      <c r="HM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47.141721498929329</v>
      </c>
      <c r="HP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1" s="1">
        <f ca="1">SUMIFS(Table_Process_Details[RV Water (kg) per kg API],Table_Process_Details[Display Name],Table_Process_Details[[#This Row],[Unique Process Inputs]],Table_Process_Details[Input or Output],"Input")</f>
        <v>1.3489636246923771</v>
      </c>
      <c r="HT21" s="1">
        <f ca="1">SUMIFS(Table_Process_Details[RV Water (kg) per kg API (REAGENT)],Table_Process_Details[Display Name],Table_Process_Details[[#This Row],[Unique Process Inputs]],Table_Process_Details[Input or Output],"Input")</f>
        <v>7.7308297433073256E-2</v>
      </c>
      <c r="HU21" s="1">
        <f ca="1">SUMIFS(Table_Process_Details[RV Water (kg) per kg API (METAL)],Table_Process_Details[Display Name],Table_Process_Details[[#This Row],[Unique Process Inputs]],Table_Process_Details[Input or Output],"Input")</f>
        <v>0</v>
      </c>
      <c r="HV21" s="1">
        <f ca="1">SUMIFS(Table_Process_Details[RV Water (kg) per kg API (SOLVENT)],Table_Process_Details[Display Name],Table_Process_Details[[#This Row],[Unique Process Inputs]],Table_Process_Details[Input or Output],"Input")</f>
        <v>0</v>
      </c>
      <c r="HW21" s="1">
        <f ca="1">SUMIFS(Table_Process_Details[RV Water (kg) per kg API (WATER)],Table_Process_Details[Display Name],Table_Process_Details[[#This Row],[Unique Process Inputs]],Table_Process_Details[Input or Output],"Input")</f>
        <v>1.2716553272593039</v>
      </c>
      <c r="HX21" s="1">
        <f ca="1">SUMIFS(Table_Process_Details[RV Water (kg) per kg API (ENZ&amp;PLNT)],Table_Process_Details[Display Name],Table_Process_Details[[#This Row],[Unique Process Inputs]],Table_Process_Details[Input or Output],"Input")</f>
        <v>0</v>
      </c>
      <c r="HY21" s="1">
        <f ca="1">SUMIFS(Table_Process_Details[RV Water (kg) per kg API (OTHER)],Table_Process_Details[Display Name],Table_Process_Details[[#This Row],[Unique Process Inputs]],Table_Process_Details[Input or Output],"Input")</f>
        <v>0</v>
      </c>
      <c r="HZ21" s="22" t="str">
        <f ca="1">INDEX(Table_Process_Details[Unique Process Inputs],MATCH(Table_Process_Details[[#This Row],['[Water (kg) per kg API'] of Unique Inputs Sorted by '[Water (kg) per kg API']]],Table_Process_Details[Total '[Water (kg) per kg API'] of Unique Inputs],0))</f>
        <v>6 M HCl (aq)</v>
      </c>
      <c r="IA21" s="22">
        <f ca="1">IF(LARGE(Table_Process_Details[Total '[Water (kg) per kg API'] of Unique Inputs],Table_Process_Details[[#This Row],[Table Row]])=0,NA(),LARGE(Table_Process_Details[Total '[Water (kg) per kg API'] of Unique Inputs],Table_Process_Details[[#This Row],[Table Row]]))</f>
        <v>3.2068314369275428</v>
      </c>
      <c r="IB21" s="1">
        <f ca="1">SUM(OFFSET(Table_Process_Details['[Water (kg) per kg API'] of Unique Inputs Sorted by '[Water (kg) per kg API']],0,0,Table_Process_Details[[#This Row],[Table Row]]))</f>
        <v>875.20994337406762</v>
      </c>
      <c r="IC21" s="1" t="str">
        <f ca="1">"("&amp;TEXT(Table_Process_Details[[#This Row],['[Water (kg) per kg API'] of Unique Inputs Sorted by '[Water (kg) per kg API']]]/SUMIF(Table_Process_Details['[Water (kg) per kg API'] of Unique Inputs Sorted by '[Water (kg) per kg API']],"&lt;&gt;#N/A"),"0%")&amp;")"</f>
        <v>(0%)</v>
      </c>
      <c r="ID21" s="1">
        <f ca="1">INDEX(Table_Process_Details[Total '[Water (kg) per kg API'] of Unique Inputs (REAGENT)], MATCH(Table_Process_Details[[#This Row],[Unique Inputs Sorted by '[Water (kg) per kg API']]],Table_Process_Details[Unique Process Inputs],0))</f>
        <v>0.39332038638057976</v>
      </c>
      <c r="IE21" s="1">
        <f ca="1">INDEX(Table_Process_Details[Total '[Water (kg) per kg API'] of Unique Inputs (METAL)], MATCH(Table_Process_Details[[#This Row],[Unique Inputs Sorted by '[Water (kg) per kg API']]],Table_Process_Details[Unique Process Inputs],0))</f>
        <v>0</v>
      </c>
      <c r="IF21" s="1">
        <f ca="1">INDEX(Table_Process_Details[Total '[Water (kg) per kg API'] of Unique Inputs (SOLVENT)], MATCH(Table_Process_Details[[#This Row],[Unique Inputs Sorted by '[Water (kg) per kg API']]],Table_Process_Details[Unique Process Inputs],0))</f>
        <v>0</v>
      </c>
      <c r="IG21" s="1">
        <f ca="1">INDEX(Table_Process_Details[Total '[Water (kg) per kg API'] of Unique Inputs (WATER)], MATCH(Table_Process_Details[[#This Row],[Unique Inputs Sorted by '[Water (kg) per kg API']]],Table_Process_Details[Unique Process Inputs],0))</f>
        <v>2.8135110505469632</v>
      </c>
      <c r="IH21" s="1">
        <f ca="1">INDEX(Table_Process_Details[Total '[Water (kg) per kg API'] of Unique Inputs (ENZ&amp;PLNT)], MATCH(Table_Process_Details[[#This Row],[Unique Inputs Sorted by '[Water (kg) per kg API']]],Table_Process_Details[Unique Process Inputs],0))</f>
        <v>0</v>
      </c>
      <c r="II21" s="1">
        <f ca="1">INDEX(Table_Process_Details[Total '[Water (kg) per kg API'] of Unique Inputs (OTHER)], MATCH(Table_Process_Details[[#This Row],[Unique Inputs Sorted by '[Water (kg) per kg API']]],Table_Process_Details[Unique Process Inputs],0))</f>
        <v>0</v>
      </c>
    </row>
    <row r="22" spans="1:243" s="119" customFormat="1" x14ac:dyDescent="0.25">
      <c r="A22" s="126" t="str">
        <f>A21</f>
        <v>1f) Virtual solution prep for (1) and (3): 20 wt% reagent D (organic) in DMF</v>
      </c>
      <c r="B22" s="127" t="s">
        <v>5</v>
      </c>
      <c r="C22" s="127" t="s">
        <v>155</v>
      </c>
      <c r="D22" s="126" t="s">
        <v>155</v>
      </c>
      <c r="E22" s="126" t="str">
        <f>'1. Define Process Steps'!C12</f>
        <v>20 wt% reagent D (organic) in DMF</v>
      </c>
      <c r="F22" s="165">
        <f>F21+F20</f>
        <v>100</v>
      </c>
      <c r="G22" s="128"/>
      <c r="H22" s="128" t="s">
        <v>857</v>
      </c>
      <c r="I22" s="128" t="s">
        <v>865</v>
      </c>
      <c r="J22" s="128" t="str">
        <f>INDEX(Process_Steps[Reference],MATCH(Table_Process_Details[[#This Row],[Step Name]],Process_Steps[Name],0))</f>
        <v>Reference Document  for Step 1</v>
      </c>
      <c r="K22" s="129" t="str">
        <f>INDEX(Process_Steps[Real or Virtual?],MATCH(Table_Process_Details[[#This Row],[Step Name]],Process_Steps[Name],0))</f>
        <v>Real</v>
      </c>
      <c r="L22"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22"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22" s="128">
        <f>INDEX(Table_Process_Details[Physical Mass (kg)],MATCH(1,INDEX(((Table_Process_Details[Step Name]=Table_Process_Details[[#This Row],[Step Name]])*(Table_Process_Details[Input or Output]="Output")),0),0))</f>
        <v>100</v>
      </c>
      <c r="O22" s="130">
        <f ca="1">INDEX(Process_Steps[Step Scale Factor for 1kg Packaged API],MATCH(Table_Process_Details[[#This Row],[Step Name]],Process_Steps[Name],0))</f>
        <v>6.0993994366774176E-2</v>
      </c>
      <c r="P22"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v>
      </c>
      <c r="Q22"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v>
      </c>
      <c r="R22" s="128">
        <f ca="1">_xlfn.SWITCH(Run_Reset_PNG,"Reset",Table_Process_Details[[#This Row],[X Init]],"Run",Table_Process_Details[[#This Row],[X Moved]],"Freeze",Table_Process_Details[[#This Row],[X Mover]])</f>
        <v>12.974140333930144</v>
      </c>
      <c r="S22" s="128">
        <f ca="1">_xlfn.SWITCH(Run_Reset_PNG,"Reset",Table_Process_Details[[#This Row],[Y Init]],"Run",Table_Process_Details[[#This Row],[Y Moved]],"Freeze",Table_Process_Details[[#This Row],[Y Mover]])</f>
        <v>20.368995765321468</v>
      </c>
      <c r="T22" s="128" cm="1">
        <f t="array" aca="1" ref="T2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0.66319620927539813</v>
      </c>
      <c r="U22" s="128" cm="1">
        <f t="array" aca="1" ref="U2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1.8661533034447262</v>
      </c>
      <c r="V22" s="128" cm="1">
        <f t="array" aca="1" ref="V22" ca="1">SUM(--(SQRT((Table_Process_Details[[#This Row],[X Mover]]-Table_Process_Details[X Mover])^2+(Table_Process_Details[[#This Row],[Y Mover]]-Table_Process_Details[Y Mover])^2)&lt;Collision_Distance))</f>
        <v>15</v>
      </c>
      <c r="W22" s="128" cm="1">
        <f t="array" aca="1" ref="W2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-0.11812778821352454</v>
      </c>
      <c r="X22" s="128" cm="1">
        <f t="array" aca="1" ref="X2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-0.24049310846444216</v>
      </c>
      <c r="Y22" s="128" cm="1">
        <f t="array" aca="1" ref="Y2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v>
      </c>
      <c r="Z22" s="128">
        <f>0</f>
        <v>0</v>
      </c>
      <c r="AA22" s="128">
        <f>0</f>
        <v>0</v>
      </c>
      <c r="AB22"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-6.4870701669650721</v>
      </c>
      <c r="AC22" s="128" cm="1">
        <f t="array" aca="1" ref="AC2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-10.184497882660734</v>
      </c>
      <c r="AD22" s="128">
        <f>MIN(1,COUNTA(Table_Process_Details[[#This Row],[target x]]),COUNTA(Table_Process_Details[[#This Row],[target y]]))*COUNTA(Table_Process_Details[Step Name])</f>
        <v>98</v>
      </c>
      <c r="AE22"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12.922626873954661</v>
      </c>
      <c r="AF22"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20.329359260652751</v>
      </c>
      <c r="AG22"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22" s="128" t="e" cm="1">
        <f t="array" ref="AH22">INDEX(Table_Process_Details[X Mover],MATCH(1,INDEX((Table_Process_Details[Input or Output]="Output")*(Table_Process_Details[Step Name]=Table_Process_Details[[#This Row],[Step Name]])*(Table_Process_Details[[#This Row],[Input or Output]]="Input"),0),0))</f>
        <v>#N/A</v>
      </c>
      <c r="AI22" s="128" t="e" cm="1">
        <f t="array" ref="AI22">INDEX(Table_Process_Details[Y Mover],MATCH(1,INDEX((Table_Process_Details[Input or Output]="Output")*(Table_Process_Details[Step Name]=Table_Process_Details[[#This Row],[Step Name]])*(Table_Process_Details[[#This Row],[Input or Output]]="Input"),0),0))</f>
        <v>#N/A</v>
      </c>
      <c r="AJ22" s="128" t="e">
        <f>SQRT((Table_Process_Details[[#This Row],[X End (To Node Center)]]-Table_Process_Details[[#This Row],[X Guide]])^2+(Table_Process_Details[[#This Row],[Y End (to Node Center)]]-Table_Process_Details[[#This Row],[Y Guide]])^2)</f>
        <v>#N/A</v>
      </c>
      <c r="AK22" s="128" t="e" cm="1">
        <f t="array" ref="AK22">INDEX(Table_Process_Details[X Mover],MATCH(1,INDEX((Table_Process_Details[Step Name]=Table_Process_Details[[#This Row],[LCA Data Source Subclass]])*(Table_Process_Details[Input or Output]="Output"),0)*(Table_Process_Details[[#This Row],[Input or Output]]="Input"),0))</f>
        <v>#N/A</v>
      </c>
      <c r="AL22" s="128" t="e" cm="1">
        <f t="array" ref="AL22">INDEX(Table_Process_Details[X Mover],MATCH(1,INDEX(((Table_Process_Details[Table Row]=Table_Process_Details[[#This Row],[Table Row]])*(1)),0)*(Table_Process_Details[[#This Row],[Input or Output]]="Input"),0))</f>
        <v>#N/A</v>
      </c>
      <c r="AM22" s="128" t="e" cm="1">
        <f t="array" ref="AM22">(Table_Process_Details[[#This Row],[X End (To Node Center)]]*Table_Process_Details[[#This Row],[r0]]-Table_Process_Details[[#This Row],[X End (To Node Center)]]*Arrow_Offset+Table_Process_Details[[#This Row],[X Guide]]*Arrow_Offset)/Table_Process_Details[[#This Row],[r0]]</f>
        <v>#N/A</v>
      </c>
      <c r="AN22" s="128" t="e">
        <f>IF(NOT(Table_Process_Details[[#This Row],[Display As]]="None"),Table_Process_Details[[#This Row],[X Start Prefilter]],NA())</f>
        <v>#N/A</v>
      </c>
      <c r="AO22" s="128" t="e">
        <f>IF(NOT(Table_Process_Details[[#This Row],[Display As]]="None"),Table_Process_Details[[#This Row],[X Guide Prefilter]],NA())</f>
        <v>#N/A</v>
      </c>
      <c r="AP22" s="128" t="e">
        <f>IF(NOT(Table_Process_Details[[#This Row],[Display As]]="None"),Table_Process_Details[[#This Row],[X End (to Stop Radius) Prefilter]],NA())</f>
        <v>#N/A</v>
      </c>
      <c r="AQ22" s="128" t="e">
        <f>NA()</f>
        <v>#N/A</v>
      </c>
      <c r="AR22" s="128" t="e" cm="1">
        <f t="array" ref="AR22">INDEX(Table_Process_Details[Y Mover],MATCH(1,INDEX((Table_Process_Details[Step Name]=Table_Process_Details[[#This Row],[LCA Data Source Subclass]])*(Table_Process_Details[Input or Output]="Output"),0)*(Table_Process_Details[[#This Row],[Input or Output]]="Input"),0))</f>
        <v>#N/A</v>
      </c>
      <c r="AS22" s="128" t="e" cm="1">
        <f t="array" ref="AS22">INDEX(Table_Process_Details[Y Mover],MATCH(1,INDEX(((Table_Process_Details[Table Row]=Table_Process_Details[[#This Row],[Table Row]])*(1)),0)*(Table_Process_Details[[#This Row],[Input or Output]]="Input"),0))</f>
        <v>#N/A</v>
      </c>
      <c r="AT22" s="128" t="e" cm="1">
        <f t="array" ref="AT22">(Table_Process_Details[[#This Row],[Y Guide]]*Arrow_Offset-Table_Process_Details[[#This Row],[Y End (to Node Center)]]*Arrow_Offset+Table_Process_Details[[#This Row],[Y End (to Node Center)]]*Table_Process_Details[[#This Row],[r0]])/Table_Process_Details[[#This Row],[r0]]</f>
        <v>#N/A</v>
      </c>
      <c r="AU22" s="128" t="e">
        <f>IF(NOT(Table_Process_Details[[#This Row],[Display As]]="None"),Table_Process_Details[[#This Row],[Y Start Prefilter]],NA())</f>
        <v>#N/A</v>
      </c>
      <c r="AV22" s="128" t="e">
        <f>IF(NOT(Table_Process_Details[[#This Row],[Display As]]="None"),Table_Process_Details[[#This Row],[Y Guide Prefilter]],NA())</f>
        <v>#N/A</v>
      </c>
      <c r="AW22" s="128" t="e">
        <f>IF(NOT(Table_Process_Details[[#This Row],[Display As]]="None"),Table_Process_Details[[#This Row],[Y End (to Stop Radius) Prefilter]],NA())</f>
        <v>#N/A</v>
      </c>
      <c r="AX22" s="128" t="e">
        <f>NA()</f>
        <v>#N/A</v>
      </c>
      <c r="AY22" s="128">
        <f ca="1">IF(Table_Process_Details[[#This Row],[Display As]]="Real Step",Table_Process_Details[[#This Row],[X Mover]],NA())</f>
        <v>12.974140333930144</v>
      </c>
      <c r="AZ22" s="128">
        <f ca="1">IF(Table_Process_Details[[#This Row],[Display As]]="Real Step",Table_Process_Details[[#This Row],[Y Mover]],NA())</f>
        <v>20.368995765321468</v>
      </c>
      <c r="BA22" s="128" t="e">
        <f>IF(Table_Process_Details[[#This Row],[Display As]]="Raw Material",Table_Process_Details[[#This Row],[X Mover]],NA())</f>
        <v>#N/A</v>
      </c>
      <c r="BB22" s="128" t="e">
        <f>IF(Table_Process_Details[[#This Row],[Display As]]="Raw Material",Table_Process_Details[[#This Row],[Y Mover]],NA())</f>
        <v>#N/A</v>
      </c>
      <c r="BC22" s="128">
        <f ca="1">IF(OR(Table_Process_Details[[#This Row],[Display As]]="Real Step",Table_Process_Details[[#This Row],[Display As]]="Raw Material"),Table_Process_Details[[#This Row],[X Mover]],NA())</f>
        <v>12.974140333930144</v>
      </c>
      <c r="BD22" s="128">
        <f ca="1">IF(OR(Table_Process_Details[[#This Row],[Display As]]="Real Step",Table_Process_Details[[#This Row],[Display As]]="Raw Material"),Table_Process_Details[[#This Row],[Y Mover]],NA())</f>
        <v>20.368995765321468</v>
      </c>
      <c r="BE22" s="126">
        <f>ROW()-ROW(Table_Process_Details[[#Headers],[Table Row]])</f>
        <v>18</v>
      </c>
      <c r="BF22" s="122" t="str" cm="1">
        <f t="array" aca="1" ref="BF22" ca="1">INDEX(Table_Process_Details[Display Name],MATCH(0,IF(Table_Process_Details[Input or Output]="Input",INDEX(COUNTIF(OFFSET(Table_Process_Details[[#Headers],[Unique Process Inputs]],0,0,Table_Process_Details[[#This Row],[Table Row]],1),Table_Process_Details[Display Name]),),""),0))</f>
        <v>15 wt% reagent C (inorganic) in water</v>
      </c>
      <c r="BG22" s="122">
        <f ca="1">Table_Process_Details[[#This Row],[Physical Mass (kg)]]*Table_Process_Details[[#This Row],[Step Scale Factor for 1kg Packaged API]]</f>
        <v>6.0993994366774178</v>
      </c>
      <c r="BH22"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2" s="122">
        <f ca="1">MATCH(Table_Process_Details[[#This Row],[LCA Data Source Class]],INDIRECT(Table_Process_Details[[#This Row],[Input or Output]]),0)</f>
        <v>1</v>
      </c>
      <c r="BJ22" s="122">
        <f ca="1">MATCH(Table_Process_Details[[#This Row],[LCA Data Source Subclass]],INDIRECT(Table_Process_Details[[#This Row],[LCA Data Source Class]]&amp;"[Name]"),0)</f>
        <v>1</v>
      </c>
      <c r="BK22" s="122">
        <f ca="1">IFERROR(INDEX(INDIRECT(Table_Process_Details[[#This Row],[LCA Data Source Class]]&amp;"[Mass Net (kg)]"),MATCH(Table_Process_Details[[#This Row],[LCA Data Source Subclass]],INDIRECT(Table_Process_Details[[#This Row],[LCA Data Source Class]]&amp;"[Name]"),0)),0)</f>
        <v>0</v>
      </c>
      <c r="BL22" s="122">
        <f ca="1">IFERROR(INDEX(INDIRECT(Table_Process_Details[[#This Row],[LCA Data Source Class]]&amp;"[Energy (MJ)]"),MATCH(Table_Process_Details[[#This Row],[LCA Data Source Subclass]],INDIRECT(Table_Process_Details[[#This Row],[LCA Data Source Class]]&amp;"[Name]"),0)),0)</f>
        <v>0</v>
      </c>
      <c r="BM22" s="122">
        <f ca="1">IFERROR(INDEX(INDIRECT(Table_Process_Details[[#This Row],[LCA Data Source Class]]&amp;"[GWP (kg CO2 equiv.)]"),MATCH(Table_Process_Details[[#This Row],[LCA Data Source Subclass]],INDIRECT(Table_Process_Details[[#This Row],[LCA Data Source Class]]&amp;"[Name]"),0)),0)</f>
        <v>0</v>
      </c>
      <c r="BN22" s="122">
        <f ca="1">IFERROR(INDEX(INDIRECT(Table_Process_Details[[#This Row],[LCA Data Source Class]]&amp;"[Acidification (kg SO2 equiv.)]"),MATCH(Table_Process_Details[[#This Row],[LCA Data Source Subclass]],INDIRECT(Table_Process_Details[[#This Row],[LCA Data Source Class]]&amp;"[Name]"),0)),0)</f>
        <v>0</v>
      </c>
      <c r="BO22" s="122">
        <f ca="1">IFERROR(INDEX(INDIRECT(Table_Process_Details[[#This Row],[LCA Data Source Class]]&amp;"[Eutrophication (kg posphate equiv.)]"),MATCH(Table_Process_Details[[#This Row],[LCA Data Source Subclass]],INDIRECT(Table_Process_Details[[#This Row],[LCA Data Source Class]]&amp;"[Name]"),0)),0)</f>
        <v>0</v>
      </c>
      <c r="BP22" s="122">
        <f ca="1">IFERROR(INDEX(INDIRECT(Table_Process_Details[[#This Row],[LCA Data Source Class]]&amp;"[Water (kg)]"),MATCH(Table_Process_Details[[#This Row],[LCA Data Source Subclass]],INDIRECT(Table_Process_Details[[#This Row],[LCA Data Source Class]]&amp;"[Name]"),0)),0)</f>
        <v>0</v>
      </c>
      <c r="BQ22" s="129">
        <f ca="1">(Table_Process_Details[[#This Row],[Input or Output]]="Input")*(Table_Process_Details[[#This Row],[LCA Data Source Class]]&lt;&gt;"Process_Steps")*Table_Process_Details[[#This Row],[Scaled Physical Mass per kg API for All Inputs &amp; Outputs]]</f>
        <v>0</v>
      </c>
      <c r="BR22" s="129">
        <f ca="1">(Table_Process_Details[[#This Row],[Material Class]]="REAGENT")*Table_Process_Details[[#This Row],[Physical Mass per kg API]]</f>
        <v>0</v>
      </c>
      <c r="BS22" s="129">
        <f ca="1">(Table_Process_Details[[#This Row],[Material Class]]="METAL")*Table_Process_Details[[#This Row],[Physical Mass per kg API]]</f>
        <v>0</v>
      </c>
      <c r="BT22" s="129">
        <f ca="1">(Table_Process_Details[[#This Row],[Material Class]]="SOLVENT")*Table_Process_Details[[#This Row],[Physical Mass per kg API]]</f>
        <v>0</v>
      </c>
      <c r="BU22" s="129">
        <f ca="1">(Table_Process_Details[[#This Row],[Material Class]]="WATER")*Table_Process_Details[[#This Row],[Physical Mass per kg API]]</f>
        <v>0</v>
      </c>
      <c r="BV22" s="129">
        <f ca="1">(Table_Process_Details[[#This Row],[Material Class]]="ENZ&amp;PLNT")*Table_Process_Details[[#This Row],[Physical Mass per kg API]]</f>
        <v>0</v>
      </c>
      <c r="BW22" s="129">
        <f ca="1">(Table_Process_Details[[#This Row],[Material Class]]="OTHER")*Table_Process_Details[[#This Row],[Physical Mass per kg API]]</f>
        <v>0</v>
      </c>
      <c r="BX22"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22"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22"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2"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2"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2"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2"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2" s="131">
        <f ca="1">SUMIFS(Table_Process_Details[RV Physical Mass per kg API],Table_Process_Details[Display Name],Table_Process_Details[[#This Row],[Unique Process Inputs]],Table_Process_Details[Input or Output],"Input")</f>
        <v>1.1184164089098168</v>
      </c>
      <c r="CF22" s="131">
        <f ca="1">SUMIFS(Table_Process_Details[RV Physical Mass per kg API (REAGENT)],Table_Process_Details[Display Name],Table_Process_Details[[#This Row],[Unique Process Inputs]],Table_Process_Details[Input or Output],"Input")</f>
        <v>0.16776246133647252</v>
      </c>
      <c r="CG22" s="131">
        <f ca="1">SUMIFS(Table_Process_Details[RV Physical Mass per kg API (METAL)],Table_Process_Details[Display Name],Table_Process_Details[[#This Row],[Unique Process Inputs]],Table_Process_Details[Input or Output],"Input")</f>
        <v>0</v>
      </c>
      <c r="CH22" s="131">
        <f ca="1">SUMIFS(Table_Process_Details[RV Physical Mass per kg API (SOLVENT)],Table_Process_Details[Display Name],Table_Process_Details[[#This Row],[Unique Process Inputs]],Table_Process_Details[Input or Output],"Input")</f>
        <v>0</v>
      </c>
      <c r="CI22" s="131">
        <f ca="1">SUMIFS(Table_Process_Details[RV Physical Mass per kg API (WATER)],Table_Process_Details[Display Name],Table_Process_Details[[#This Row],[Unique Process Inputs]],Table_Process_Details[Input or Output],"Input")</f>
        <v>0.95065394757334409</v>
      </c>
      <c r="CJ22" s="131">
        <f ca="1">SUMIFS(Table_Process_Details[RV Physical Mass per kg API (ENZ&amp;PLNT)],Table_Process_Details[Display Name],Table_Process_Details[[#This Row],[Unique Process Inputs]],Table_Process_Details[Input or Output],"Input")</f>
        <v>0</v>
      </c>
      <c r="CK22" s="131">
        <f ca="1">SUMIFS(Table_Process_Details[RV Physical Mass per kg API (OTHER)],Table_Process_Details[Display Name],Table_Process_Details[[#This Row],[Unique Process Inputs]],Table_Process_Details[Input or Output],"Input")</f>
        <v>0</v>
      </c>
      <c r="CL22" s="126" t="str">
        <f ca="1">INDEX(Table_Process_Details[Unique Process Inputs],MATCH(Table_Process_Details[[#This Row],['[Physical Mass per kg API'] of Unique Inputs Sorted by '[Physical Mass per kg API']]],Table_Process_Details[Total '[Physical Mass per kg API'] of Unique Inputs],0))</f>
        <v>15 wt% reagent C (inorganic) in water</v>
      </c>
      <c r="CM22" s="126">
        <f ca="1">IF(LARGE(Table_Process_Details[Total '[Physical Mass per kg API'] of Unique Inputs],Table_Process_Details[[#This Row],[Table Row]])=0,NA(),LARGE(Table_Process_Details[Total '[Physical Mass per kg API'] of Unique Inputs],Table_Process_Details[[#This Row],[Table Row]]))</f>
        <v>1.1184164089098168</v>
      </c>
      <c r="CN22" s="126">
        <f ca="1">SUM(OFFSET(Table_Process_Details['[Physical Mass per kg API'] of Unique Inputs Sorted by '[Physical Mass per kg API']],0,0,Table_Process_Details[[#This Row],[Table Row]]))</f>
        <v>143.4878363745666</v>
      </c>
      <c r="CO22" s="126" t="str">
        <f ca="1">"("&amp;TEXT(Table_Process_Details[[#This Row],['[Physical Mass per kg API'] of Unique Inputs Sorted by '[Physical Mass per kg API']]]/SUMIF(Table_Process_Details['[Physical Mass per kg API'] of Unique Inputs Sorted by '[Physical Mass per kg API']],"&lt;&gt;#N/A"),"0%")&amp;")"</f>
        <v>(1%)</v>
      </c>
      <c r="CP22" s="126">
        <f ca="1">INDEX(Table_Process_Details[Total '[Physical Mass per kg API'] of Unique Inputs (REAGENT)],MATCH(Table_Process_Details[[#This Row],[Unique Inputs Sorted by '[Physical Mass per kg API']]],Table_Process_Details[Unique Process Inputs],0))</f>
        <v>0.16776246133647252</v>
      </c>
      <c r="CQ22" s="126">
        <f ca="1">INDEX(Table_Process_Details[Total '[Physical Mass per kg API'] of Unique Inputs (METAL)],MATCH(Table_Process_Details[[#This Row],[Unique Inputs Sorted by '[Physical Mass per kg API']]],Table_Process_Details[Unique Process Inputs],0))</f>
        <v>0</v>
      </c>
      <c r="CR22" s="126">
        <f ca="1">INDEX(Table_Process_Details[Total '[Physical Mass per kg API'] of Unique Inputs (SOLVENT)],MATCH(Table_Process_Details[[#This Row],[Unique Inputs Sorted by '[Physical Mass per kg API']]],Table_Process_Details[Unique Process Inputs],0))</f>
        <v>0</v>
      </c>
      <c r="CS22" s="126">
        <f ca="1">INDEX(Table_Process_Details[Total '[Physical Mass per kg API'] of Unique Inputs (WATER)],MATCH(Table_Process_Details[[#This Row],[Unique Inputs Sorted by '[Physical Mass per kg API']]],Table_Process_Details[Unique Process Inputs],0))</f>
        <v>0.95065394757334409</v>
      </c>
      <c r="CT22" s="126">
        <f ca="1">INDEX(Table_Process_Details[Total '[Physical Mass per kg API'] of Unique Inputs (ENZ&amp;PLNT)],MATCH(Table_Process_Details[[#This Row],[Unique Inputs Sorted by '[Physical Mass per kg API']]],Table_Process_Details[Unique Process Inputs],0))</f>
        <v>0</v>
      </c>
      <c r="CU22" s="126">
        <f ca="1">INDEX(Table_Process_Details[Total '[Physical Mass per kg API'] of Unique Inputs (OTHER)],MATCH(Table_Process_Details[[#This Row],[Unique Inputs Sorted by '[Physical Mass per kg API']]],Table_Process_Details[Unique Process Inputs],0))</f>
        <v>0</v>
      </c>
      <c r="CV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2" s="126">
        <f ca="1">SUMIFS(Table_Process_Details[RV Mass Net (kg) per kg API],Table_Process_Details[Display Name],Table_Process_Details[[#This Row],[Unique Process Inputs]],Table_Process_Details[Input or Output],"Input")</f>
        <v>0.2262564509391527</v>
      </c>
      <c r="DD22" s="126">
        <f ca="1">SUMIFS(Table_Process_Details[RV Mass Net (kg) per kg API (REAGENT)],Table_Process_Details[Display Name],Table_Process_Details[[#This Row],[Unique Process Inputs]],Table_Process_Details[Input or Output],"Input")</f>
        <v>0.22480169819087317</v>
      </c>
      <c r="DE22" s="126">
        <f ca="1">SUMIFS(Table_Process_Details[RV Mass Net (kg) per kg API (METAL)],Table_Process_Details[Display Name],Table_Process_Details[[#This Row],[Unique Process Inputs]],Table_Process_Details[Input or Output],"Input")</f>
        <v>0</v>
      </c>
      <c r="DF22" s="126">
        <f ca="1">SUMIFS(Table_Process_Details[RV Mass Net (kg) per kg API (SOLVENT)],Table_Process_Details[Display Name],Table_Process_Details[[#This Row],[Unique Process Inputs]],Table_Process_Details[Input or Output],"Input")</f>
        <v>0</v>
      </c>
      <c r="DG22" s="126">
        <f ca="1">SUMIFS(Table_Process_Details[RV Mass Net (kg) per kg API (WATER)],Table_Process_Details[Display Name],Table_Process_Details[[#This Row],[Unique Process Inputs]],Table_Process_Details[Input or Output],"Input")</f>
        <v>1.4547527482795077E-3</v>
      </c>
      <c r="DH22" s="126">
        <f ca="1">SUMIFS(Table_Process_Details[RV Mass Net (kg) per kg API (ENZ&amp;PLNT)],Table_Process_Details[Display Name],Table_Process_Details[[#This Row],[Unique Process Inputs]],Table_Process_Details[Input or Output],"Input")</f>
        <v>0</v>
      </c>
      <c r="DI22" s="126">
        <f ca="1">SUMIFS(Table_Process_Details[RV Mass Net (kg) per kg API (OTHER)],Table_Process_Details[Display Name],Table_Process_Details[[#This Row],[Unique Process Inputs]],Table_Process_Details[Input or Output],"Input")</f>
        <v>0</v>
      </c>
      <c r="DJ22" s="126" t="str">
        <f ca="1">INDEX(Table_Process_Details[Unique Process Inputs],MATCH(Table_Process_Details[[#This Row],['[Mass Net (kg) per kg API'] of Unique Inputs Sorted by '[Mass Net (kg) per kg API']]],Table_Process_Details[Total '[Mass Net (kg) per kg API'] of Unique Inputs],0))</f>
        <v>reagent O (organic)</v>
      </c>
      <c r="DK22" s="126">
        <f ca="1">IF(LARGE(Table_Process_Details[Total '[Mass Net (kg) per kg API'] of Unique Inputs],Table_Process_Details[[#This Row],[Table Row]])=0,NA(),LARGE(Table_Process_Details[Total '[Mass Net (kg) per kg API'] of Unique Inputs],Table_Process_Details[[#This Row],[Table Row]]))</f>
        <v>0.29164396914627078</v>
      </c>
      <c r="DL22" s="126">
        <f ca="1">SUM(OFFSET(Table_Process_Details['[Mass Net (kg) per kg API'] of Unique Inputs Sorted by '[Mass Net (kg) per kg API']],0,0,Table_Process_Details[[#This Row],[Table Row]]))</f>
        <v>125.73332103206344</v>
      </c>
      <c r="DM22" s="126" t="str">
        <f ca="1">"("&amp;TEXT(Table_Process_Details[[#This Row],['[Mass Net (kg) per kg API'] of Unique Inputs Sorted by '[Mass Net (kg) per kg API']]]/SUMIF(Table_Process_Details['[Mass Net (kg) per kg API'] of Unique Inputs Sorted by '[Mass Net (kg) per kg API']],"&lt;&gt;#N/A"),"0%")&amp;")"</f>
        <v>(0%)</v>
      </c>
      <c r="DN22" s="126">
        <f ca="1">INDEX(Table_Process_Details[Total '[Mass Net (kg) per kg API'] of Unique Inputs (REAGENT)], MATCH(Table_Process_Details[[#This Row],[Unique Inputs Sorted by '[Mass Net (kg) per kg API']]],Table_Process_Details[Unique Process Inputs],0))</f>
        <v>0.29164396914627078</v>
      </c>
      <c r="DO22" s="126">
        <f ca="1">INDEX(Table_Process_Details[Total '[Mass Net (kg) per kg API'] of Unique Inputs (METAL)], MATCH(Table_Process_Details[[#This Row],[Unique Inputs Sorted by '[Mass Net (kg) per kg API']]],Table_Process_Details[Unique Process Inputs],0))</f>
        <v>0</v>
      </c>
      <c r="DP22" s="126">
        <f ca="1">INDEX(Table_Process_Details[Total '[Mass Net (kg) per kg API'] of Unique Inputs (SOLVENT)], MATCH(Table_Process_Details[[#This Row],[Unique Inputs Sorted by '[Mass Net (kg) per kg API']]],Table_Process_Details[Unique Process Inputs],0))</f>
        <v>0</v>
      </c>
      <c r="DQ22" s="126">
        <f ca="1">INDEX(Table_Process_Details[Total '[Mass Net (kg) per kg API'] of Unique Inputs (WATER)], MATCH(Table_Process_Details[[#This Row],[Unique Inputs Sorted by '[Mass Net (kg) per kg API']]],Table_Process_Details[Unique Process Inputs],0))</f>
        <v>0</v>
      </c>
      <c r="DR22" s="126">
        <f ca="1">INDEX(Table_Process_Details[Total '[Mass Net (kg) per kg API'] of Unique Inputs (ENZ&amp;PLNT)], MATCH(Table_Process_Details[[#This Row],[Unique Inputs Sorted by '[Mass Net (kg) per kg API']]],Table_Process_Details[Unique Process Inputs],0))</f>
        <v>0</v>
      </c>
      <c r="DS22" s="126">
        <f ca="1">INDEX(Table_Process_Details[Total '[Mass Net (kg) per kg API'] of Unique Inputs (OTHER)], MATCH(Table_Process_Details[[#This Row],[Unique Inputs Sorted by '[Mass Net (kg) per kg API']]],Table_Process_Details[Unique Process Inputs],0))</f>
        <v>0</v>
      </c>
      <c r="DT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2" s="131">
        <f ca="1">SUMIFS(Table_Process_Details[RV Energy (MJ) per kg API],Table_Process_Details[Display Name],Table_Process_Details[[#This Row],[Unique Process Inputs]],Table_Process_Details[Input or Output],"Input")</f>
        <v>1.8014327094651137</v>
      </c>
      <c r="EB22" s="131">
        <f ca="1">SUMIFS(Table_Process_Details[RV Energy (MJ) per kg API (REAGENT)],Table_Process_Details[Display Name],Table_Process_Details[[#This Row],[Unique Process Inputs]],Table_Process_Details[Input or Output],"Input")</f>
        <v>1.783314964006703</v>
      </c>
      <c r="EC22" s="131">
        <f ca="1">SUMIFS(Table_Process_Details[RV Energy (MJ) per kg API (METAL)],Table_Process_Details[Display Name],Table_Process_Details[[#This Row],[Unique Process Inputs]],Table_Process_Details[Input or Output],"Input")</f>
        <v>0</v>
      </c>
      <c r="ED22" s="131">
        <f ca="1">SUMIFS(Table_Process_Details[RV Energy (MJ) per kg API (SOLVENT)],Table_Process_Details[Display Name],Table_Process_Details[[#This Row],[Unique Process Inputs]],Table_Process_Details[Input or Output],"Input")</f>
        <v>0</v>
      </c>
      <c r="EE22" s="131">
        <f ca="1">SUMIFS(Table_Process_Details[RV Energy (MJ) per kg API (WATER)],Table_Process_Details[Display Name],Table_Process_Details[[#This Row],[Unique Process Inputs]],Table_Process_Details[Input or Output],"Input")</f>
        <v>1.8117745458410731E-2</v>
      </c>
      <c r="EF22" s="131">
        <f ca="1">SUMIFS(Table_Process_Details[RV Energy (MJ) per kg API (ENZ&amp;PLNT)],Table_Process_Details[Display Name],Table_Process_Details[[#This Row],[Unique Process Inputs]],Table_Process_Details[Input or Output],"Input")</f>
        <v>0</v>
      </c>
      <c r="EG22" s="131">
        <f ca="1">SUMIFS(Table_Process_Details[RV Energy (MJ) per kg API (OTHER)],Table_Process_Details[Display Name],Table_Process_Details[[#This Row],[Unique Process Inputs]],Table_Process_Details[Input or Output],"Input")</f>
        <v>0</v>
      </c>
      <c r="EH22" s="131" t="str">
        <f ca="1">INDEX(Table_Process_Details[Unique Process Inputs],MATCH(Table_Process_Details[[#This Row],['[Energy (MJ) per kg API'] of Unique Inputs Sorted by '[Energy (MJ) per kg API']]],Table_Process_Details[Total '[Energy (MJ) per kg API'] of Unique Inputs],0))</f>
        <v>15 wt% reagent K (inorganic) in water</v>
      </c>
      <c r="EI22" s="126">
        <f ca="1">IF(LARGE(Table_Process_Details[Total '[Energy (MJ) per kg API'] of Unique Inputs],Table_Process_Details[[#This Row],[Table Row]])=0,NA(),LARGE(Table_Process_Details[Total '[Energy (MJ) per kg API'] of Unique Inputs],Table_Process_Details[[#This Row],[Table Row]]))</f>
        <v>8.8678627080198282</v>
      </c>
      <c r="EJ22" s="126">
        <f ca="1">SUM(OFFSET(Table_Process_Details['[Energy (MJ) per kg API'] of Unique Inputs Sorted by '[Energy (MJ) per kg API']],0,0,Table_Process_Details[[#This Row],[Table Row]]))</f>
        <v>5041.915049668286</v>
      </c>
      <c r="EK22" s="126" t="str">
        <f ca="1">"("&amp;TEXT(Table_Process_Details[[#This Row],['[Energy (MJ) per kg API'] of Unique Inputs Sorted by '[Energy (MJ) per kg API']]]/SUMIF(Table_Process_Details['[Energy (MJ) per kg API'] of Unique Inputs Sorted by '[Energy (MJ) per kg API']],"&lt;&gt;#N/A"),"0%")&amp;")"</f>
        <v>(0%)</v>
      </c>
      <c r="EL22" s="126">
        <f ca="1">INDEX(Table_Process_Details[Total '[Energy (MJ) per kg API'] of Unique Inputs (REAGENT)], MATCH(Table_Process_Details[[#This Row],[Unique Inputs Sorted by '[Energy (MJ) per kg API']]],Table_Process_Details[Unique Process Inputs],0))</f>
        <v>8.7786749862360143</v>
      </c>
      <c r="EM22" s="126">
        <f ca="1">INDEX(Table_Process_Details[Total '[Energy (MJ) per kg API'] of Unique Inputs (METAL)], MATCH(Table_Process_Details[[#This Row],[Unique Inputs Sorted by '[Energy (MJ) per kg API']]],Table_Process_Details[Unique Process Inputs],0))</f>
        <v>0</v>
      </c>
      <c r="EN22" s="126">
        <f ca="1">INDEX(Table_Process_Details[Total '[Energy (MJ) per kg API'] of Unique Inputs (SOLVENT)], MATCH(Table_Process_Details[[#This Row],[Unique Inputs Sorted by '[Energy (MJ) per kg API']]],Table_Process_Details[Unique Process Inputs],0))</f>
        <v>0</v>
      </c>
      <c r="EO22" s="126">
        <f ca="1">INDEX(Table_Process_Details[Total '[Energy (MJ) per kg API'] of Unique Inputs (WATER)], MATCH(Table_Process_Details[[#This Row],[Unique Inputs Sorted by '[Energy (MJ) per kg API']]],Table_Process_Details[Unique Process Inputs],0))</f>
        <v>8.9187721783813609E-2</v>
      </c>
      <c r="EP22" s="126">
        <f ca="1">INDEX(Table_Process_Details[Total '[Energy (MJ) per kg API'] of Unique Inputs (ENZ&amp;PLNT)], MATCH(Table_Process_Details[[#This Row],[Unique Inputs Sorted by '[Energy (MJ) per kg API']]],Table_Process_Details[Unique Process Inputs],0))</f>
        <v>0</v>
      </c>
      <c r="EQ22" s="126">
        <f ca="1">INDEX(Table_Process_Details[Total '[Energy (MJ) per kg API'] of Unique Inputs (OTHER)], MATCH(Table_Process_Details[[#This Row],[Unique Inputs Sorted by '[Energy (MJ) per kg API']]],Table_Process_Details[Unique Process Inputs],0))</f>
        <v>0</v>
      </c>
      <c r="ER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2" s="126">
        <f ca="1">SUMIFS(Table_Process_Details[RV GWP (kg CO2 equiv.) per kg API],Table_Process_Details[Display Name],Table_Process_Details[[#This Row],[Unique Process Inputs]],Table_Process_Details[Input or Output],"Input")</f>
        <v>0.23338373307756505</v>
      </c>
      <c r="EZ22" s="131">
        <f ca="1">SUMIFS(Table_Process_Details[RV GWP (kg CO2 equiv.) per kg API (REAGENT)],Table_Process_Details[Display Name],Table_Process_Details[[#This Row],[Unique Process Inputs]],Table_Process_Details[Input or Output],"Input")</f>
        <v>0.23241811393554898</v>
      </c>
      <c r="FA22" s="131">
        <f ca="1">SUMIFS(Table_Process_Details[RV GWP (kg CO2 equiv.) per kg API (METAL)],Table_Process_Details[Display Name],Table_Process_Details[[#This Row],[Unique Process Inputs]],Table_Process_Details[Input or Output],"Input")</f>
        <v>0</v>
      </c>
      <c r="FB22" s="131">
        <f ca="1">SUMIFS(Table_Process_Details[RV GWP (kg CO2 equiv.) per kg API (SOLVENT)],Table_Process_Details[Display Name],Table_Process_Details[[#This Row],[Unique Process Inputs]],Table_Process_Details[Input or Output],"Input")</f>
        <v>0</v>
      </c>
      <c r="FC22" s="131">
        <f ca="1">SUMIFS(Table_Process_Details[RV GWP (kg CO2 equiv.) per kg API (WATER)],Table_Process_Details[Display Name],Table_Process_Details[[#This Row],[Unique Process Inputs]],Table_Process_Details[Input or Output],"Input")</f>
        <v>9.656191420160437E-4</v>
      </c>
      <c r="FD22" s="131">
        <f ca="1">SUMIFS(Table_Process_Details[RV GWP (kg CO2 equiv.) per kg API (ENZ&amp;PLNT)],Table_Process_Details[Display Name],Table_Process_Details[[#This Row],[Unique Process Inputs]],Table_Process_Details[Input or Output],"Input")</f>
        <v>0</v>
      </c>
      <c r="FE22" s="131">
        <f ca="1">SUMIFS(Table_Process_Details[RV GWP (kg CO2 equiv.) per kg API (OTHER)],Table_Process_Details[Display Name],Table_Process_Details[[#This Row],[Unique Process Inputs]],Table_Process_Details[Input or Output],"Input")</f>
        <v>0</v>
      </c>
      <c r="FF22" s="126" t="str">
        <f ca="1">INDEX(Table_Process_Details[Unique Process Inputs],MATCH(Table_Process_Details[[#This Row],['[GWP (kg CO2 equiv.) per kg API'] of Unique Inputs Sorted by '[GWP (kg CO2 equiv.) per kg API']]],Table_Process_Details[Total '[GWP (kg CO2 equiv.) per kg API'] of Unique Inputs],0))</f>
        <v>reagent O (organic)</v>
      </c>
      <c r="FG22" s="126">
        <f ca="1">IF(LARGE(Table_Process_Details[Total '[GWP (kg CO2 equiv.) per kg API'] of Unique Inputs],Table_Process_Details[[#This Row],[Table Row]])=0,NA(),LARGE(Table_Process_Details[Total '[GWP (kg CO2 equiv.) per kg API'] of Unique Inputs],Table_Process_Details[[#This Row],[Table Row]]))</f>
        <v>0.36689700005190062</v>
      </c>
      <c r="FH22" s="126">
        <f ca="1">SUM(OFFSET(Table_Process_Details['[GWP (kg CO2 equiv.) per kg API'] of Unique Inputs Sorted by '[GWP (kg CO2 equiv.) per kg API']],0,0,Table_Process_Details[[#This Row],[Table Row]]))</f>
        <v>154.98575484140542</v>
      </c>
      <c r="FI22" s="126" t="str">
        <f ca="1">"("&amp;TEXT(Table_Process_Details[[#This Row],['[GWP (kg CO2 equiv.) per kg API'] of Unique Inputs Sorted by '[GWP (kg CO2 equiv.) per kg API']]]/SUMIF(Table_Process_Details['[GWP (kg CO2 equiv.) per kg API'] of Unique Inputs Sorted by '[GWP (kg CO2 equiv.) per kg API']],"&lt;&gt;#N/A"),"0%")&amp;")"</f>
        <v>(0%)</v>
      </c>
      <c r="FJ22" s="126">
        <f ca="1">INDEX(Table_Process_Details[Total '[GWP (kg CO2 equiv.) per kg API'] of Unique Inputs (REAGENT)], MATCH(Table_Process_Details[[#This Row],[Unique Inputs Sorted by '[GWP (kg CO2 equiv.) per kg API']]],Table_Process_Details[Unique Process Inputs],0))</f>
        <v>0.36689700005190062</v>
      </c>
      <c r="FK22" s="126">
        <f ca="1">INDEX(Table_Process_Details[Total '[GWP (kg CO2 equiv.) per kg API'] of Unique Inputs (METAL)], MATCH(Table_Process_Details[[#This Row],[Unique Inputs Sorted by '[GWP (kg CO2 equiv.) per kg API']]],Table_Process_Details[Unique Process Inputs],0))</f>
        <v>0</v>
      </c>
      <c r="FL22" s="126">
        <f ca="1">INDEX(Table_Process_Details[Total '[GWP (kg CO2 equiv.) per kg API'] of Unique Inputs (SOLVENT)], MATCH(Table_Process_Details[[#This Row],[Unique Inputs Sorted by '[GWP (kg CO2 equiv.) per kg API']]],Table_Process_Details[Unique Process Inputs],0))</f>
        <v>0</v>
      </c>
      <c r="FM22" s="126">
        <f ca="1">INDEX(Table_Process_Details[Total '[GWP (kg CO2 equiv.) per kg API'] of Unique Inputs (WATER)], MATCH(Table_Process_Details[[#This Row],[Unique Inputs Sorted by '[GWP (kg CO2 equiv.) per kg API']]],Table_Process_Details[Unique Process Inputs],0))</f>
        <v>0</v>
      </c>
      <c r="FN22" s="126">
        <f ca="1">INDEX(Table_Process_Details[Total '[GWP (kg CO2 equiv.) per kg API'] of Unique Inputs (ENZ&amp;PLNT)], MATCH(Table_Process_Details[[#This Row],[Unique Inputs Sorted by '[GWP (kg CO2 equiv.) per kg API']]],Table_Process_Details[Unique Process Inputs],0))</f>
        <v>0</v>
      </c>
      <c r="FO22" s="126">
        <f ca="1">INDEX(Table_Process_Details[Total '[GWP (kg CO2 equiv.) per kg API'] of Unique Inputs (OTHER)], MATCH(Table_Process_Details[[#This Row],[Unique Inputs Sorted by '[GWP (kg CO2 equiv.) per kg API']]],Table_Process_Details[Unique Process Inputs],0))</f>
        <v>0</v>
      </c>
      <c r="FP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2" s="126">
        <f ca="1">SUMIFS(Table_Process_Details[RV Acidification (kg SO2 equiv.) per kg API],Table_Process_Details[Display Name],Table_Process_Details[[#This Row],[Unique Process Inputs]],Table_Process_Details[Input or Output],"Input")</f>
        <v>2.3355976206214431E-3</v>
      </c>
      <c r="FX22" s="131">
        <f ca="1">SUMIFS(Table_Process_Details[RV Acidification (kg SO2 equiv.) per kg API (REAGENT)],Table_Process_Details[Display Name],Table_Process_Details[[#This Row],[Unique Process Inputs]],Table_Process_Details[Input or Output],"Input")</f>
        <v>2.331898212576968E-3</v>
      </c>
      <c r="FY22" s="131">
        <f ca="1">SUMIFS(Table_Process_Details[RV Acidification (kg SO2 equiv.) per kg API (METAL)],Table_Process_Details[Display Name],Table_Process_Details[[#This Row],[Unique Process Inputs]],Table_Process_Details[Input or Output],"Input")</f>
        <v>0</v>
      </c>
      <c r="FZ22" s="131">
        <f ca="1">SUMIFS(Table_Process_Details[RV Acidification (kg SO2 equiv.) per kg API (SOLVENT)],Table_Process_Details[Display Name],Table_Process_Details[[#This Row],[Unique Process Inputs]],Table_Process_Details[Input or Output],"Input")</f>
        <v>0</v>
      </c>
      <c r="GA22" s="131">
        <f ca="1">SUMIFS(Table_Process_Details[RV Acidification (kg SO2 equiv.) per kg API (WATER)],Table_Process_Details[Display Name],Table_Process_Details[[#This Row],[Unique Process Inputs]],Table_Process_Details[Input or Output],"Input")</f>
        <v>3.6994080444750759E-6</v>
      </c>
      <c r="GB22" s="131">
        <f ca="1">SUMIFS(Table_Process_Details[RV Acidification (kg SO2 equiv.) per kg API (ENZ&amp;PLNT)],Table_Process_Details[Display Name],Table_Process_Details[[#This Row],[Unique Process Inputs]],Table_Process_Details[Input or Output],"Input")</f>
        <v>0</v>
      </c>
      <c r="GC22" s="131">
        <f ca="1">SUMIFS(Table_Process_Details[RV Acidification (kg SO2 equiv.) per kg API (OTHER)],Table_Process_Details[Display Name],Table_Process_Details[[#This Row],[Unique Process Inputs]],Table_Process_Details[Input or Output],"Input")</f>
        <v>0</v>
      </c>
      <c r="GD22" s="126"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P (organic)</v>
      </c>
      <c r="GE22" s="126">
        <f ca="1">IF(LARGE(Table_Process_Details[Total '[Acidification (kg SO2 equiv.) per kg API'] of Unique Inputs],Table_Process_Details[[#This Row],[Table Row]])=0,NA(),LARGE(Table_Process_Details[Total '[Acidification (kg SO2 equiv.) per kg API'] of Unique Inputs],Table_Process_Details[[#This Row],[Table Row]]))</f>
        <v>2.3535214818460868E-3</v>
      </c>
      <c r="GF22" s="126">
        <f ca="1">SUM(OFFSET(Table_Process_Details['[Acidification (kg SO2 equiv.) per kg API'] of Unique Inputs Sorted by '[Acidification (kg SO2 equiv.) per kg API']],0,0,Table_Process_Details[[#This Row],[Table Row]]))</f>
        <v>0.64518714371472707</v>
      </c>
      <c r="GG22" s="126"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2" s="126">
        <f ca="1">INDEX(Table_Process_Details[Total '[Acidification (kg SO2 equiv.) per kg API'] of Unique Inputs (REAGENT)], MATCH(Table_Process_Details[[#This Row],[Unique Inputs Sorted by '[Acidification (kg SO2 equiv.) per kg API']]],Table_Process_Details[Unique Process Inputs],0))</f>
        <v>2.3535214818460868E-3</v>
      </c>
      <c r="GI22" s="126">
        <f ca="1">INDEX(Table_Process_Details[Total '[Acidification (kg SO2 equiv.) per kg API'] of Unique Inputs (METAL)], MATCH(Table_Process_Details[[#This Row],[Unique Inputs Sorted by '[Acidification (kg SO2 equiv.) per kg API']]],Table_Process_Details[Unique Process Inputs],0))</f>
        <v>0</v>
      </c>
      <c r="GJ22" s="126">
        <f ca="1">INDEX(Table_Process_Details[Total '[Acidification (kg SO2 equiv.) per kg API'] of Unique Inputs (SOLVENT)], MATCH(Table_Process_Details[[#This Row],[Unique Inputs Sorted by '[Acidification (kg SO2 equiv.) per kg API']]],Table_Process_Details[Unique Process Inputs],0))</f>
        <v>0</v>
      </c>
      <c r="GK22" s="126">
        <f ca="1">INDEX(Table_Process_Details[Total '[Acidification (kg SO2 equiv.) per kg API'] of Unique Inputs (WATER)], MATCH(Table_Process_Details[[#This Row],[Unique Inputs Sorted by '[Acidification (kg SO2 equiv.) per kg API']]],Table_Process_Details[Unique Process Inputs],0))</f>
        <v>0</v>
      </c>
      <c r="GL22" s="126">
        <f ca="1">INDEX(Table_Process_Details[Total '[Acidification (kg SO2 equiv.) per kg API'] of Unique Inputs (ENZ&amp;PLNT)], MATCH(Table_Process_Details[[#This Row],[Unique Inputs Sorted by '[Acidification (kg SO2 equiv.) per kg API']]],Table_Process_Details[Unique Process Inputs],0))</f>
        <v>0</v>
      </c>
      <c r="GM22" s="126">
        <f ca="1">INDEX(Table_Process_Details[Total '[Acidification (kg SO2 equiv.) per kg API'] of Unique Inputs (OTHER)], MATCH(Table_Process_Details[[#This Row],[Unique Inputs Sorted by '[Acidification (kg SO2 equiv.) per kg API']]],Table_Process_Details[Unique Process Inputs],0))</f>
        <v>0</v>
      </c>
      <c r="GN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2" s="126">
        <f ca="1">SUMIFS(Table_Process_Details[RV Eutrophication (kg phosphate equiv.) per kg API],Table_Process_Details[Display Name],Table_Process_Details[[#This Row],[Unique Process Inputs]],Table_Process_Details[Input or Output],"Input")</f>
        <v>1.1963749982678449E-4</v>
      </c>
      <c r="GV22" s="131">
        <f ca="1">SUMIFS(Table_Process_Details[RV Eutrophication (kg phosphate equiv.) per kg API (REAGENT)],Table_Process_Details[Display Name],Table_Process_Details[[#This Row],[Unique Process Inputs]],Table_Process_Details[Input or Output],"Input")</f>
        <v>1.1743372293553076E-4</v>
      </c>
      <c r="GW22" s="131">
        <f ca="1">SUMIFS(Table_Process_Details[RV Eutrophication (kg phosphate equiv.) per kg API (METAL)],Table_Process_Details[Display Name],Table_Process_Details[[#This Row],[Unique Process Inputs]],Table_Process_Details[Input or Output],"Input")</f>
        <v>0</v>
      </c>
      <c r="GX22" s="131">
        <f ca="1">SUMIFS(Table_Process_Details[RV Eutrophication (kg phosphate equiv.) per kg API (SOLVENT)],Table_Process_Details[Display Name],Table_Process_Details[[#This Row],[Unique Process Inputs]],Table_Process_Details[Input or Output],"Input")</f>
        <v>0</v>
      </c>
      <c r="GY22" s="131">
        <f ca="1">SUMIFS(Table_Process_Details[RV Eutrophication (kg phosphate equiv.) per kg API (WATER)],Table_Process_Details[Display Name],Table_Process_Details[[#This Row],[Unique Process Inputs]],Table_Process_Details[Input or Output],"Input")</f>
        <v>2.2037768912537305E-6</v>
      </c>
      <c r="GZ22" s="131">
        <f ca="1">SUMIFS(Table_Process_Details[RV Eutrophication (kg phosphate equiv.) per kg API (ENZ&amp;PLNT)],Table_Process_Details[Display Name],Table_Process_Details[[#This Row],[Unique Process Inputs]],Table_Process_Details[Input or Output],"Input")</f>
        <v>0</v>
      </c>
      <c r="HA22" s="131">
        <f ca="1">SUMIFS(Table_Process_Details[RV Eutrophication (kg phosphate equiv.) per kg API (OTHER)],Table_Process_Details[Display Name],Table_Process_Details[[#This Row],[Unique Process Inputs]],Table_Process_Details[Input or Output],"Input")</f>
        <v>0</v>
      </c>
      <c r="HB22" s="126"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N (organic)</v>
      </c>
      <c r="HC22" s="126">
        <f ca="1">IF(LARGE(Table_Process_Details[Total '[Eutrophication (kg posphate equiv.) per kg API'] of Unique Inputs],Table_Process_Details[[#This Row],[Table Row]])=0,NA(),LARGE(Table_Process_Details[Total '[Eutrophication (kg posphate equiv.) per kg API'] of Unique Inputs],Table_Process_Details[[#This Row],[Table Row]]))</f>
        <v>6.2816232433757864E-4</v>
      </c>
      <c r="HD22" s="126">
        <f ca="1">SUM(OFFSET(Table_Process_Details['[Eutrophication (kg posphate equiv.) per kg API'] of Unique Inputs Sorted by '[Eutrophication (kg posphate equiv.) per kg API']],0,0,Table_Process_Details[[#This Row],[Table Row]]))</f>
        <v>1.3737315162647927</v>
      </c>
      <c r="HE22" s="126"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2" s="131">
        <f ca="1">INDEX(Table_Process_Details[Total '[Eutrophication (kg posphate equiv.) per kg API'] of Unique Inputs (REAGENT)], MATCH(Table_Process_Details[[#This Row],[Unique Inputs Sorted by '[Eutrophication (kg posphate equiv.) per kg API']]],Table_Process_Details[Unique Process Inputs],0))</f>
        <v>6.2816232433757864E-4</v>
      </c>
      <c r="HG22" s="131">
        <f ca="1">INDEX(Table_Process_Details[Total '[Eutrophication (kg posphate equiv.) per kg API'] of Unique Inputs (METAL)], MATCH(Table_Process_Details[[#This Row],[Unique Inputs Sorted by '[Eutrophication (kg posphate equiv.) per kg API']]],Table_Process_Details[Unique Process Inputs],0))</f>
        <v>0</v>
      </c>
      <c r="HH22" s="131">
        <f ca="1">INDEX(Table_Process_Details[Total '[Eutrophication (kg posphate equiv.) per kg API'] of Unique Inputs (SOLVENT)], MATCH(Table_Process_Details[[#This Row],[Unique Inputs Sorted by '[Eutrophication (kg posphate equiv.) per kg API']]],Table_Process_Details[Unique Process Inputs],0))</f>
        <v>0</v>
      </c>
      <c r="HI22" s="131">
        <f ca="1">INDEX(Table_Process_Details[Total '[Eutrophication (kg posphate equiv.) per kg API'] of Unique Inputs (WATER)], MATCH(Table_Process_Details[[#This Row],[Unique Inputs Sorted by '[Eutrophication (kg posphate equiv.) per kg API']]],Table_Process_Details[Unique Process Inputs],0))</f>
        <v>0</v>
      </c>
      <c r="HJ22" s="131">
        <f ca="1">INDEX(Table_Process_Details[Total '[Eutrophication (kg posphate equiv.) per kg API'] of Unique Inputs (ENZ&amp;PLNT)], MATCH(Table_Process_Details[[#This Row],[Unique Inputs Sorted by '[Eutrophication (kg posphate equiv.) per kg API']]],Table_Process_Details[Unique Process Inputs],0))</f>
        <v>0</v>
      </c>
      <c r="HK22" s="131">
        <f ca="1">INDEX(Table_Process_Details[Total '[Eutrophication (kg posphate equiv.) per kg API'] of Unique Inputs (OTHER)], MATCH(Table_Process_Details[[#This Row],[Unique Inputs Sorted by '[Eutrophication (kg posphate equiv.) per kg API']]],Table_Process_Details[Unique Process Inputs],0))</f>
        <v>0</v>
      </c>
      <c r="HL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2" s="131">
        <f ca="1">SUMIFS(Table_Process_Details[RV Water (kg) per kg API],Table_Process_Details[Display Name],Table_Process_Details[[#This Row],[Unique Process Inputs]],Table_Process_Details[Input or Output],"Input")</f>
        <v>1.3169702552278411</v>
      </c>
      <c r="HT22" s="131">
        <f ca="1">SUMIFS(Table_Process_Details[RV Water (kg) per kg API (REAGENT)],Table_Process_Details[Display Name],Table_Process_Details[[#This Row],[Unique Process Inputs]],Table_Process_Details[Input or Output],"Input")</f>
        <v>0.11596244614960989</v>
      </c>
      <c r="HU22" s="131">
        <f ca="1">SUMIFS(Table_Process_Details[RV Water (kg) per kg API (METAL)],Table_Process_Details[Display Name],Table_Process_Details[[#This Row],[Unique Process Inputs]],Table_Process_Details[Input or Output],"Input")</f>
        <v>0</v>
      </c>
      <c r="HV22" s="131">
        <f ca="1">SUMIFS(Table_Process_Details[RV Water (kg) per kg API (SOLVENT)],Table_Process_Details[Display Name],Table_Process_Details[[#This Row],[Unique Process Inputs]],Table_Process_Details[Input or Output],"Input")</f>
        <v>0</v>
      </c>
      <c r="HW22" s="131">
        <f ca="1">SUMIFS(Table_Process_Details[RV Water (kg) per kg API (WATER)],Table_Process_Details[Display Name],Table_Process_Details[[#This Row],[Unique Process Inputs]],Table_Process_Details[Input or Output],"Input")</f>
        <v>1.2010078090782312</v>
      </c>
      <c r="HX22" s="131">
        <f ca="1">SUMIFS(Table_Process_Details[RV Water (kg) per kg API (ENZ&amp;PLNT)],Table_Process_Details[Display Name],Table_Process_Details[[#This Row],[Unique Process Inputs]],Table_Process_Details[Input or Output],"Input")</f>
        <v>0</v>
      </c>
      <c r="HY22" s="131">
        <f ca="1">SUMIFS(Table_Process_Details[RV Water (kg) per kg API (OTHER)],Table_Process_Details[Display Name],Table_Process_Details[[#This Row],[Unique Process Inputs]],Table_Process_Details[Input or Output],"Input")</f>
        <v>0</v>
      </c>
      <c r="HZ22" s="126" t="str">
        <f ca="1">INDEX(Table_Process_Details[Unique Process Inputs],MATCH(Table_Process_Details[[#This Row],['[Water (kg) per kg API'] of Unique Inputs Sorted by '[Water (kg) per kg API']]],Table_Process_Details[Total '[Water (kg) per kg API'] of Unique Inputs],0))</f>
        <v>reagent P (organic)</v>
      </c>
      <c r="IA22" s="126">
        <f ca="1">IF(LARGE(Table_Process_Details[Total '[Water (kg) per kg API'] of Unique Inputs],Table_Process_Details[[#This Row],[Table Row]])=0,NA(),LARGE(Table_Process_Details[Total '[Water (kg) per kg API'] of Unique Inputs],Table_Process_Details[[#This Row],[Table Row]]))</f>
        <v>3.0816536485243486</v>
      </c>
      <c r="IB22" s="131">
        <f ca="1">SUM(OFFSET(Table_Process_Details['[Water (kg) per kg API'] of Unique Inputs Sorted by '[Water (kg) per kg API']],0,0,Table_Process_Details[[#This Row],[Table Row]]))</f>
        <v>878.29159702259199</v>
      </c>
      <c r="IC22" s="131" t="str">
        <f ca="1">"("&amp;TEXT(Table_Process_Details[[#This Row],['[Water (kg) per kg API'] of Unique Inputs Sorted by '[Water (kg) per kg API']]]/SUMIF(Table_Process_Details['[Water (kg) per kg API'] of Unique Inputs Sorted by '[Water (kg) per kg API']],"&lt;&gt;#N/A"),"0%")&amp;")"</f>
        <v>(0%)</v>
      </c>
      <c r="ID22" s="131">
        <f ca="1">INDEX(Table_Process_Details[Total '[Water (kg) per kg API'] of Unique Inputs (REAGENT)], MATCH(Table_Process_Details[[#This Row],[Unique Inputs Sorted by '[Water (kg) per kg API']]],Table_Process_Details[Unique Process Inputs],0))</f>
        <v>3.0816536485243486</v>
      </c>
      <c r="IE22" s="131">
        <f ca="1">INDEX(Table_Process_Details[Total '[Water (kg) per kg API'] of Unique Inputs (METAL)], MATCH(Table_Process_Details[[#This Row],[Unique Inputs Sorted by '[Water (kg) per kg API']]],Table_Process_Details[Unique Process Inputs],0))</f>
        <v>0</v>
      </c>
      <c r="IF22" s="131">
        <f ca="1">INDEX(Table_Process_Details[Total '[Water (kg) per kg API'] of Unique Inputs (SOLVENT)], MATCH(Table_Process_Details[[#This Row],[Unique Inputs Sorted by '[Water (kg) per kg API']]],Table_Process_Details[Unique Process Inputs],0))</f>
        <v>0</v>
      </c>
      <c r="IG22" s="131">
        <f ca="1">INDEX(Table_Process_Details[Total '[Water (kg) per kg API'] of Unique Inputs (WATER)], MATCH(Table_Process_Details[[#This Row],[Unique Inputs Sorted by '[Water (kg) per kg API']]],Table_Process_Details[Unique Process Inputs],0))</f>
        <v>0</v>
      </c>
      <c r="IH22" s="131">
        <f ca="1">INDEX(Table_Process_Details[Total '[Water (kg) per kg API'] of Unique Inputs (ENZ&amp;PLNT)], MATCH(Table_Process_Details[[#This Row],[Unique Inputs Sorted by '[Water (kg) per kg API']]],Table_Process_Details[Unique Process Inputs],0))</f>
        <v>0</v>
      </c>
      <c r="II22" s="131">
        <f ca="1">INDEX(Table_Process_Details[Total '[Water (kg) per kg API'] of Unique Inputs (OTHER)], MATCH(Table_Process_Details[[#This Row],[Unique Inputs Sorted by '[Water (kg) per kg API']]],Table_Process_Details[Unique Process Inputs],0))</f>
        <v>0</v>
      </c>
    </row>
    <row r="23" spans="1:243" customFormat="1" x14ac:dyDescent="0.25">
      <c r="A23" s="22" t="str">
        <f>'1. Define Process Steps'!A13</f>
        <v>1) Synthesis of Intermediate (1)</v>
      </c>
      <c r="B23" s="21" t="s">
        <v>4</v>
      </c>
      <c r="C23" s="21" t="s">
        <v>153</v>
      </c>
      <c r="D23" s="22" t="s">
        <v>156</v>
      </c>
      <c r="E23" s="22" t="s">
        <v>821</v>
      </c>
      <c r="F23" s="26">
        <v>10</v>
      </c>
      <c r="G23" s="26" t="s">
        <v>859</v>
      </c>
      <c r="H23" s="26"/>
      <c r="I23" s="26"/>
      <c r="J23" s="26" t="str">
        <f>INDEX(Process_Steps[Reference],MATCH(Table_Process_Details[[#This Row],[Step Name]],Process_Steps[Name],0))</f>
        <v>Reference Document  for Step 1</v>
      </c>
      <c r="K23" s="27" t="str">
        <f>INDEX(Process_Steps[Real or Virtual?],MATCH(Table_Process_Details[[#This Row],[Step Name]],Process_Steps[Name],0))</f>
        <v>Real</v>
      </c>
      <c r="L23"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3"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3" s="26">
        <f>INDEX(Table_Process_Details[Physical Mass (kg)],MATCH(1,INDEX(((Table_Process_Details[Step Name]=Table_Process_Details[[#This Row],[Step Name]])*(Table_Process_Details[Input or Output]="Output")),0),0))</f>
        <v>51.020408163265309</v>
      </c>
      <c r="O23" s="29">
        <f ca="1">INDEX(Process_Steps[Step Scale Factor for 1kg Packaged API],MATCH(Table_Process_Details[[#This Row],[Step Name]],Process_Steps[Name],0))</f>
        <v>6.9901025556863543E-3</v>
      </c>
      <c r="P23"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6.083333333333333</v>
      </c>
      <c r="Q23"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13.083333333333332</v>
      </c>
      <c r="R23" s="26">
        <f ca="1">_xlfn.SWITCH(Run_Reset_PNG,"Reset",Table_Process_Details[[#This Row],[X Init]],"Run",Table_Process_Details[[#This Row],[X Moved]],"Freeze",Table_Process_Details[[#This Row],[X Mover]])</f>
        <v>-3.0565257888541169</v>
      </c>
      <c r="S23" s="26">
        <f ca="1">_xlfn.SWITCH(Run_Reset_PNG,"Reset",Table_Process_Details[[#This Row],[Y Init]],"Run",Table_Process_Details[[#This Row],[Y Moved]],"Freeze",Table_Process_Details[[#This Row],[Y Mover]])</f>
        <v>20.515367174986299</v>
      </c>
      <c r="T23" s="26" cm="1">
        <f t="array" aca="1" ref="T2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-11.046711002652451</v>
      </c>
      <c r="U23" s="26" cm="1">
        <f t="array" aca="1" ref="U2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-0.99869209633047185</v>
      </c>
      <c r="V23" s="26" cm="1">
        <f t="array" aca="1" ref="V23" ca="1">SUM(--(SQRT((Table_Process_Details[[#This Row],[X Mover]]-Table_Process_Details[X Mover])^2+(Table_Process_Details[[#This Row],[Y Mover]]-Table_Process_Details[Y Mover])^2)&lt;Collision_Distance))</f>
        <v>21</v>
      </c>
      <c r="W23" s="26" cm="1">
        <f t="array" aca="1" ref="W2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0.47474765584528872</v>
      </c>
      <c r="X23" s="26" cm="1">
        <f t="array" aca="1" ref="X2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0.1284035161747635</v>
      </c>
      <c r="Y23" s="26" cm="1">
        <f t="array" aca="1" ref="Y2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3" s="26">
        <f>0</f>
        <v>0</v>
      </c>
      <c r="AA23" s="26">
        <f>0</f>
        <v>0</v>
      </c>
      <c r="AB23"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1.5282628944270584</v>
      </c>
      <c r="AC23" s="26" cm="1">
        <f t="array" aca="1" ref="AC2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-10.257683587493149</v>
      </c>
      <c r="AD23" s="26">
        <f>MIN(1,COUNTA(Table_Process_Details[[#This Row],[target x]]),COUNTA(Table_Process_Details[[#This Row],[target y]]))*COUNTA(Table_Process_Details[Step Name])</f>
        <v>98</v>
      </c>
      <c r="AE23"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-3.0922174709471042</v>
      </c>
      <c r="AF23"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20.491543683980431</v>
      </c>
      <c r="AG23"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3" s="26" cm="1">
        <f t="array" aca="1" ref="AH23" ca="1">INDEX(Table_Process_Details[X Mover],MATCH(1,INDEX((Table_Process_Details[Input or Output]="Output")*(Table_Process_Details[Step Name]=Table_Process_Details[[#This Row],[Step Name]])*(Table_Process_Details[[#This Row],[Input or Output]]="Input"),0),0))</f>
        <v>0.78891624628593393</v>
      </c>
      <c r="AI23" s="26" cm="1">
        <f t="array" aca="1" ref="AI23" ca="1">INDEX(Table_Process_Details[Y Mover],MATCH(1,INDEX((Table_Process_Details[Input or Output]="Output")*(Table_Process_Details[Step Name]=Table_Process_Details[[#This Row],[Step Name]])*(Table_Process_Details[[#This Row],[Input or Output]]="Input"),0),0))</f>
        <v>21.555431875630404</v>
      </c>
      <c r="AJ23" s="26">
        <f ca="1">SQRT((Table_Process_Details[[#This Row],[X End (To Node Center)]]-Table_Process_Details[[#This Row],[X Guide]])^2+(Table_Process_Details[[#This Row],[Y End (to Node Center)]]-Table_Process_Details[[#This Row],[Y Guide]])^2)</f>
        <v>3.9836113047269017</v>
      </c>
      <c r="AK23" s="26" t="e" cm="1">
        <f t="array" ref="AK23">INDEX(Table_Process_Details[X Mover],MATCH(1,INDEX((Table_Process_Details[Step Name]=Table_Process_Details[[#This Row],[LCA Data Source Subclass]])*(Table_Process_Details[Input or Output]="Output"),0)*(Table_Process_Details[[#This Row],[Input or Output]]="Input"),0))</f>
        <v>#N/A</v>
      </c>
      <c r="AL23" s="26" cm="1">
        <f t="array" aca="1" ref="AL23" ca="1">INDEX(Table_Process_Details[X Mover],MATCH(1,INDEX(((Table_Process_Details[Table Row]=Table_Process_Details[[#This Row],[Table Row]])*(1)),0)*(Table_Process_Details[[#This Row],[Input or Output]]="Input"),0))</f>
        <v>-3.0565257888541169</v>
      </c>
      <c r="AM23" s="26" cm="1">
        <f t="array" aca="1" ref="AM23" ca="1">(Table_Process_Details[[#This Row],[X End (To Node Center)]]*Table_Process_Details[[#This Row],[r0]]-Table_Process_Details[[#This Row],[X End (To Node Center)]]*Arrow_Offset+Table_Process_Details[[#This Row],[X Guide]]*Arrow_Offset)/Table_Process_Details[[#This Row],[r0]]</f>
        <v>1.666378669940773E-2</v>
      </c>
      <c r="AN23" s="26" t="e">
        <f>IF(NOT(Table_Process_Details[[#This Row],[Display As]]="None"),Table_Process_Details[[#This Row],[X Start Prefilter]],NA())</f>
        <v>#N/A</v>
      </c>
      <c r="AO23" s="26">
        <f ca="1">IF(NOT(Table_Process_Details[[#This Row],[Display As]]="None"),Table_Process_Details[[#This Row],[X Guide Prefilter]],NA())</f>
        <v>-3.0565257888541169</v>
      </c>
      <c r="AP23" s="26">
        <f ca="1">IF(NOT(Table_Process_Details[[#This Row],[Display As]]="None"),Table_Process_Details[[#This Row],[X End (to Stop Radius) Prefilter]],NA())</f>
        <v>1.666378669940773E-2</v>
      </c>
      <c r="AQ23" s="26" t="e">
        <f>NA()</f>
        <v>#N/A</v>
      </c>
      <c r="AR23" s="26" t="e" cm="1">
        <f t="array" ref="AR23">INDEX(Table_Process_Details[Y Mover],MATCH(1,INDEX((Table_Process_Details[Step Name]=Table_Process_Details[[#This Row],[LCA Data Source Subclass]])*(Table_Process_Details[Input or Output]="Output"),0)*(Table_Process_Details[[#This Row],[Input or Output]]="Input"),0))</f>
        <v>#N/A</v>
      </c>
      <c r="AS23" s="26" cm="1">
        <f t="array" aca="1" ref="AS23" ca="1">INDEX(Table_Process_Details[Y Mover],MATCH(1,INDEX(((Table_Process_Details[Table Row]=Table_Process_Details[[#This Row],[Table Row]])*(1)),0)*(Table_Process_Details[[#This Row],[Input or Output]]="Input"),0))</f>
        <v>20.515367174986299</v>
      </c>
      <c r="AT23" s="26" cm="1">
        <f t="array" aca="1" ref="AT23" ca="1">(Table_Process_Details[[#This Row],[Y Guide]]*Arrow_Offset-Table_Process_Details[[#This Row],[Y End (to Node Center)]]*Arrow_Offset+Table_Process_Details[[#This Row],[Y End (to Node Center)]]*Table_Process_Details[[#This Row],[r0]])/Table_Process_Details[[#This Row],[r0]]</f>
        <v>21.346563164085183</v>
      </c>
      <c r="AU23" s="26" t="e">
        <f>IF(NOT(Table_Process_Details[[#This Row],[Display As]]="None"),Table_Process_Details[[#This Row],[Y Start Prefilter]],NA())</f>
        <v>#N/A</v>
      </c>
      <c r="AV23" s="26">
        <f ca="1">IF(NOT(Table_Process_Details[[#This Row],[Display As]]="None"),Table_Process_Details[[#This Row],[Y Guide Prefilter]],NA())</f>
        <v>20.515367174986299</v>
      </c>
      <c r="AW23" s="26">
        <f ca="1">IF(NOT(Table_Process_Details[[#This Row],[Display As]]="None"),Table_Process_Details[[#This Row],[Y End (to Stop Radius) Prefilter]],NA())</f>
        <v>21.346563164085183</v>
      </c>
      <c r="AX23" s="26" t="e">
        <f>NA()</f>
        <v>#N/A</v>
      </c>
      <c r="AY23" s="26" t="e">
        <f>IF(Table_Process_Details[[#This Row],[Display As]]="Real Step",Table_Process_Details[[#This Row],[X Mover]],NA())</f>
        <v>#N/A</v>
      </c>
      <c r="AZ23" s="26" t="e">
        <f>IF(Table_Process_Details[[#This Row],[Display As]]="Real Step",Table_Process_Details[[#This Row],[Y Mover]],NA())</f>
        <v>#N/A</v>
      </c>
      <c r="BA23" s="26">
        <f ca="1">IF(Table_Process_Details[[#This Row],[Display As]]="Raw Material",Table_Process_Details[[#This Row],[X Mover]],NA())</f>
        <v>-3.0565257888541169</v>
      </c>
      <c r="BB23" s="26">
        <f ca="1">IF(Table_Process_Details[[#This Row],[Display As]]="Raw Material",Table_Process_Details[[#This Row],[Y Mover]],NA())</f>
        <v>20.515367174986299</v>
      </c>
      <c r="BC23" s="26">
        <f ca="1">IF(OR(Table_Process_Details[[#This Row],[Display As]]="Real Step",Table_Process_Details[[#This Row],[Display As]]="Raw Material"),Table_Process_Details[[#This Row],[X Mover]],NA())</f>
        <v>-3.0565257888541169</v>
      </c>
      <c r="BD23" s="26">
        <f ca="1">IF(OR(Table_Process_Details[[#This Row],[Display As]]="Real Step",Table_Process_Details[[#This Row],[Display As]]="Raw Material"),Table_Process_Details[[#This Row],[Y Mover]],NA())</f>
        <v>20.515367174986299</v>
      </c>
      <c r="BE23" s="22">
        <f>ROW()-ROW(Table_Process_Details[[#Headers],[Table Row]])</f>
        <v>19</v>
      </c>
      <c r="BF23" s="23" t="str" cm="1">
        <f t="array" aca="1" ref="BF23" ca="1">INDEX(Table_Process_Details[Display Name],MATCH(0,IF(Table_Process_Details[Input or Output]="Input",INDEX(COUNTIF(OFFSET(Table_Process_Details[[#Headers],[Unique Process Inputs]],0,0,Table_Process_Details[[#This Row],[Table Row]],1),Table_Process_Details[Display Name]),),""),0))</f>
        <v>nickel salt</v>
      </c>
      <c r="BG23" s="23">
        <f ca="1">Table_Process_Details[[#This Row],[Physical Mass (kg)]]*Table_Process_Details[[#This Row],[Step Scale Factor for 1kg Packaged API]]</f>
        <v>6.9901025556863547E-2</v>
      </c>
      <c r="BH23"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3" s="23">
        <f ca="1">MATCH(Table_Process_Details[[#This Row],[LCA Data Source Class]],INDIRECT(Table_Process_Details[[#This Row],[Input or Output]]),0)</f>
        <v>3</v>
      </c>
      <c r="BJ23" s="23">
        <f ca="1">MATCH(Table_Process_Details[[#This Row],[LCA Data Source Subclass]],INDIRECT(Table_Process_Details[[#This Row],[LCA Data Source Class]]&amp;"[Name]"),0)</f>
        <v>1</v>
      </c>
      <c r="BK23" s="23">
        <f ca="1">IFERROR(INDEX(INDIRECT(Table_Process_Details[[#This Row],[LCA Data Source Class]]&amp;"[Mass Net (kg)]"),MATCH(Table_Process_Details[[#This Row],[LCA Data Source Subclass]],INDIRECT(Table_Process_Details[[#This Row],[LCA Data Source Class]]&amp;"[Name]"),0)),0)</f>
        <v>2.0861208174193546</v>
      </c>
      <c r="BL23" s="23">
        <f ca="1">IFERROR(INDEX(INDIRECT(Table_Process_Details[[#This Row],[LCA Data Source Class]]&amp;"[Energy (MJ)]"),MATCH(Table_Process_Details[[#This Row],[LCA Data Source Subclass]],INDIRECT(Table_Process_Details[[#This Row],[LCA Data Source Class]]&amp;"[Name]"),0)),0)</f>
        <v>74.867288612903238</v>
      </c>
      <c r="BM23" s="23">
        <f ca="1">IFERROR(INDEX(INDIRECT(Table_Process_Details[[#This Row],[LCA Data Source Class]]&amp;"[GWP (kg CO2 equiv.)]"),MATCH(Table_Process_Details[[#This Row],[LCA Data Source Subclass]],INDIRECT(Table_Process_Details[[#This Row],[LCA Data Source Class]]&amp;"[Name]"),0)),0)</f>
        <v>2.6244035558064511</v>
      </c>
      <c r="BN23" s="23">
        <f ca="1">IFERROR(INDEX(INDIRECT(Table_Process_Details[[#This Row],[LCA Data Source Class]]&amp;"[Acidification (kg SO2 equiv.)]"),MATCH(Table_Process_Details[[#This Row],[LCA Data Source Subclass]],INDIRECT(Table_Process_Details[[#This Row],[LCA Data Source Class]]&amp;"[Name]"),0)),0)</f>
        <v>1.1223113743548388E-2</v>
      </c>
      <c r="BO23" s="23">
        <f ca="1">IFERROR(INDEX(INDIRECT(Table_Process_Details[[#This Row],[LCA Data Source Class]]&amp;"[Eutrophication (kg posphate equiv.)]"),MATCH(Table_Process_Details[[#This Row],[LCA Data Source Subclass]],INDIRECT(Table_Process_Details[[#This Row],[LCA Data Source Class]]&amp;"[Name]"),0)),0)</f>
        <v>8.9864536225806452E-3</v>
      </c>
      <c r="BP23" s="23">
        <f ca="1">IFERROR(INDEX(INDIRECT(Table_Process_Details[[#This Row],[LCA Data Source Class]]&amp;"[Water (kg)]"),MATCH(Table_Process_Details[[#This Row],[LCA Data Source Subclass]],INDIRECT(Table_Process_Details[[#This Row],[LCA Data Source Class]]&amp;"[Name]"),0)),0)</f>
        <v>14.695319198225807</v>
      </c>
      <c r="BQ23" s="27">
        <f ca="1">(Table_Process_Details[[#This Row],[Input or Output]]="Input")*(Table_Process_Details[[#This Row],[LCA Data Source Class]]&lt;&gt;"Process_Steps")*Table_Process_Details[[#This Row],[Scaled Physical Mass per kg API for All Inputs &amp; Outputs]]</f>
        <v>6.9901025556863547E-2</v>
      </c>
      <c r="BR23" s="27">
        <f ca="1">(Table_Process_Details[[#This Row],[Material Class]]="REAGENT")*Table_Process_Details[[#This Row],[Physical Mass per kg API]]</f>
        <v>6.9901025556863547E-2</v>
      </c>
      <c r="BS23" s="27">
        <f ca="1">(Table_Process_Details[[#This Row],[Material Class]]="METAL")*Table_Process_Details[[#This Row],[Physical Mass per kg API]]</f>
        <v>0</v>
      </c>
      <c r="BT23" s="27">
        <f ca="1">(Table_Process_Details[[#This Row],[Material Class]]="SOLVENT")*Table_Process_Details[[#This Row],[Physical Mass per kg API]]</f>
        <v>0</v>
      </c>
      <c r="BU23" s="27">
        <f ca="1">(Table_Process_Details[[#This Row],[Material Class]]="WATER")*Table_Process_Details[[#This Row],[Physical Mass per kg API]]</f>
        <v>0</v>
      </c>
      <c r="BV23" s="27">
        <f ca="1">(Table_Process_Details[[#This Row],[Material Class]]="ENZ&amp;PLNT")*Table_Process_Details[[#This Row],[Physical Mass per kg API]]</f>
        <v>0</v>
      </c>
      <c r="BW23" s="27">
        <f ca="1">(Table_Process_Details[[#This Row],[Material Class]]="OTHER")*Table_Process_Details[[#This Row],[Physical Mass per kg API]]</f>
        <v>0</v>
      </c>
      <c r="BX23"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6.9901025556863547E-2</v>
      </c>
      <c r="BY23"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6.9901025556863547E-2</v>
      </c>
      <c r="BZ23"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3"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3"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3"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3"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3" s="1">
        <f ca="1">SUMIFS(Table_Process_Details[RV Physical Mass per kg API],Table_Process_Details[Display Name],Table_Process_Details[[#This Row],[Unique Process Inputs]],Table_Process_Details[Input or Output],"Input")</f>
        <v>1.398020511137271E-2</v>
      </c>
      <c r="CF23" s="1">
        <f ca="1">SUMIFS(Table_Process_Details[RV Physical Mass per kg API (REAGENT)],Table_Process_Details[Display Name],Table_Process_Details[[#This Row],[Unique Process Inputs]],Table_Process_Details[Input or Output],"Input")</f>
        <v>8.8097580889613149E-3</v>
      </c>
      <c r="CG23" s="1">
        <f ca="1">SUMIFS(Table_Process_Details[RV Physical Mass per kg API (METAL)],Table_Process_Details[Display Name],Table_Process_Details[[#This Row],[Unique Process Inputs]],Table_Process_Details[Input or Output],"Input")</f>
        <v>5.1704470224113947E-3</v>
      </c>
      <c r="CH23" s="1">
        <f ca="1">SUMIFS(Table_Process_Details[RV Physical Mass per kg API (SOLVENT)],Table_Process_Details[Display Name],Table_Process_Details[[#This Row],[Unique Process Inputs]],Table_Process_Details[Input or Output],"Input")</f>
        <v>0</v>
      </c>
      <c r="CI23" s="1">
        <f ca="1">SUMIFS(Table_Process_Details[RV Physical Mass per kg API (WATER)],Table_Process_Details[Display Name],Table_Process_Details[[#This Row],[Unique Process Inputs]],Table_Process_Details[Input or Output],"Input")</f>
        <v>0</v>
      </c>
      <c r="CJ23" s="1">
        <f ca="1">SUMIFS(Table_Process_Details[RV Physical Mass per kg API (ENZ&amp;PLNT)],Table_Process_Details[Display Name],Table_Process_Details[[#This Row],[Unique Process Inputs]],Table_Process_Details[Input or Output],"Input")</f>
        <v>0</v>
      </c>
      <c r="CK23" s="1">
        <f ca="1">SUMIFS(Table_Process_Details[RV Physical Mass per kg API (OTHER)],Table_Process_Details[Display Name],Table_Process_Details[[#This Row],[Unique Process Inputs]],Table_Process_Details[Input or Output],"Input")</f>
        <v>0</v>
      </c>
      <c r="CL23" s="22" t="str">
        <f ca="1">INDEX(Table_Process_Details[Unique Process Inputs],MATCH(Table_Process_Details[[#This Row],['[Physical Mass per kg API'] of Unique Inputs Sorted by '[Physical Mass per kg API']]],Table_Process_Details[Total '[Physical Mass per kg API'] of Unique Inputs],0))</f>
        <v>10 wt% reagent B (inorganic) in water</v>
      </c>
      <c r="CM23" s="22">
        <f ca="1">IF(LARGE(Table_Process_Details[Total '[Physical Mass per kg API'] of Unique Inputs],Table_Process_Details[[#This Row],[Table Row]])=0,NA(),LARGE(Table_Process_Details[Total '[Physical Mass per kg API'] of Unique Inputs],Table_Process_Details[[#This Row],[Table Row]]))</f>
        <v>1.1184164089098165</v>
      </c>
      <c r="CN23" s="22">
        <f ca="1">SUM(OFFSET(Table_Process_Details['[Physical Mass per kg API'] of Unique Inputs Sorted by '[Physical Mass per kg API']],0,0,Table_Process_Details[[#This Row],[Table Row]]))</f>
        <v>144.60625278347641</v>
      </c>
      <c r="CO23" s="22" t="str">
        <f ca="1">"("&amp;TEXT(Table_Process_Details[[#This Row],['[Physical Mass per kg API'] of Unique Inputs Sorted by '[Physical Mass per kg API']]]/SUMIF(Table_Process_Details['[Physical Mass per kg API'] of Unique Inputs Sorted by '[Physical Mass per kg API']],"&lt;&gt;#N/A"),"0%")&amp;")"</f>
        <v>(1%)</v>
      </c>
      <c r="CP23" s="22">
        <f ca="1">INDEX(Table_Process_Details[Total '[Physical Mass per kg API'] of Unique Inputs (REAGENT)],MATCH(Table_Process_Details[[#This Row],[Unique Inputs Sorted by '[Physical Mass per kg API']]],Table_Process_Details[Unique Process Inputs],0))</f>
        <v>0.11184164089098167</v>
      </c>
      <c r="CQ23" s="22">
        <f ca="1">INDEX(Table_Process_Details[Total '[Physical Mass per kg API'] of Unique Inputs (METAL)],MATCH(Table_Process_Details[[#This Row],[Unique Inputs Sorted by '[Physical Mass per kg API']]],Table_Process_Details[Unique Process Inputs],0))</f>
        <v>0</v>
      </c>
      <c r="CR23" s="22">
        <f ca="1">INDEX(Table_Process_Details[Total '[Physical Mass per kg API'] of Unique Inputs (SOLVENT)],MATCH(Table_Process_Details[[#This Row],[Unique Inputs Sorted by '[Physical Mass per kg API']]],Table_Process_Details[Unique Process Inputs],0))</f>
        <v>0</v>
      </c>
      <c r="CS23" s="22">
        <f ca="1">INDEX(Table_Process_Details[Total '[Physical Mass per kg API'] of Unique Inputs (WATER)],MATCH(Table_Process_Details[[#This Row],[Unique Inputs Sorted by '[Physical Mass per kg API']]],Table_Process_Details[Unique Process Inputs],0))</f>
        <v>1.0065747680188348</v>
      </c>
      <c r="CT23" s="22">
        <f ca="1">INDEX(Table_Process_Details[Total '[Physical Mass per kg API'] of Unique Inputs (ENZ&amp;PLNT)],MATCH(Table_Process_Details[[#This Row],[Unique Inputs Sorted by '[Physical Mass per kg API']]],Table_Process_Details[Unique Process Inputs],0))</f>
        <v>0</v>
      </c>
      <c r="CU23" s="22">
        <f ca="1">INDEX(Table_Process_Details[Total '[Physical Mass per kg API'] of Unique Inputs (OTHER)],MATCH(Table_Process_Details[[#This Row],[Unique Inputs Sorted by '[Physical Mass per kg API']]],Table_Process_Details[Unique Process Inputs],0))</f>
        <v>0</v>
      </c>
      <c r="CV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0.14582198457313539</v>
      </c>
      <c r="CW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0.14582198457313539</v>
      </c>
      <c r="CX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3" s="22">
        <f ca="1">SUMIFS(Table_Process_Details[RV Mass Net (kg) per kg API],Table_Process_Details[Display Name],Table_Process_Details[[#This Row],[Unique Process Inputs]],Table_Process_Details[Input or Output],"Input")</f>
        <v>2.5017411245832774E-2</v>
      </c>
      <c r="DD23" s="22">
        <f ca="1">SUMIFS(Table_Process_Details[RV Mass Net (kg) per kg API (REAGENT)],Table_Process_Details[Display Name],Table_Process_Details[[#This Row],[Unique Process Inputs]],Table_Process_Details[Input or Output],"Input")</f>
        <v>1.1805075839208161E-2</v>
      </c>
      <c r="DE23" s="22">
        <f ca="1">SUMIFS(Table_Process_Details[RV Mass Net (kg) per kg API (METAL)],Table_Process_Details[Display Name],Table_Process_Details[[#This Row],[Unique Process Inputs]],Table_Process_Details[Input or Output],"Input")</f>
        <v>1.3212335406624615E-2</v>
      </c>
      <c r="DF23" s="22">
        <f ca="1">SUMIFS(Table_Process_Details[RV Mass Net (kg) per kg API (SOLVENT)],Table_Process_Details[Display Name],Table_Process_Details[[#This Row],[Unique Process Inputs]],Table_Process_Details[Input or Output],"Input")</f>
        <v>0</v>
      </c>
      <c r="DG23" s="22">
        <f ca="1">SUMIFS(Table_Process_Details[RV Mass Net (kg) per kg API (WATER)],Table_Process_Details[Display Name],Table_Process_Details[[#This Row],[Unique Process Inputs]],Table_Process_Details[Input or Output],"Input")</f>
        <v>0</v>
      </c>
      <c r="DH23" s="22">
        <f ca="1">SUMIFS(Table_Process_Details[RV Mass Net (kg) per kg API (ENZ&amp;PLNT)],Table_Process_Details[Display Name],Table_Process_Details[[#This Row],[Unique Process Inputs]],Table_Process_Details[Input or Output],"Input")</f>
        <v>0</v>
      </c>
      <c r="DI23" s="22">
        <f ca="1">SUMIFS(Table_Process_Details[RV Mass Net (kg) per kg API (OTHER)],Table_Process_Details[Display Name],Table_Process_Details[[#This Row],[Unique Process Inputs]],Table_Process_Details[Input or Output],"Input")</f>
        <v>0</v>
      </c>
      <c r="DJ23" s="22" t="str">
        <f ca="1">INDEX(Table_Process_Details[Unique Process Inputs],MATCH(Table_Process_Details[[#This Row],['[Mass Net (kg) per kg API'] of Unique Inputs Sorted by '[Mass Net (kg) per kg API']]],Table_Process_Details[Total '[Mass Net (kg) per kg API'] of Unique Inputs],0))</f>
        <v>reagent S (organic)</v>
      </c>
      <c r="DK23" s="22">
        <f ca="1">IF(LARGE(Table_Process_Details[Total '[Mass Net (kg) per kg API'] of Unique Inputs],Table_Process_Details[[#This Row],[Table Row]])=0,NA(),LARGE(Table_Process_Details[Total '[Mass Net (kg) per kg API'] of Unique Inputs],Table_Process_Details[[#This Row],[Table Row]]))</f>
        <v>0.29164396914610657</v>
      </c>
      <c r="DL23" s="22">
        <f ca="1">SUM(OFFSET(Table_Process_Details['[Mass Net (kg) per kg API'] of Unique Inputs Sorted by '[Mass Net (kg) per kg API']],0,0,Table_Process_Details[[#This Row],[Table Row]]))</f>
        <v>126.02496500120955</v>
      </c>
      <c r="DM23" s="22" t="str">
        <f ca="1">"("&amp;TEXT(Table_Process_Details[[#This Row],['[Mass Net (kg) per kg API'] of Unique Inputs Sorted by '[Mass Net (kg) per kg API']]]/SUMIF(Table_Process_Details['[Mass Net (kg) per kg API'] of Unique Inputs Sorted by '[Mass Net (kg) per kg API']],"&lt;&gt;#N/A"),"0%")&amp;")"</f>
        <v>(0%)</v>
      </c>
      <c r="DN23" s="22">
        <f ca="1">INDEX(Table_Process_Details[Total '[Mass Net (kg) per kg API'] of Unique Inputs (REAGENT)], MATCH(Table_Process_Details[[#This Row],[Unique Inputs Sorted by '[Mass Net (kg) per kg API']]],Table_Process_Details[Unique Process Inputs],0))</f>
        <v>0.29164396914610657</v>
      </c>
      <c r="DO23" s="22">
        <f ca="1">INDEX(Table_Process_Details[Total '[Mass Net (kg) per kg API'] of Unique Inputs (METAL)], MATCH(Table_Process_Details[[#This Row],[Unique Inputs Sorted by '[Mass Net (kg) per kg API']]],Table_Process_Details[Unique Process Inputs],0))</f>
        <v>0</v>
      </c>
      <c r="DP23" s="22">
        <f ca="1">INDEX(Table_Process_Details[Total '[Mass Net (kg) per kg API'] of Unique Inputs (SOLVENT)], MATCH(Table_Process_Details[[#This Row],[Unique Inputs Sorted by '[Mass Net (kg) per kg API']]],Table_Process_Details[Unique Process Inputs],0))</f>
        <v>0</v>
      </c>
      <c r="DQ23" s="22">
        <f ca="1">INDEX(Table_Process_Details[Total '[Mass Net (kg) per kg API'] of Unique Inputs (WATER)], MATCH(Table_Process_Details[[#This Row],[Unique Inputs Sorted by '[Mass Net (kg) per kg API']]],Table_Process_Details[Unique Process Inputs],0))</f>
        <v>0</v>
      </c>
      <c r="DR23" s="22">
        <f ca="1">INDEX(Table_Process_Details[Total '[Mass Net (kg) per kg API'] of Unique Inputs (ENZ&amp;PLNT)], MATCH(Table_Process_Details[[#This Row],[Unique Inputs Sorted by '[Mass Net (kg) per kg API']]],Table_Process_Details[Unique Process Inputs],0))</f>
        <v>0</v>
      </c>
      <c r="DS23" s="22">
        <f ca="1">INDEX(Table_Process_Details[Total '[Mass Net (kg) per kg API'] of Unique Inputs (OTHER)], MATCH(Table_Process_Details[[#This Row],[Unique Inputs Sorted by '[Mass Net (kg) per kg API']]],Table_Process_Details[Unique Process Inputs],0))</f>
        <v>0</v>
      </c>
      <c r="DT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5.2333002547036287</v>
      </c>
      <c r="DU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5.2333002547036287</v>
      </c>
      <c r="DV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3" s="1">
        <f ca="1">SUMIFS(Table_Process_Details[RV Energy (MJ) per kg API],Table_Process_Details[Display Name],Table_Process_Details[[#This Row],[Unique Process Inputs]],Table_Process_Details[Input or Output],"Input")</f>
        <v>0.14204871996522528</v>
      </c>
      <c r="EB23" s="1">
        <f ca="1">SUMIFS(Table_Process_Details[RV Energy (MJ) per kg API (REAGENT)],Table_Process_Details[Display Name],Table_Process_Details[[#This Row],[Unique Process Inputs]],Table_Process_Details[Input or Output],"Input")</f>
        <v>9.3647728485658777E-2</v>
      </c>
      <c r="EC23" s="1">
        <f ca="1">SUMIFS(Table_Process_Details[RV Energy (MJ) per kg API (METAL)],Table_Process_Details[Display Name],Table_Process_Details[[#This Row],[Unique Process Inputs]],Table_Process_Details[Input or Output],"Input")</f>
        <v>4.8400991479566495E-2</v>
      </c>
      <c r="ED23" s="1">
        <f ca="1">SUMIFS(Table_Process_Details[RV Energy (MJ) per kg API (SOLVENT)],Table_Process_Details[Display Name],Table_Process_Details[[#This Row],[Unique Process Inputs]],Table_Process_Details[Input or Output],"Input")</f>
        <v>0</v>
      </c>
      <c r="EE23" s="1">
        <f ca="1">SUMIFS(Table_Process_Details[RV Energy (MJ) per kg API (WATER)],Table_Process_Details[Display Name],Table_Process_Details[[#This Row],[Unique Process Inputs]],Table_Process_Details[Input or Output],"Input")</f>
        <v>0</v>
      </c>
      <c r="EF23" s="1">
        <f ca="1">SUMIFS(Table_Process_Details[RV Energy (MJ) per kg API (ENZ&amp;PLNT)],Table_Process_Details[Display Name],Table_Process_Details[[#This Row],[Unique Process Inputs]],Table_Process_Details[Input or Output],"Input")</f>
        <v>0</v>
      </c>
      <c r="EG23" s="1">
        <f ca="1">SUMIFS(Table_Process_Details[RV Energy (MJ) per kg API (OTHER)],Table_Process_Details[Display Name],Table_Process_Details[[#This Row],[Unique Process Inputs]],Table_Process_Details[Input or Output],"Input")</f>
        <v>0</v>
      </c>
      <c r="EH23" s="1" t="str">
        <f ca="1">INDEX(Table_Process_Details[Unique Process Inputs],MATCH(Table_Process_Details[[#This Row],['[Energy (MJ) per kg API'] of Unique Inputs Sorted by '[Energy (MJ) per kg API']]],Table_Process_Details[Total '[Energy (MJ) per kg API'] of Unique Inputs],0))</f>
        <v>6 M HCl (aq)</v>
      </c>
      <c r="EI23" s="22">
        <f ca="1">IF(LARGE(Table_Process_Details[Total '[Energy (MJ) per kg API'] of Unique Inputs],Table_Process_Details[[#This Row],[Table Row]])=0,NA(),LARGE(Table_Process_Details[Total '[Energy (MJ) per kg API'] of Unique Inputs],Table_Process_Details[[#This Row],[Table Row]]))</f>
        <v>6.0910748103760302</v>
      </c>
      <c r="EJ23" s="22">
        <f ca="1">SUM(OFFSET(Table_Process_Details['[Energy (MJ) per kg API'] of Unique Inputs Sorted by '[Energy (MJ) per kg API']],0,0,Table_Process_Details[[#This Row],[Table Row]]))</f>
        <v>5048.0061244786621</v>
      </c>
      <c r="EK23" s="22" t="str">
        <f ca="1">"("&amp;TEXT(Table_Process_Details[[#This Row],['[Energy (MJ) per kg API'] of Unique Inputs Sorted by '[Energy (MJ) per kg API']]]/SUMIF(Table_Process_Details['[Energy (MJ) per kg API'] of Unique Inputs Sorted by '[Energy (MJ) per kg API']],"&lt;&gt;#N/A"),"0%")&amp;")"</f>
        <v>(0%)</v>
      </c>
      <c r="EL23" s="22">
        <f ca="1">INDEX(Table_Process_Details[Total '[Energy (MJ) per kg API'] of Unique Inputs (REAGENT)], MATCH(Table_Process_Details[[#This Row],[Unique Inputs Sorted by '[Energy (MJ) per kg API']]],Table_Process_Details[Unique Process Inputs],0))</f>
        <v>6.0486317249331814</v>
      </c>
      <c r="EM23" s="22">
        <f ca="1">INDEX(Table_Process_Details[Total '[Energy (MJ) per kg API'] of Unique Inputs (METAL)], MATCH(Table_Process_Details[[#This Row],[Unique Inputs Sorted by '[Energy (MJ) per kg API']]],Table_Process_Details[Unique Process Inputs],0))</f>
        <v>0</v>
      </c>
      <c r="EN23" s="22">
        <f ca="1">INDEX(Table_Process_Details[Total '[Energy (MJ) per kg API'] of Unique Inputs (SOLVENT)], MATCH(Table_Process_Details[[#This Row],[Unique Inputs Sorted by '[Energy (MJ) per kg API']]],Table_Process_Details[Unique Process Inputs],0))</f>
        <v>0</v>
      </c>
      <c r="EO23" s="22">
        <f ca="1">INDEX(Table_Process_Details[Total '[Energy (MJ) per kg API'] of Unique Inputs (WATER)], MATCH(Table_Process_Details[[#This Row],[Unique Inputs Sorted by '[Energy (MJ) per kg API']]],Table_Process_Details[Unique Process Inputs],0))</f>
        <v>4.2443085442848486E-2</v>
      </c>
      <c r="EP23" s="22">
        <f ca="1">INDEX(Table_Process_Details[Total '[Energy (MJ) per kg API'] of Unique Inputs (ENZ&amp;PLNT)], MATCH(Table_Process_Details[[#This Row],[Unique Inputs Sorted by '[Energy (MJ) per kg API']]],Table_Process_Details[Unique Process Inputs],0))</f>
        <v>0</v>
      </c>
      <c r="EQ23" s="22">
        <f ca="1">INDEX(Table_Process_Details[Total '[Energy (MJ) per kg API'] of Unique Inputs (OTHER)], MATCH(Table_Process_Details[[#This Row],[Unique Inputs Sorted by '[Energy (MJ) per kg API']]],Table_Process_Details[Unique Process Inputs],0))</f>
        <v>0</v>
      </c>
      <c r="ER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0.18344850002595031</v>
      </c>
      <c r="ES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0.18344850002595031</v>
      </c>
      <c r="ET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3" s="22">
        <f ca="1">SUMIFS(Table_Process_Details[RV GWP (kg CO2 equiv.) per kg API],Table_Process_Details[Display Name],Table_Process_Details[[#This Row],[Unique Process Inputs]],Table_Process_Details[Input or Output],"Input")</f>
        <v>1.5016050101629685E-2</v>
      </c>
      <c r="EZ23" s="1">
        <f ca="1">SUMIFS(Table_Process_Details[RV GWP (kg CO2 equiv.) per kg API (REAGENT)],Table_Process_Details[Display Name],Table_Process_Details[[#This Row],[Unique Process Inputs]],Table_Process_Details[Input or Output],"Input")</f>
        <v>1.2205038856447005E-2</v>
      </c>
      <c r="FA23" s="1">
        <f ca="1">SUMIFS(Table_Process_Details[RV GWP (kg CO2 equiv.) per kg API (METAL)],Table_Process_Details[Display Name],Table_Process_Details[[#This Row],[Unique Process Inputs]],Table_Process_Details[Input or Output],"Input")</f>
        <v>2.8110112451826814E-3</v>
      </c>
      <c r="FB23" s="1">
        <f ca="1">SUMIFS(Table_Process_Details[RV GWP (kg CO2 equiv.) per kg API (SOLVENT)],Table_Process_Details[Display Name],Table_Process_Details[[#This Row],[Unique Process Inputs]],Table_Process_Details[Input or Output],"Input")</f>
        <v>0</v>
      </c>
      <c r="FC23" s="1">
        <f ca="1">SUMIFS(Table_Process_Details[RV GWP (kg CO2 equiv.) per kg API (WATER)],Table_Process_Details[Display Name],Table_Process_Details[[#This Row],[Unique Process Inputs]],Table_Process_Details[Input or Output],"Input")</f>
        <v>0</v>
      </c>
      <c r="FD23" s="1">
        <f ca="1">SUMIFS(Table_Process_Details[RV GWP (kg CO2 equiv.) per kg API (ENZ&amp;PLNT)],Table_Process_Details[Display Name],Table_Process_Details[[#This Row],[Unique Process Inputs]],Table_Process_Details[Input or Output],"Input")</f>
        <v>0</v>
      </c>
      <c r="FE23" s="1">
        <f ca="1">SUMIFS(Table_Process_Details[RV GWP (kg CO2 equiv.) per kg API (OTHER)],Table_Process_Details[Display Name],Table_Process_Details[[#This Row],[Unique Process Inputs]],Table_Process_Details[Input or Output],"Input")</f>
        <v>0</v>
      </c>
      <c r="FF23" s="22" t="str">
        <f ca="1">INDEX(Table_Process_Details[Unique Process Inputs],MATCH(Table_Process_Details[[#This Row],['[GWP (kg CO2 equiv.) per kg API'] of Unique Inputs Sorted by '[GWP (kg CO2 equiv.) per kg API']]],Table_Process_Details[Total '[GWP (kg CO2 equiv.) per kg API'] of Unique Inputs],0))</f>
        <v>reagent S (organic)</v>
      </c>
      <c r="FG23" s="22">
        <f ca="1">IF(LARGE(Table_Process_Details[Total '[GWP (kg CO2 equiv.) per kg API'] of Unique Inputs],Table_Process_Details[[#This Row],[Table Row]])=0,NA(),LARGE(Table_Process_Details[Total '[GWP (kg CO2 equiv.) per kg API'] of Unique Inputs],Table_Process_Details[[#This Row],[Table Row]]))</f>
        <v>0.36689700005169401</v>
      </c>
      <c r="FH23" s="22">
        <f ca="1">SUM(OFFSET(Table_Process_Details['[GWP (kg CO2 equiv.) per kg API'] of Unique Inputs Sorted by '[GWP (kg CO2 equiv.) per kg API']],0,0,Table_Process_Details[[#This Row],[Table Row]]))</f>
        <v>155.35265184145712</v>
      </c>
      <c r="FI23" s="22" t="str">
        <f ca="1">"("&amp;TEXT(Table_Process_Details[[#This Row],['[GWP (kg CO2 equiv.) per kg API'] of Unique Inputs Sorted by '[GWP (kg CO2 equiv.) per kg API']]]/SUMIF(Table_Process_Details['[GWP (kg CO2 equiv.) per kg API'] of Unique Inputs Sorted by '[GWP (kg CO2 equiv.) per kg API']],"&lt;&gt;#N/A"),"0%")&amp;")"</f>
        <v>(0%)</v>
      </c>
      <c r="FJ23" s="22">
        <f ca="1">INDEX(Table_Process_Details[Total '[GWP (kg CO2 equiv.) per kg API'] of Unique Inputs (REAGENT)], MATCH(Table_Process_Details[[#This Row],[Unique Inputs Sorted by '[GWP (kg CO2 equiv.) per kg API']]],Table_Process_Details[Unique Process Inputs],0))</f>
        <v>0.36689700005169401</v>
      </c>
      <c r="FK23" s="22">
        <f ca="1">INDEX(Table_Process_Details[Total '[GWP (kg CO2 equiv.) per kg API'] of Unique Inputs (METAL)], MATCH(Table_Process_Details[[#This Row],[Unique Inputs Sorted by '[GWP (kg CO2 equiv.) per kg API']]],Table_Process_Details[Unique Process Inputs],0))</f>
        <v>0</v>
      </c>
      <c r="FL23" s="22">
        <f ca="1">INDEX(Table_Process_Details[Total '[GWP (kg CO2 equiv.) per kg API'] of Unique Inputs (SOLVENT)], MATCH(Table_Process_Details[[#This Row],[Unique Inputs Sorted by '[GWP (kg CO2 equiv.) per kg API']]],Table_Process_Details[Unique Process Inputs],0))</f>
        <v>0</v>
      </c>
      <c r="FM23" s="22">
        <f ca="1">INDEX(Table_Process_Details[Total '[GWP (kg CO2 equiv.) per kg API'] of Unique Inputs (WATER)], MATCH(Table_Process_Details[[#This Row],[Unique Inputs Sorted by '[GWP (kg CO2 equiv.) per kg API']]],Table_Process_Details[Unique Process Inputs],0))</f>
        <v>0</v>
      </c>
      <c r="FN23" s="22">
        <f ca="1">INDEX(Table_Process_Details[Total '[GWP (kg CO2 equiv.) per kg API'] of Unique Inputs (ENZ&amp;PLNT)], MATCH(Table_Process_Details[[#This Row],[Unique Inputs Sorted by '[GWP (kg CO2 equiv.) per kg API']]],Table_Process_Details[Unique Process Inputs],0))</f>
        <v>0</v>
      </c>
      <c r="FO23" s="22">
        <f ca="1">INDEX(Table_Process_Details[Total '[GWP (kg CO2 equiv.) per kg API'] of Unique Inputs (OTHER)], MATCH(Table_Process_Details[[#This Row],[Unique Inputs Sorted by '[GWP (kg CO2 equiv.) per kg API']]],Table_Process_Details[Unique Process Inputs],0))</f>
        <v>0</v>
      </c>
      <c r="FP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7.8450716061536231E-4</v>
      </c>
      <c r="FQ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7.8450716061536231E-4</v>
      </c>
      <c r="FR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3" s="22">
        <f ca="1">SUMIFS(Table_Process_Details[RV Acidification (kg SO2 equiv.) per kg API],Table_Process_Details[Display Name],Table_Process_Details[[#This Row],[Unique Process Inputs]],Table_Process_Details[Input or Output],"Input")</f>
        <v>5.6372937748189655E-4</v>
      </c>
      <c r="FX23" s="1">
        <f ca="1">SUMIFS(Table_Process_Details[RV Acidification (kg SO2 equiv.) per kg API (REAGENT)],Table_Process_Details[Display Name],Table_Process_Details[[#This Row],[Unique Process Inputs]],Table_Process_Details[Input or Output],"Input")</f>
        <v>1.2245563743656227E-4</v>
      </c>
      <c r="FY23" s="1">
        <f ca="1">SUMIFS(Table_Process_Details[RV Acidification (kg SO2 equiv.) per kg API (METAL)],Table_Process_Details[Display Name],Table_Process_Details[[#This Row],[Unique Process Inputs]],Table_Process_Details[Input or Output],"Input")</f>
        <v>4.4127374004533426E-4</v>
      </c>
      <c r="FZ23" s="1">
        <f ca="1">SUMIFS(Table_Process_Details[RV Acidification (kg SO2 equiv.) per kg API (SOLVENT)],Table_Process_Details[Display Name],Table_Process_Details[[#This Row],[Unique Process Inputs]],Table_Process_Details[Input or Output],"Input")</f>
        <v>0</v>
      </c>
      <c r="GA23" s="1">
        <f ca="1">SUMIFS(Table_Process_Details[RV Acidification (kg SO2 equiv.) per kg API (WATER)],Table_Process_Details[Display Name],Table_Process_Details[[#This Row],[Unique Process Inputs]],Table_Process_Details[Input or Output],"Input")</f>
        <v>0</v>
      </c>
      <c r="GB23" s="1">
        <f ca="1">SUMIFS(Table_Process_Details[RV Acidification (kg SO2 equiv.) per kg API (ENZ&amp;PLNT)],Table_Process_Details[Display Name],Table_Process_Details[[#This Row],[Unique Process Inputs]],Table_Process_Details[Input or Output],"Input")</f>
        <v>0</v>
      </c>
      <c r="GC23" s="1">
        <f ca="1">SUMIFS(Table_Process_Details[RV Acidification (kg SO2 equiv.) per kg API (OTHER)],Table_Process_Details[Display Name],Table_Process_Details[[#This Row],[Unique Process Inputs]],Table_Process_Details[Input or Output],"Input")</f>
        <v>0</v>
      </c>
      <c r="GD23"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15 wt% reagent C (inorganic) in water</v>
      </c>
      <c r="GE23" s="22">
        <f ca="1">IF(LARGE(Table_Process_Details[Total '[Acidification (kg SO2 equiv.) per kg API'] of Unique Inputs],Table_Process_Details[[#This Row],[Table Row]])=0,NA(),LARGE(Table_Process_Details[Total '[Acidification (kg SO2 equiv.) per kg API'] of Unique Inputs],Table_Process_Details[[#This Row],[Table Row]]))</f>
        <v>2.3355976206214431E-3</v>
      </c>
      <c r="GF23" s="22">
        <f ca="1">SUM(OFFSET(Table_Process_Details['[Acidification (kg SO2 equiv.) per kg API'] of Unique Inputs Sorted by '[Acidification (kg SO2 equiv.) per kg API']],0,0,Table_Process_Details[[#This Row],[Table Row]]))</f>
        <v>0.64752274133534848</v>
      </c>
      <c r="GG23"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3" s="22">
        <f ca="1">INDEX(Table_Process_Details[Total '[Acidification (kg SO2 equiv.) per kg API'] of Unique Inputs (REAGENT)], MATCH(Table_Process_Details[[#This Row],[Unique Inputs Sorted by '[Acidification (kg SO2 equiv.) per kg API']]],Table_Process_Details[Unique Process Inputs],0))</f>
        <v>2.331898212576968E-3</v>
      </c>
      <c r="GI23" s="22">
        <f ca="1">INDEX(Table_Process_Details[Total '[Acidification (kg SO2 equiv.) per kg API'] of Unique Inputs (METAL)], MATCH(Table_Process_Details[[#This Row],[Unique Inputs Sorted by '[Acidification (kg SO2 equiv.) per kg API']]],Table_Process_Details[Unique Process Inputs],0))</f>
        <v>0</v>
      </c>
      <c r="GJ23" s="22">
        <f ca="1">INDEX(Table_Process_Details[Total '[Acidification (kg SO2 equiv.) per kg API'] of Unique Inputs (SOLVENT)], MATCH(Table_Process_Details[[#This Row],[Unique Inputs Sorted by '[Acidification (kg SO2 equiv.) per kg API']]],Table_Process_Details[Unique Process Inputs],0))</f>
        <v>0</v>
      </c>
      <c r="GK23" s="22">
        <f ca="1">INDEX(Table_Process_Details[Total '[Acidification (kg SO2 equiv.) per kg API'] of Unique Inputs (WATER)], MATCH(Table_Process_Details[[#This Row],[Unique Inputs Sorted by '[Acidification (kg SO2 equiv.) per kg API']]],Table_Process_Details[Unique Process Inputs],0))</f>
        <v>3.6994080444750759E-6</v>
      </c>
      <c r="GL23" s="22">
        <f ca="1">INDEX(Table_Process_Details[Total '[Acidification (kg SO2 equiv.) per kg API'] of Unique Inputs (ENZ&amp;PLNT)], MATCH(Table_Process_Details[[#This Row],[Unique Inputs Sorted by '[Acidification (kg SO2 equiv.) per kg API']]],Table_Process_Details[Unique Process Inputs],0))</f>
        <v>0</v>
      </c>
      <c r="GM23" s="22">
        <f ca="1">INDEX(Table_Process_Details[Total '[Acidification (kg SO2 equiv.) per kg API'] of Unique Inputs (OTHER)], MATCH(Table_Process_Details[[#This Row],[Unique Inputs Sorted by '[Acidification (kg SO2 equiv.) per kg API']]],Table_Process_Details[Unique Process Inputs],0))</f>
        <v>0</v>
      </c>
      <c r="GN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6.2816232433757864E-4</v>
      </c>
      <c r="GO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6.2816232433757864E-4</v>
      </c>
      <c r="GP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3" s="22">
        <f ca="1">SUMIFS(Table_Process_Details[RV Eutrophication (kg phosphate equiv.) per kg API],Table_Process_Details[Display Name],Table_Process_Details[[#This Row],[Unique Process Inputs]],Table_Process_Details[Input or Output],"Input")</f>
        <v>4.0960250009151139E-5</v>
      </c>
      <c r="GV23" s="1">
        <f ca="1">SUMIFS(Table_Process_Details[RV Eutrophication (kg phosphate equiv.) per kg API (REAGENT)],Table_Process_Details[Display Name],Table_Process_Details[[#This Row],[Unique Process Inputs]],Table_Process_Details[Input or Output],"Input")</f>
        <v>6.1668306622729204E-6</v>
      </c>
      <c r="GW23" s="1">
        <f ca="1">SUMIFS(Table_Process_Details[RV Eutrophication (kg phosphate equiv.) per kg API (METAL)],Table_Process_Details[Display Name],Table_Process_Details[[#This Row],[Unique Process Inputs]],Table_Process_Details[Input or Output],"Input")</f>
        <v>3.4793419346878223E-5</v>
      </c>
      <c r="GX23" s="1">
        <f ca="1">SUMIFS(Table_Process_Details[RV Eutrophication (kg phosphate equiv.) per kg API (SOLVENT)],Table_Process_Details[Display Name],Table_Process_Details[[#This Row],[Unique Process Inputs]],Table_Process_Details[Input or Output],"Input")</f>
        <v>0</v>
      </c>
      <c r="GY23" s="1">
        <f ca="1">SUMIFS(Table_Process_Details[RV Eutrophication (kg phosphate equiv.) per kg API (WATER)],Table_Process_Details[Display Name],Table_Process_Details[[#This Row],[Unique Process Inputs]],Table_Process_Details[Input or Output],"Input")</f>
        <v>0</v>
      </c>
      <c r="GZ23" s="1">
        <f ca="1">SUMIFS(Table_Process_Details[RV Eutrophication (kg phosphate equiv.) per kg API (ENZ&amp;PLNT)],Table_Process_Details[Display Name],Table_Process_Details[[#This Row],[Unique Process Inputs]],Table_Process_Details[Input or Output],"Input")</f>
        <v>0</v>
      </c>
      <c r="HA23" s="1">
        <f ca="1">SUMIFS(Table_Process_Details[RV Eutrophication (kg phosphate equiv.) per kg API (OTHER)],Table_Process_Details[Display Name],Table_Process_Details[[#This Row],[Unique Process Inputs]],Table_Process_Details[Input or Output],"Input")</f>
        <v>0</v>
      </c>
      <c r="HB23"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15 wt% reagent K (inorganic) in water</v>
      </c>
      <c r="HC23" s="22">
        <f ca="1">IF(LARGE(Table_Process_Details[Total '[Eutrophication (kg posphate equiv.) per kg API'] of Unique Inputs],Table_Process_Details[[#This Row],[Table Row]])=0,NA(),LARGE(Table_Process_Details[Total '[Eutrophication (kg posphate equiv.) per kg API'] of Unique Inputs],Table_Process_Details[[#This Row],[Table Row]]))</f>
        <v>5.8893619374197155E-4</v>
      </c>
      <c r="HD23" s="22">
        <f ca="1">SUM(OFFSET(Table_Process_Details['[Eutrophication (kg posphate equiv.) per kg API'] of Unique Inputs Sorted by '[Eutrophication (kg posphate equiv.) per kg API']],0,0,Table_Process_Details[[#This Row],[Table Row]]))</f>
        <v>1.3743204524585346</v>
      </c>
      <c r="HE23"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3" s="1">
        <f ca="1">INDEX(Table_Process_Details[Total '[Eutrophication (kg posphate equiv.) per kg API'] of Unique Inputs (REAGENT)], MATCH(Table_Process_Details[[#This Row],[Unique Inputs Sorted by '[Eutrophication (kg posphate equiv.) per kg API']]],Table_Process_Details[Unique Process Inputs],0))</f>
        <v>5.7808772251789363E-4</v>
      </c>
      <c r="HG23" s="1">
        <f ca="1">INDEX(Table_Process_Details[Total '[Eutrophication (kg posphate equiv.) per kg API'] of Unique Inputs (METAL)], MATCH(Table_Process_Details[[#This Row],[Unique Inputs Sorted by '[Eutrophication (kg posphate equiv.) per kg API']]],Table_Process_Details[Unique Process Inputs],0))</f>
        <v>0</v>
      </c>
      <c r="HH23" s="1">
        <f ca="1">INDEX(Table_Process_Details[Total '[Eutrophication (kg posphate equiv.) per kg API'] of Unique Inputs (SOLVENT)], MATCH(Table_Process_Details[[#This Row],[Unique Inputs Sorted by '[Eutrophication (kg posphate equiv.) per kg API']]],Table_Process_Details[Unique Process Inputs],0))</f>
        <v>0</v>
      </c>
      <c r="HI23" s="1">
        <f ca="1">INDEX(Table_Process_Details[Total '[Eutrophication (kg posphate equiv.) per kg API'] of Unique Inputs (WATER)], MATCH(Table_Process_Details[[#This Row],[Unique Inputs Sorted by '[Eutrophication (kg posphate equiv.) per kg API']]],Table_Process_Details[Unique Process Inputs],0))</f>
        <v>1.084847122407782E-5</v>
      </c>
      <c r="HJ23" s="1">
        <f ca="1">INDEX(Table_Process_Details[Total '[Eutrophication (kg posphate equiv.) per kg API'] of Unique Inputs (ENZ&amp;PLNT)], MATCH(Table_Process_Details[[#This Row],[Unique Inputs Sorted by '[Eutrophication (kg posphate equiv.) per kg API']]],Table_Process_Details[Unique Process Inputs],0))</f>
        <v>0</v>
      </c>
      <c r="HK23" s="1">
        <f ca="1">INDEX(Table_Process_Details[Total '[Eutrophication (kg posphate equiv.) per kg API'] of Unique Inputs (OTHER)], MATCH(Table_Process_Details[[#This Row],[Unique Inputs Sorted by '[Eutrophication (kg posphate equiv.) per kg API']]],Table_Process_Details[Unique Process Inputs],0))</f>
        <v>0</v>
      </c>
      <c r="HL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1.0272178828414495</v>
      </c>
      <c r="HM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1.0272178828414495</v>
      </c>
      <c r="HN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3" s="1">
        <f ca="1">SUMIFS(Table_Process_Details[RV Water (kg) per kg API],Table_Process_Details[Display Name],Table_Process_Details[[#This Row],[Unique Process Inputs]],Table_Process_Details[Input or Output],"Input")</f>
        <v>7.8677459320125293E-2</v>
      </c>
      <c r="HT23" s="1">
        <f ca="1">SUMIFS(Table_Process_Details[RV Water (kg) per kg API (REAGENT)],Table_Process_Details[Display Name],Table_Process_Details[[#This Row],[Unique Process Inputs]],Table_Process_Details[Input or Output],"Input")</f>
        <v>6.0895690838327294E-3</v>
      </c>
      <c r="HU23" s="1">
        <f ca="1">SUMIFS(Table_Process_Details[RV Water (kg) per kg API (METAL)],Table_Process_Details[Display Name],Table_Process_Details[[#This Row],[Unique Process Inputs]],Table_Process_Details[Input or Output],"Input")</f>
        <v>7.2587890236292571E-2</v>
      </c>
      <c r="HV23" s="1">
        <f ca="1">SUMIFS(Table_Process_Details[RV Water (kg) per kg API (SOLVENT)],Table_Process_Details[Display Name],Table_Process_Details[[#This Row],[Unique Process Inputs]],Table_Process_Details[Input or Output],"Input")</f>
        <v>0</v>
      </c>
      <c r="HW23" s="1">
        <f ca="1">SUMIFS(Table_Process_Details[RV Water (kg) per kg API (WATER)],Table_Process_Details[Display Name],Table_Process_Details[[#This Row],[Unique Process Inputs]],Table_Process_Details[Input or Output],"Input")</f>
        <v>0</v>
      </c>
      <c r="HX23" s="1">
        <f ca="1">SUMIFS(Table_Process_Details[RV Water (kg) per kg API (ENZ&amp;PLNT)],Table_Process_Details[Display Name],Table_Process_Details[[#This Row],[Unique Process Inputs]],Table_Process_Details[Input or Output],"Input")</f>
        <v>0</v>
      </c>
      <c r="HY23" s="1">
        <f ca="1">SUMIFS(Table_Process_Details[RV Water (kg) per kg API (OTHER)],Table_Process_Details[Display Name],Table_Process_Details[[#This Row],[Unique Process Inputs]],Table_Process_Details[Input or Output],"Input")</f>
        <v>0</v>
      </c>
      <c r="HZ23" s="22" t="str">
        <f ca="1">INDEX(Table_Process_Details[Unique Process Inputs],MATCH(Table_Process_Details[[#This Row],['[Water (kg) per kg API'] of Unique Inputs Sorted by '[Water (kg) per kg API']]],Table_Process_Details[Total '[Water (kg) per kg API'] of Unique Inputs],0))</f>
        <v>reagent O (organic)</v>
      </c>
      <c r="IA23" s="22">
        <f ca="1">IF(LARGE(Table_Process_Details[Total '[Water (kg) per kg API'] of Unique Inputs],Table_Process_Details[[#This Row],[Table Row]])=0,NA(),LARGE(Table_Process_Details[Total '[Water (kg) per kg API'] of Unique Inputs],Table_Process_Details[[#This Row],[Table Row]]))</f>
        <v>2.0544357656828991</v>
      </c>
      <c r="IB23" s="1">
        <f ca="1">SUM(OFFSET(Table_Process_Details['[Water (kg) per kg API'] of Unique Inputs Sorted by '[Water (kg) per kg API']],0,0,Table_Process_Details[[#This Row],[Table Row]]))</f>
        <v>880.3460327882749</v>
      </c>
      <c r="IC23" s="1" t="str">
        <f ca="1">"("&amp;TEXT(Table_Process_Details[[#This Row],['[Water (kg) per kg API'] of Unique Inputs Sorted by '[Water (kg) per kg API']]]/SUMIF(Table_Process_Details['[Water (kg) per kg API'] of Unique Inputs Sorted by '[Water (kg) per kg API']],"&lt;&gt;#N/A"),"0%")&amp;")"</f>
        <v>(0%)</v>
      </c>
      <c r="ID23" s="1">
        <f ca="1">INDEX(Table_Process_Details[Total '[Water (kg) per kg API'] of Unique Inputs (REAGENT)], MATCH(Table_Process_Details[[#This Row],[Unique Inputs Sorted by '[Water (kg) per kg API']]],Table_Process_Details[Unique Process Inputs],0))</f>
        <v>2.0544357656828991</v>
      </c>
      <c r="IE23" s="1">
        <f ca="1">INDEX(Table_Process_Details[Total '[Water (kg) per kg API'] of Unique Inputs (METAL)], MATCH(Table_Process_Details[[#This Row],[Unique Inputs Sorted by '[Water (kg) per kg API']]],Table_Process_Details[Unique Process Inputs],0))</f>
        <v>0</v>
      </c>
      <c r="IF23" s="1">
        <f ca="1">INDEX(Table_Process_Details[Total '[Water (kg) per kg API'] of Unique Inputs (SOLVENT)], MATCH(Table_Process_Details[[#This Row],[Unique Inputs Sorted by '[Water (kg) per kg API']]],Table_Process_Details[Unique Process Inputs],0))</f>
        <v>0</v>
      </c>
      <c r="IG23" s="1">
        <f ca="1">INDEX(Table_Process_Details[Total '[Water (kg) per kg API'] of Unique Inputs (WATER)], MATCH(Table_Process_Details[[#This Row],[Unique Inputs Sorted by '[Water (kg) per kg API']]],Table_Process_Details[Unique Process Inputs],0))</f>
        <v>0</v>
      </c>
      <c r="IH23" s="1">
        <f ca="1">INDEX(Table_Process_Details[Total '[Water (kg) per kg API'] of Unique Inputs (ENZ&amp;PLNT)], MATCH(Table_Process_Details[[#This Row],[Unique Inputs Sorted by '[Water (kg) per kg API']]],Table_Process_Details[Unique Process Inputs],0))</f>
        <v>0</v>
      </c>
      <c r="II23" s="1">
        <f ca="1">INDEX(Table_Process_Details[Total '[Water (kg) per kg API'] of Unique Inputs (OTHER)], MATCH(Table_Process_Details[[#This Row],[Unique Inputs Sorted by '[Water (kg) per kg API']]],Table_Process_Details[Unique Process Inputs],0))</f>
        <v>0</v>
      </c>
    </row>
    <row r="24" spans="1:243" customFormat="1" x14ac:dyDescent="0.25">
      <c r="A24" s="22" t="str">
        <f>A23</f>
        <v>1) Synthesis of Intermediate (1)</v>
      </c>
      <c r="B24" s="21" t="s">
        <v>4</v>
      </c>
      <c r="C24" s="21" t="s">
        <v>153</v>
      </c>
      <c r="D24" s="22" t="s">
        <v>156</v>
      </c>
      <c r="E24" s="22" t="s">
        <v>822</v>
      </c>
      <c r="F24" s="26">
        <v>20</v>
      </c>
      <c r="G24" s="26"/>
      <c r="H24" s="26"/>
      <c r="I24" s="26"/>
      <c r="J24" s="26" t="str">
        <f>INDEX(Process_Steps[Reference],MATCH(Table_Process_Details[[#This Row],[Step Name]],Process_Steps[Name],0))</f>
        <v>Reference Document  for Step 1</v>
      </c>
      <c r="K24" s="27" t="str">
        <f>INDEX(Process_Steps[Real or Virtual?],MATCH(Table_Process_Details[[#This Row],[Step Name]],Process_Steps[Name],0))</f>
        <v>Real</v>
      </c>
      <c r="L2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4" s="26">
        <f>INDEX(Table_Process_Details[Physical Mass (kg)],MATCH(1,INDEX(((Table_Process_Details[Step Name]=Table_Process_Details[[#This Row],[Step Name]])*(Table_Process_Details[Input or Output]="Output")),0),0))</f>
        <v>51.020408163265309</v>
      </c>
      <c r="O24" s="29">
        <f ca="1">INDEX(Process_Steps[Step Scale Factor for 1kg Packaged API],MATCH(Table_Process_Details[[#This Row],[Step Name]],Process_Steps[Name],0))</f>
        <v>6.9901025556863543E-3</v>
      </c>
      <c r="P2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6.166666666666667</v>
      </c>
      <c r="Q2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13.166666666666668</v>
      </c>
      <c r="R24" s="26">
        <f ca="1">_xlfn.SWITCH(Run_Reset_PNG,"Reset",Table_Process_Details[[#This Row],[X Init]],"Run",Table_Process_Details[[#This Row],[X Moved]],"Freeze",Table_Process_Details[[#This Row],[X Mover]])</f>
        <v>0.52648873128632934</v>
      </c>
      <c r="S24" s="26">
        <f ca="1">_xlfn.SWITCH(Run_Reset_PNG,"Reset",Table_Process_Details[[#This Row],[Y Init]],"Run",Table_Process_Details[[#This Row],[Y Moved]],"Freeze",Table_Process_Details[[#This Row],[Y Mover]])</f>
        <v>17.628095706767041</v>
      </c>
      <c r="T24" s="26" cm="1">
        <f t="array" aca="1" ref="T2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-1.3843154902094537</v>
      </c>
      <c r="U24" s="26" cm="1">
        <f t="array" aca="1" ref="U2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-9.2654311090978414</v>
      </c>
      <c r="V24" s="26" cm="1">
        <f t="array" aca="1" ref="V24" ca="1">SUM(--(SQRT((Table_Process_Details[[#This Row],[X Mover]]-Table_Process_Details[X Mover])^2+(Table_Process_Details[[#This Row],[Y Mover]]-Table_Process_Details[Y Mover])^2)&lt;Collision_Distance))</f>
        <v>23</v>
      </c>
      <c r="W24" s="26" cm="1">
        <f t="array" aca="1" ref="W2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3.1205665192195971E-2</v>
      </c>
      <c r="X24" s="26" cm="1">
        <f t="array" aca="1" ref="X2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0.46700567043412494</v>
      </c>
      <c r="Y24" s="26" cm="1">
        <f t="array" aca="1" ref="Y2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4" s="26">
        <f>0</f>
        <v>0</v>
      </c>
      <c r="AA24" s="26">
        <f>0</f>
        <v>0</v>
      </c>
      <c r="AB2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-0.26324436564316467</v>
      </c>
      <c r="AC24" s="26" cm="1">
        <f t="array" aca="1" ref="AC2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-8.8140478533835207</v>
      </c>
      <c r="AD24" s="26">
        <f>MIN(1,COUNTA(Table_Process_Details[[#This Row],[target x]]),COUNTA(Table_Process_Details[[#This Row],[target y]]))*COUNTA(Table_Process_Details[Step Name])</f>
        <v>98</v>
      </c>
      <c r="AE2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0.49482059947305984</v>
      </c>
      <c r="AF2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17.602317282560794</v>
      </c>
      <c r="AG2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4" s="26" cm="1">
        <f t="array" aca="1" ref="AH24" ca="1">INDEX(Table_Process_Details[X Mover],MATCH(1,INDEX((Table_Process_Details[Input or Output]="Output")*(Table_Process_Details[Step Name]=Table_Process_Details[[#This Row],[Step Name]])*(Table_Process_Details[[#This Row],[Input or Output]]="Input"),0),0))</f>
        <v>0.78891624628593393</v>
      </c>
      <c r="AI24" s="26" cm="1">
        <f t="array" aca="1" ref="AI24" ca="1">INDEX(Table_Process_Details[Y Mover],MATCH(1,INDEX((Table_Process_Details[Input or Output]="Output")*(Table_Process_Details[Step Name]=Table_Process_Details[[#This Row],[Step Name]])*(Table_Process_Details[[#This Row],[Input or Output]]="Input"),0),0))</f>
        <v>21.555431875630404</v>
      </c>
      <c r="AJ24" s="26">
        <f ca="1">SQRT((Table_Process_Details[[#This Row],[X End (To Node Center)]]-Table_Process_Details[[#This Row],[X Guide]])^2+(Table_Process_Details[[#This Row],[Y End (to Node Center)]]-Table_Process_Details[[#This Row],[Y Guide]])^2)</f>
        <v>3.9360942041433948</v>
      </c>
      <c r="AK24" s="26" t="e" cm="1">
        <f t="array" ref="AK24">INDEX(Table_Process_Details[X Mover],MATCH(1,INDEX((Table_Process_Details[Step Name]=Table_Process_Details[[#This Row],[LCA Data Source Subclass]])*(Table_Process_Details[Input or Output]="Output"),0)*(Table_Process_Details[[#This Row],[Input or Output]]="Input"),0))</f>
        <v>#N/A</v>
      </c>
      <c r="AL24" s="26" cm="1">
        <f t="array" aca="1" ref="AL24" ca="1">INDEX(Table_Process_Details[X Mover],MATCH(1,INDEX(((Table_Process_Details[Table Row]=Table_Process_Details[[#This Row],[Table Row]])*(1)),0)*(Table_Process_Details[[#This Row],[Input or Output]]="Input"),0))</f>
        <v>0.52648873128632934</v>
      </c>
      <c r="AM24" s="26" cm="1">
        <f t="array" aca="1" ref="AM24" ca="1">(Table_Process_Details[[#This Row],[X End (To Node Center)]]*Table_Process_Details[[#This Row],[r0]]-Table_Process_Details[[#This Row],[X End (To Node Center)]]*Arrow_Offset+Table_Process_Details[[#This Row],[X Guide]]*Arrow_Offset)/Table_Process_Details[[#This Row],[r0]]</f>
        <v>0.73557859705521045</v>
      </c>
      <c r="AN24" s="26" t="e">
        <f>IF(NOT(Table_Process_Details[[#This Row],[Display As]]="None"),Table_Process_Details[[#This Row],[X Start Prefilter]],NA())</f>
        <v>#N/A</v>
      </c>
      <c r="AO24" s="26">
        <f ca="1">IF(NOT(Table_Process_Details[[#This Row],[Display As]]="None"),Table_Process_Details[[#This Row],[X Guide Prefilter]],NA())</f>
        <v>0.52648873128632934</v>
      </c>
      <c r="AP24" s="26">
        <f ca="1">IF(NOT(Table_Process_Details[[#This Row],[Display As]]="None"),Table_Process_Details[[#This Row],[X End (to Stop Radius) Prefilter]],NA())</f>
        <v>0.73557859705521045</v>
      </c>
      <c r="AQ24" s="26" t="e">
        <f>NA()</f>
        <v>#N/A</v>
      </c>
      <c r="AR24" s="26" t="e" cm="1">
        <f t="array" ref="AR24">INDEX(Table_Process_Details[Y Mover],MATCH(1,INDEX((Table_Process_Details[Step Name]=Table_Process_Details[[#This Row],[LCA Data Source Subclass]])*(Table_Process_Details[Input or Output]="Output"),0)*(Table_Process_Details[[#This Row],[Input or Output]]="Input"),0))</f>
        <v>#N/A</v>
      </c>
      <c r="AS24" s="26" cm="1">
        <f t="array" aca="1" ref="AS24" ca="1">INDEX(Table_Process_Details[Y Mover],MATCH(1,INDEX(((Table_Process_Details[Table Row]=Table_Process_Details[[#This Row],[Table Row]])*(1)),0)*(Table_Process_Details[[#This Row],[Input or Output]]="Input"),0))</f>
        <v>17.628095706767041</v>
      </c>
      <c r="AT24" s="26" cm="1">
        <f t="array" aca="1" ref="AT24" ca="1">(Table_Process_Details[[#This Row],[Y Guide]]*Arrow_Offset-Table_Process_Details[[#This Row],[Y End (to Node Center)]]*Arrow_Offset+Table_Process_Details[[#This Row],[Y End (to Node Center)]]*Table_Process_Details[[#This Row],[r0]])/Table_Process_Details[[#This Row],[r0]]</f>
        <v>20.757211921498374</v>
      </c>
      <c r="AU24" s="26" t="e">
        <f>IF(NOT(Table_Process_Details[[#This Row],[Display As]]="None"),Table_Process_Details[[#This Row],[Y Start Prefilter]],NA())</f>
        <v>#N/A</v>
      </c>
      <c r="AV24" s="26">
        <f ca="1">IF(NOT(Table_Process_Details[[#This Row],[Display As]]="None"),Table_Process_Details[[#This Row],[Y Guide Prefilter]],NA())</f>
        <v>17.628095706767041</v>
      </c>
      <c r="AW24" s="26">
        <f ca="1">IF(NOT(Table_Process_Details[[#This Row],[Display As]]="None"),Table_Process_Details[[#This Row],[Y End (to Stop Radius) Prefilter]],NA())</f>
        <v>20.757211921498374</v>
      </c>
      <c r="AX24" s="26" t="e">
        <f>NA()</f>
        <v>#N/A</v>
      </c>
      <c r="AY24" s="26" t="e">
        <f>IF(Table_Process_Details[[#This Row],[Display As]]="Real Step",Table_Process_Details[[#This Row],[X Mover]],NA())</f>
        <v>#N/A</v>
      </c>
      <c r="AZ24" s="26" t="e">
        <f>IF(Table_Process_Details[[#This Row],[Display As]]="Real Step",Table_Process_Details[[#This Row],[Y Mover]],NA())</f>
        <v>#N/A</v>
      </c>
      <c r="BA24" s="26">
        <f ca="1">IF(Table_Process_Details[[#This Row],[Display As]]="Raw Material",Table_Process_Details[[#This Row],[X Mover]],NA())</f>
        <v>0.52648873128632934</v>
      </c>
      <c r="BB24" s="26">
        <f ca="1">IF(Table_Process_Details[[#This Row],[Display As]]="Raw Material",Table_Process_Details[[#This Row],[Y Mover]],NA())</f>
        <v>17.628095706767041</v>
      </c>
      <c r="BC24" s="26">
        <f ca="1">IF(OR(Table_Process_Details[[#This Row],[Display As]]="Real Step",Table_Process_Details[[#This Row],[Display As]]="Raw Material"),Table_Process_Details[[#This Row],[X Mover]],NA())</f>
        <v>0.52648873128632934</v>
      </c>
      <c r="BD24" s="26">
        <f ca="1">IF(OR(Table_Process_Details[[#This Row],[Display As]]="Real Step",Table_Process_Details[[#This Row],[Display As]]="Raw Material"),Table_Process_Details[[#This Row],[Y Mover]],NA())</f>
        <v>17.628095706767041</v>
      </c>
      <c r="BE24" s="22">
        <f>ROW()-ROW(Table_Process_Details[[#Headers],[Table Row]])</f>
        <v>20</v>
      </c>
      <c r="BF24" s="23" t="str" cm="1">
        <f t="array" aca="1" ref="BF24" ca="1">INDEX(Table_Process_Details[Display Name],MATCH(0,IF(Table_Process_Details[Input or Output]="Input",INDEX(COUNTIF(OFFSET(Table_Process_Details[[#Headers],[Unique Process Inputs]],0,0,Table_Process_Details[[#This Row],[Table Row]],1),Table_Process_Details[Display Name]),),""),0))</f>
        <v>20 wt% reagent D (organic) in DMF</v>
      </c>
      <c r="BG24" s="23">
        <f ca="1">Table_Process_Details[[#This Row],[Physical Mass (kg)]]*Table_Process_Details[[#This Row],[Step Scale Factor for 1kg Packaged API]]</f>
        <v>0.13980205111372709</v>
      </c>
      <c r="BH2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4" s="23">
        <f ca="1">MATCH(Table_Process_Details[[#This Row],[LCA Data Source Class]],INDIRECT(Table_Process_Details[[#This Row],[Input or Output]]),0)</f>
        <v>3</v>
      </c>
      <c r="BJ24" s="23">
        <f ca="1">MATCH(Table_Process_Details[[#This Row],[LCA Data Source Subclass]],INDIRECT(Table_Process_Details[[#This Row],[LCA Data Source Class]]&amp;"[Name]"),0)</f>
        <v>1</v>
      </c>
      <c r="BK24" s="23">
        <f ca="1">IFERROR(INDEX(INDIRECT(Table_Process_Details[[#This Row],[LCA Data Source Class]]&amp;"[Mass Net (kg)]"),MATCH(Table_Process_Details[[#This Row],[LCA Data Source Subclass]],INDIRECT(Table_Process_Details[[#This Row],[LCA Data Source Class]]&amp;"[Name]"),0)),0)</f>
        <v>2.0861208174193546</v>
      </c>
      <c r="BL24" s="23">
        <f ca="1">IFERROR(INDEX(INDIRECT(Table_Process_Details[[#This Row],[LCA Data Source Class]]&amp;"[Energy (MJ)]"),MATCH(Table_Process_Details[[#This Row],[LCA Data Source Subclass]],INDIRECT(Table_Process_Details[[#This Row],[LCA Data Source Class]]&amp;"[Name]"),0)),0)</f>
        <v>74.867288612903238</v>
      </c>
      <c r="BM24" s="23">
        <f ca="1">IFERROR(INDEX(INDIRECT(Table_Process_Details[[#This Row],[LCA Data Source Class]]&amp;"[GWP (kg CO2 equiv.)]"),MATCH(Table_Process_Details[[#This Row],[LCA Data Source Subclass]],INDIRECT(Table_Process_Details[[#This Row],[LCA Data Source Class]]&amp;"[Name]"),0)),0)</f>
        <v>2.6244035558064511</v>
      </c>
      <c r="BN24" s="23">
        <f ca="1">IFERROR(INDEX(INDIRECT(Table_Process_Details[[#This Row],[LCA Data Source Class]]&amp;"[Acidification (kg SO2 equiv.)]"),MATCH(Table_Process_Details[[#This Row],[LCA Data Source Subclass]],INDIRECT(Table_Process_Details[[#This Row],[LCA Data Source Class]]&amp;"[Name]"),0)),0)</f>
        <v>1.1223113743548388E-2</v>
      </c>
      <c r="BO24" s="23">
        <f ca="1">IFERROR(INDEX(INDIRECT(Table_Process_Details[[#This Row],[LCA Data Source Class]]&amp;"[Eutrophication (kg posphate equiv.)]"),MATCH(Table_Process_Details[[#This Row],[LCA Data Source Subclass]],INDIRECT(Table_Process_Details[[#This Row],[LCA Data Source Class]]&amp;"[Name]"),0)),0)</f>
        <v>8.9864536225806452E-3</v>
      </c>
      <c r="BP24" s="23">
        <f ca="1">IFERROR(INDEX(INDIRECT(Table_Process_Details[[#This Row],[LCA Data Source Class]]&amp;"[Water (kg)]"),MATCH(Table_Process_Details[[#This Row],[LCA Data Source Subclass]],INDIRECT(Table_Process_Details[[#This Row],[LCA Data Source Class]]&amp;"[Name]"),0)),0)</f>
        <v>14.695319198225807</v>
      </c>
      <c r="BQ24" s="27">
        <f ca="1">(Table_Process_Details[[#This Row],[Input or Output]]="Input")*(Table_Process_Details[[#This Row],[LCA Data Source Class]]&lt;&gt;"Process_Steps")*Table_Process_Details[[#This Row],[Scaled Physical Mass per kg API for All Inputs &amp; Outputs]]</f>
        <v>0.13980205111372709</v>
      </c>
      <c r="BR24" s="27">
        <f ca="1">(Table_Process_Details[[#This Row],[Material Class]]="REAGENT")*Table_Process_Details[[#This Row],[Physical Mass per kg API]]</f>
        <v>0.13980205111372709</v>
      </c>
      <c r="BS24" s="27">
        <f ca="1">(Table_Process_Details[[#This Row],[Material Class]]="METAL")*Table_Process_Details[[#This Row],[Physical Mass per kg API]]</f>
        <v>0</v>
      </c>
      <c r="BT24" s="27">
        <f ca="1">(Table_Process_Details[[#This Row],[Material Class]]="SOLVENT")*Table_Process_Details[[#This Row],[Physical Mass per kg API]]</f>
        <v>0</v>
      </c>
      <c r="BU24" s="27">
        <f ca="1">(Table_Process_Details[[#This Row],[Material Class]]="WATER")*Table_Process_Details[[#This Row],[Physical Mass per kg API]]</f>
        <v>0</v>
      </c>
      <c r="BV24" s="27">
        <f ca="1">(Table_Process_Details[[#This Row],[Material Class]]="ENZ&amp;PLNT")*Table_Process_Details[[#This Row],[Physical Mass per kg API]]</f>
        <v>0</v>
      </c>
      <c r="BW24" s="27">
        <f ca="1">(Table_Process_Details[[#This Row],[Material Class]]="OTHER")*Table_Process_Details[[#This Row],[Physical Mass per kg API]]</f>
        <v>0</v>
      </c>
      <c r="BX2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0.13980205111372709</v>
      </c>
      <c r="BY2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0.13980205111372709</v>
      </c>
      <c r="BZ2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4" s="1">
        <f ca="1">SUMIFS(Table_Process_Details[RV Physical Mass per kg API],Table_Process_Details[Display Name],Table_Process_Details[[#This Row],[Unique Process Inputs]],Table_Process_Details[Input or Output],"Input")</f>
        <v>0</v>
      </c>
      <c r="CF24" s="1">
        <f ca="1">SUMIFS(Table_Process_Details[RV Physical Mass per kg API (REAGENT)],Table_Process_Details[Display Name],Table_Process_Details[[#This Row],[Unique Process Inputs]],Table_Process_Details[Input or Output],"Input")</f>
        <v>0</v>
      </c>
      <c r="CG24" s="1">
        <f ca="1">SUMIFS(Table_Process_Details[RV Physical Mass per kg API (METAL)],Table_Process_Details[Display Name],Table_Process_Details[[#This Row],[Unique Process Inputs]],Table_Process_Details[Input or Output],"Input")</f>
        <v>0</v>
      </c>
      <c r="CH24" s="1">
        <f ca="1">SUMIFS(Table_Process_Details[RV Physical Mass per kg API (SOLVENT)],Table_Process_Details[Display Name],Table_Process_Details[[#This Row],[Unique Process Inputs]],Table_Process_Details[Input or Output],"Input")</f>
        <v>0</v>
      </c>
      <c r="CI24" s="1">
        <f ca="1">SUMIFS(Table_Process_Details[RV Physical Mass per kg API (WATER)],Table_Process_Details[Display Name],Table_Process_Details[[#This Row],[Unique Process Inputs]],Table_Process_Details[Input or Output],"Input")</f>
        <v>0</v>
      </c>
      <c r="CJ24" s="1">
        <f ca="1">SUMIFS(Table_Process_Details[RV Physical Mass per kg API (ENZ&amp;PLNT)],Table_Process_Details[Display Name],Table_Process_Details[[#This Row],[Unique Process Inputs]],Table_Process_Details[Input or Output],"Input")</f>
        <v>0</v>
      </c>
      <c r="CK24" s="1">
        <f ca="1">SUMIFS(Table_Process_Details[RV Physical Mass per kg API (OTHER)],Table_Process_Details[Display Name],Table_Process_Details[[#This Row],[Unique Process Inputs]],Table_Process_Details[Input or Output],"Input")</f>
        <v>0</v>
      </c>
      <c r="CL24" s="22" t="str">
        <f ca="1">INDEX(Table_Process_Details[Unique Process Inputs],MATCH(Table_Process_Details[[#This Row],['[Physical Mass per kg API'] of Unique Inputs Sorted by '[Physical Mass per kg API']]],Table_Process_Details[Total '[Physical Mass per kg API'] of Unique Inputs],0))</f>
        <v>reagent V (organic)</v>
      </c>
      <c r="CM24" s="22">
        <f ca="1">IF(LARGE(Table_Process_Details[Total '[Physical Mass per kg API'] of Unique Inputs],Table_Process_Details[[#This Row],[Table Row]])=0,NA(),LARGE(Table_Process_Details[Total '[Physical Mass per kg API'] of Unique Inputs],Table_Process_Details[[#This Row],[Table Row]]))</f>
        <v>0.8</v>
      </c>
      <c r="CN24" s="22">
        <f ca="1">SUM(OFFSET(Table_Process_Details['[Physical Mass per kg API'] of Unique Inputs Sorted by '[Physical Mass per kg API']],0,0,Table_Process_Details[[#This Row],[Table Row]]))</f>
        <v>145.40625278347642</v>
      </c>
      <c r="CO24" s="22" t="str">
        <f ca="1">"("&amp;TEXT(Table_Process_Details[[#This Row],['[Physical Mass per kg API'] of Unique Inputs Sorted by '[Physical Mass per kg API']]]/SUMIF(Table_Process_Details['[Physical Mass per kg API'] of Unique Inputs Sorted by '[Physical Mass per kg API']],"&lt;&gt;#N/A"),"0%")&amp;")"</f>
        <v>(1%)</v>
      </c>
      <c r="CP24" s="22">
        <f ca="1">INDEX(Table_Process_Details[Total '[Physical Mass per kg API'] of Unique Inputs (REAGENT)],MATCH(Table_Process_Details[[#This Row],[Unique Inputs Sorted by '[Physical Mass per kg API']]],Table_Process_Details[Unique Process Inputs],0))</f>
        <v>0.8</v>
      </c>
      <c r="CQ24" s="22">
        <f ca="1">INDEX(Table_Process_Details[Total '[Physical Mass per kg API'] of Unique Inputs (METAL)],MATCH(Table_Process_Details[[#This Row],[Unique Inputs Sorted by '[Physical Mass per kg API']]],Table_Process_Details[Unique Process Inputs],0))</f>
        <v>0</v>
      </c>
      <c r="CR24" s="22">
        <f ca="1">INDEX(Table_Process_Details[Total '[Physical Mass per kg API'] of Unique Inputs (SOLVENT)],MATCH(Table_Process_Details[[#This Row],[Unique Inputs Sorted by '[Physical Mass per kg API']]],Table_Process_Details[Unique Process Inputs],0))</f>
        <v>0</v>
      </c>
      <c r="CS24" s="22">
        <f ca="1">INDEX(Table_Process_Details[Total '[Physical Mass per kg API'] of Unique Inputs (WATER)],MATCH(Table_Process_Details[[#This Row],[Unique Inputs Sorted by '[Physical Mass per kg API']]],Table_Process_Details[Unique Process Inputs],0))</f>
        <v>0</v>
      </c>
      <c r="CT24" s="22">
        <f ca="1">INDEX(Table_Process_Details[Total '[Physical Mass per kg API'] of Unique Inputs (ENZ&amp;PLNT)],MATCH(Table_Process_Details[[#This Row],[Unique Inputs Sorted by '[Physical Mass per kg API']]],Table_Process_Details[Unique Process Inputs],0))</f>
        <v>0</v>
      </c>
      <c r="CU24" s="22">
        <f ca="1">INDEX(Table_Process_Details[Total '[Physical Mass per kg API'] of Unique Inputs (OTHER)],MATCH(Table_Process_Details[[#This Row],[Unique Inputs Sorted by '[Physical Mass per kg API']]],Table_Process_Details[Unique Process Inputs],0))</f>
        <v>0</v>
      </c>
      <c r="CV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0.29164396914627078</v>
      </c>
      <c r="CW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0.29164396914627078</v>
      </c>
      <c r="CX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4" s="22">
        <f ca="1">SUMIFS(Table_Process_Details[RV Mass Net (kg) per kg API],Table_Process_Details[Display Name],Table_Process_Details[[#This Row],[Unique Process Inputs]],Table_Process_Details[Input or Output],"Input")</f>
        <v>0</v>
      </c>
      <c r="DD24" s="22">
        <f ca="1">SUMIFS(Table_Process_Details[RV Mass Net (kg) per kg API (REAGENT)],Table_Process_Details[Display Name],Table_Process_Details[[#This Row],[Unique Process Inputs]],Table_Process_Details[Input or Output],"Input")</f>
        <v>0</v>
      </c>
      <c r="DE24" s="22">
        <f ca="1">SUMIFS(Table_Process_Details[RV Mass Net (kg) per kg API (METAL)],Table_Process_Details[Display Name],Table_Process_Details[[#This Row],[Unique Process Inputs]],Table_Process_Details[Input or Output],"Input")</f>
        <v>0</v>
      </c>
      <c r="DF24" s="22">
        <f ca="1">SUMIFS(Table_Process_Details[RV Mass Net (kg) per kg API (SOLVENT)],Table_Process_Details[Display Name],Table_Process_Details[[#This Row],[Unique Process Inputs]],Table_Process_Details[Input or Output],"Input")</f>
        <v>0</v>
      </c>
      <c r="DG24" s="22">
        <f ca="1">SUMIFS(Table_Process_Details[RV Mass Net (kg) per kg API (WATER)],Table_Process_Details[Display Name],Table_Process_Details[[#This Row],[Unique Process Inputs]],Table_Process_Details[Input or Output],"Input")</f>
        <v>0</v>
      </c>
      <c r="DH24" s="22">
        <f ca="1">SUMIFS(Table_Process_Details[RV Mass Net (kg) per kg API (ENZ&amp;PLNT)],Table_Process_Details[Display Name],Table_Process_Details[[#This Row],[Unique Process Inputs]],Table_Process_Details[Input or Output],"Input")</f>
        <v>0</v>
      </c>
      <c r="DI24" s="22">
        <f ca="1">SUMIFS(Table_Process_Details[RV Mass Net (kg) per kg API (OTHER)],Table_Process_Details[Display Name],Table_Process_Details[[#This Row],[Unique Process Inputs]],Table_Process_Details[Input or Output],"Input")</f>
        <v>0</v>
      </c>
      <c r="DJ24" s="22" t="str">
        <f ca="1">INDEX(Table_Process_Details[Unique Process Inputs],MATCH(Table_Process_Details[[#This Row],['[Mass Net (kg) per kg API'] of Unique Inputs Sorted by '[Mass Net (kg) per kg API']]],Table_Process_Details[Total '[Mass Net (kg) per kg API'] of Unique Inputs],0))</f>
        <v>30 wt% reagent F (inorganic) in water</v>
      </c>
      <c r="DK24" s="22">
        <f ca="1">IF(LARGE(Table_Process_Details[Total '[Mass Net (kg) per kg API'] of Unique Inputs],Table_Process_Details[[#This Row],[Table Row]])=0,NA(),LARGE(Table_Process_Details[Total '[Mass Net (kg) per kg API'] of Unique Inputs],Table_Process_Details[[#This Row],[Table Row]]))</f>
        <v>0.25623441786289586</v>
      </c>
      <c r="DL24" s="22">
        <f ca="1">SUM(OFFSET(Table_Process_Details['[Mass Net (kg) per kg API'] of Unique Inputs Sorted by '[Mass Net (kg) per kg API']],0,0,Table_Process_Details[[#This Row],[Table Row]]))</f>
        <v>126.28119941907245</v>
      </c>
      <c r="DM24" s="22" t="str">
        <f ca="1">"("&amp;TEXT(Table_Process_Details[[#This Row],['[Mass Net (kg) per kg API'] of Unique Inputs Sorted by '[Mass Net (kg) per kg API']]]/SUMIF(Table_Process_Details['[Mass Net (kg) per kg API'] of Unique Inputs Sorted by '[Mass Net (kg) per kg API']],"&lt;&gt;#N/A"),"0%")&amp;")"</f>
        <v>(0%)</v>
      </c>
      <c r="DN24" s="22">
        <f ca="1">INDEX(Table_Process_Details[Total '[Mass Net (kg) per kg API'] of Unique Inputs (REAGENT)], MATCH(Table_Process_Details[[#This Row],[Unique Inputs Sorted by '[Mass Net (kg) per kg API']]],Table_Process_Details[Unique Process Inputs],0))</f>
        <v>0.25545647521675752</v>
      </c>
      <c r="DO24" s="22">
        <f ca="1">INDEX(Table_Process_Details[Total '[Mass Net (kg) per kg API'] of Unique Inputs (METAL)], MATCH(Table_Process_Details[[#This Row],[Unique Inputs Sorted by '[Mass Net (kg) per kg API']]],Table_Process_Details[Unique Process Inputs],0))</f>
        <v>0</v>
      </c>
      <c r="DP24" s="22">
        <f ca="1">INDEX(Table_Process_Details[Total '[Mass Net (kg) per kg API'] of Unique Inputs (SOLVENT)], MATCH(Table_Process_Details[[#This Row],[Unique Inputs Sorted by '[Mass Net (kg) per kg API']]],Table_Process_Details[Unique Process Inputs],0))</f>
        <v>0</v>
      </c>
      <c r="DQ24" s="22">
        <f ca="1">INDEX(Table_Process_Details[Total '[Mass Net (kg) per kg API'] of Unique Inputs (WATER)], MATCH(Table_Process_Details[[#This Row],[Unique Inputs Sorted by '[Mass Net (kg) per kg API']]],Table_Process_Details[Unique Process Inputs],0))</f>
        <v>7.779426461383363E-4</v>
      </c>
      <c r="DR24" s="22">
        <f ca="1">INDEX(Table_Process_Details[Total '[Mass Net (kg) per kg API'] of Unique Inputs (ENZ&amp;PLNT)], MATCH(Table_Process_Details[[#This Row],[Unique Inputs Sorted by '[Mass Net (kg) per kg API']]],Table_Process_Details[Unique Process Inputs],0))</f>
        <v>0</v>
      </c>
      <c r="DS24" s="22">
        <f ca="1">INDEX(Table_Process_Details[Total '[Mass Net (kg) per kg API'] of Unique Inputs (OTHER)], MATCH(Table_Process_Details[[#This Row],[Unique Inputs Sorted by '[Mass Net (kg) per kg API']]],Table_Process_Details[Unique Process Inputs],0))</f>
        <v>0</v>
      </c>
      <c r="DT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10.466600509407257</v>
      </c>
      <c r="DU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10.466600509407257</v>
      </c>
      <c r="DV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4" s="1">
        <f ca="1">SUMIFS(Table_Process_Details[RV Energy (MJ) per kg API],Table_Process_Details[Display Name],Table_Process_Details[[#This Row],[Unique Process Inputs]],Table_Process_Details[Input or Output],"Input")</f>
        <v>0</v>
      </c>
      <c r="EB24" s="1">
        <f ca="1">SUMIFS(Table_Process_Details[RV Energy (MJ) per kg API (REAGENT)],Table_Process_Details[Display Name],Table_Process_Details[[#This Row],[Unique Process Inputs]],Table_Process_Details[Input or Output],"Input")</f>
        <v>0</v>
      </c>
      <c r="EC24" s="1">
        <f ca="1">SUMIFS(Table_Process_Details[RV Energy (MJ) per kg API (METAL)],Table_Process_Details[Display Name],Table_Process_Details[[#This Row],[Unique Process Inputs]],Table_Process_Details[Input or Output],"Input")</f>
        <v>0</v>
      </c>
      <c r="ED24" s="1">
        <f ca="1">SUMIFS(Table_Process_Details[RV Energy (MJ) per kg API (SOLVENT)],Table_Process_Details[Display Name],Table_Process_Details[[#This Row],[Unique Process Inputs]],Table_Process_Details[Input or Output],"Input")</f>
        <v>0</v>
      </c>
      <c r="EE24" s="1">
        <f ca="1">SUMIFS(Table_Process_Details[RV Energy (MJ) per kg API (WATER)],Table_Process_Details[Display Name],Table_Process_Details[[#This Row],[Unique Process Inputs]],Table_Process_Details[Input or Output],"Input")</f>
        <v>0</v>
      </c>
      <c r="EF24" s="1">
        <f ca="1">SUMIFS(Table_Process_Details[RV Energy (MJ) per kg API (ENZ&amp;PLNT)],Table_Process_Details[Display Name],Table_Process_Details[[#This Row],[Unique Process Inputs]],Table_Process_Details[Input or Output],"Input")</f>
        <v>0</v>
      </c>
      <c r="EG24" s="1">
        <f ca="1">SUMIFS(Table_Process_Details[RV Energy (MJ) per kg API (OTHER)],Table_Process_Details[Display Name],Table_Process_Details[[#This Row],[Unique Process Inputs]],Table_Process_Details[Input or Output],"Input")</f>
        <v>0</v>
      </c>
      <c r="EH24" s="1" t="str">
        <f ca="1">INDEX(Table_Process_Details[Unique Process Inputs],MATCH(Table_Process_Details[[#This Row],['[Energy (MJ) per kg API'] of Unique Inputs Sorted by '[Energy (MJ) per kg API']]],Table_Process_Details[Total '[Energy (MJ) per kg API'] of Unique Inputs],0))</f>
        <v>reagent N (organic)</v>
      </c>
      <c r="EI24" s="22">
        <f ca="1">IF(LARGE(Table_Process_Details[Total '[Energy (MJ) per kg API'] of Unique Inputs],Table_Process_Details[[#This Row],[Table Row]])=0,NA(),LARGE(Table_Process_Details[Total '[Energy (MJ) per kg API'] of Unique Inputs],Table_Process_Details[[#This Row],[Table Row]]))</f>
        <v>5.2333002547036287</v>
      </c>
      <c r="EJ24" s="22">
        <f ca="1">SUM(OFFSET(Table_Process_Details['[Energy (MJ) per kg API'] of Unique Inputs Sorted by '[Energy (MJ) per kg API']],0,0,Table_Process_Details[[#This Row],[Table Row]]))</f>
        <v>5053.2394247333659</v>
      </c>
      <c r="EK24" s="22" t="str">
        <f ca="1">"("&amp;TEXT(Table_Process_Details[[#This Row],['[Energy (MJ) per kg API'] of Unique Inputs Sorted by '[Energy (MJ) per kg API']]]/SUMIF(Table_Process_Details['[Energy (MJ) per kg API'] of Unique Inputs Sorted by '[Energy (MJ) per kg API']],"&lt;&gt;#N/A"),"0%")&amp;")"</f>
        <v>(0%)</v>
      </c>
      <c r="EL24" s="22">
        <f ca="1">INDEX(Table_Process_Details[Total '[Energy (MJ) per kg API'] of Unique Inputs (REAGENT)], MATCH(Table_Process_Details[[#This Row],[Unique Inputs Sorted by '[Energy (MJ) per kg API']]],Table_Process_Details[Unique Process Inputs],0))</f>
        <v>5.2333002547036287</v>
      </c>
      <c r="EM24" s="22">
        <f ca="1">INDEX(Table_Process_Details[Total '[Energy (MJ) per kg API'] of Unique Inputs (METAL)], MATCH(Table_Process_Details[[#This Row],[Unique Inputs Sorted by '[Energy (MJ) per kg API']]],Table_Process_Details[Unique Process Inputs],0))</f>
        <v>0</v>
      </c>
      <c r="EN24" s="22">
        <f ca="1">INDEX(Table_Process_Details[Total '[Energy (MJ) per kg API'] of Unique Inputs (SOLVENT)], MATCH(Table_Process_Details[[#This Row],[Unique Inputs Sorted by '[Energy (MJ) per kg API']]],Table_Process_Details[Unique Process Inputs],0))</f>
        <v>0</v>
      </c>
      <c r="EO24" s="22">
        <f ca="1">INDEX(Table_Process_Details[Total '[Energy (MJ) per kg API'] of Unique Inputs (WATER)], MATCH(Table_Process_Details[[#This Row],[Unique Inputs Sorted by '[Energy (MJ) per kg API']]],Table_Process_Details[Unique Process Inputs],0))</f>
        <v>0</v>
      </c>
      <c r="EP24" s="22">
        <f ca="1">INDEX(Table_Process_Details[Total '[Energy (MJ) per kg API'] of Unique Inputs (ENZ&amp;PLNT)], MATCH(Table_Process_Details[[#This Row],[Unique Inputs Sorted by '[Energy (MJ) per kg API']]],Table_Process_Details[Unique Process Inputs],0))</f>
        <v>0</v>
      </c>
      <c r="EQ24" s="22">
        <f ca="1">INDEX(Table_Process_Details[Total '[Energy (MJ) per kg API'] of Unique Inputs (OTHER)], MATCH(Table_Process_Details[[#This Row],[Unique Inputs Sorted by '[Energy (MJ) per kg API']]],Table_Process_Details[Unique Process Inputs],0))</f>
        <v>0</v>
      </c>
      <c r="ER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0.36689700005190062</v>
      </c>
      <c r="ES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0.36689700005190062</v>
      </c>
      <c r="ET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4" s="22">
        <f ca="1">SUMIFS(Table_Process_Details[RV GWP (kg CO2 equiv.) per kg API],Table_Process_Details[Display Name],Table_Process_Details[[#This Row],[Unique Process Inputs]],Table_Process_Details[Input or Output],"Input")</f>
        <v>0</v>
      </c>
      <c r="EZ24" s="1">
        <f ca="1">SUMIFS(Table_Process_Details[RV GWP (kg CO2 equiv.) per kg API (REAGENT)],Table_Process_Details[Display Name],Table_Process_Details[[#This Row],[Unique Process Inputs]],Table_Process_Details[Input or Output],"Input")</f>
        <v>0</v>
      </c>
      <c r="FA24" s="1">
        <f ca="1">SUMIFS(Table_Process_Details[RV GWP (kg CO2 equiv.) per kg API (METAL)],Table_Process_Details[Display Name],Table_Process_Details[[#This Row],[Unique Process Inputs]],Table_Process_Details[Input or Output],"Input")</f>
        <v>0</v>
      </c>
      <c r="FB24" s="1">
        <f ca="1">SUMIFS(Table_Process_Details[RV GWP (kg CO2 equiv.) per kg API (SOLVENT)],Table_Process_Details[Display Name],Table_Process_Details[[#This Row],[Unique Process Inputs]],Table_Process_Details[Input or Output],"Input")</f>
        <v>0</v>
      </c>
      <c r="FC24" s="1">
        <f ca="1">SUMIFS(Table_Process_Details[RV GWP (kg CO2 equiv.) per kg API (WATER)],Table_Process_Details[Display Name],Table_Process_Details[[#This Row],[Unique Process Inputs]],Table_Process_Details[Input or Output],"Input")</f>
        <v>0</v>
      </c>
      <c r="FD24" s="1">
        <f ca="1">SUMIFS(Table_Process_Details[RV GWP (kg CO2 equiv.) per kg API (ENZ&amp;PLNT)],Table_Process_Details[Display Name],Table_Process_Details[[#This Row],[Unique Process Inputs]],Table_Process_Details[Input or Output],"Input")</f>
        <v>0</v>
      </c>
      <c r="FE24" s="1">
        <f ca="1">SUMIFS(Table_Process_Details[RV GWP (kg CO2 equiv.) per kg API (OTHER)],Table_Process_Details[Display Name],Table_Process_Details[[#This Row],[Unique Process Inputs]],Table_Process_Details[Input or Output],"Input")</f>
        <v>0</v>
      </c>
      <c r="FF24" s="22" t="str">
        <f ca="1">INDEX(Table_Process_Details[Unique Process Inputs],MATCH(Table_Process_Details[[#This Row],['[GWP (kg CO2 equiv.) per kg API'] of Unique Inputs Sorted by '[GWP (kg CO2 equiv.) per kg API']]],Table_Process_Details[Total '[GWP (kg CO2 equiv.) per kg API'] of Unique Inputs],0))</f>
        <v>30 wt% reagent F (inorganic) in water</v>
      </c>
      <c r="FG24" s="22">
        <f ca="1">IF(LARGE(Table_Process_Details[Total '[GWP (kg CO2 equiv.) per kg API'] of Unique Inputs],Table_Process_Details[[#This Row],[Table Row]])=0,NA(),LARGE(Table_Process_Details[Total '[GWP (kg CO2 equiv.) per kg API'] of Unique Inputs],Table_Process_Details[[#This Row],[Table Row]]))</f>
        <v>0.26462786698116531</v>
      </c>
      <c r="FH24" s="22">
        <f ca="1">SUM(OFFSET(Table_Process_Details['[GWP (kg CO2 equiv.) per kg API'] of Unique Inputs Sorted by '[GWP (kg CO2 equiv.) per kg API']],0,0,Table_Process_Details[[#This Row],[Table Row]]))</f>
        <v>155.61727970843828</v>
      </c>
      <c r="FI24" s="22" t="str">
        <f ca="1">"("&amp;TEXT(Table_Process_Details[[#This Row],['[GWP (kg CO2 equiv.) per kg API'] of Unique Inputs Sorted by '[GWP (kg CO2 equiv.) per kg API']]]/SUMIF(Table_Process_Details['[GWP (kg CO2 equiv.) per kg API'] of Unique Inputs Sorted by '[GWP (kg CO2 equiv.) per kg API']],"&lt;&gt;#N/A"),"0%")&amp;")"</f>
        <v>(0%)</v>
      </c>
      <c r="FJ24" s="22">
        <f ca="1">INDEX(Table_Process_Details[Total '[GWP (kg CO2 equiv.) per kg API'] of Unique Inputs (REAGENT)], MATCH(Table_Process_Details[[#This Row],[Unique Inputs Sorted by '[GWP (kg CO2 equiv.) per kg API']]],Table_Process_Details[Unique Process Inputs],0))</f>
        <v>0.26411149310842974</v>
      </c>
      <c r="FK24" s="22">
        <f ca="1">INDEX(Table_Process_Details[Total '[GWP (kg CO2 equiv.) per kg API'] of Unique Inputs (METAL)], MATCH(Table_Process_Details[[#This Row],[Unique Inputs Sorted by '[GWP (kg CO2 equiv.) per kg API']]],Table_Process_Details[Unique Process Inputs],0))</f>
        <v>0</v>
      </c>
      <c r="FL24" s="22">
        <f ca="1">INDEX(Table_Process_Details[Total '[GWP (kg CO2 equiv.) per kg API'] of Unique Inputs (SOLVENT)], MATCH(Table_Process_Details[[#This Row],[Unique Inputs Sorted by '[GWP (kg CO2 equiv.) per kg API']]],Table_Process_Details[Unique Process Inputs],0))</f>
        <v>0</v>
      </c>
      <c r="FM24" s="22">
        <f ca="1">INDEX(Table_Process_Details[Total '[GWP (kg CO2 equiv.) per kg API'] of Unique Inputs (WATER)], MATCH(Table_Process_Details[[#This Row],[Unique Inputs Sorted by '[GWP (kg CO2 equiv.) per kg API']]],Table_Process_Details[Unique Process Inputs],0))</f>
        <v>5.1637387273556165E-4</v>
      </c>
      <c r="FN24" s="22">
        <f ca="1">INDEX(Table_Process_Details[Total '[GWP (kg CO2 equiv.) per kg API'] of Unique Inputs (ENZ&amp;PLNT)], MATCH(Table_Process_Details[[#This Row],[Unique Inputs Sorted by '[GWP (kg CO2 equiv.) per kg API']]],Table_Process_Details[Unique Process Inputs],0))</f>
        <v>0</v>
      </c>
      <c r="FO24" s="22">
        <f ca="1">INDEX(Table_Process_Details[Total '[GWP (kg CO2 equiv.) per kg API'] of Unique Inputs (OTHER)], MATCH(Table_Process_Details[[#This Row],[Unique Inputs Sorted by '[GWP (kg CO2 equiv.) per kg API']]],Table_Process_Details[Unique Process Inputs],0))</f>
        <v>0</v>
      </c>
      <c r="FP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1.5690143212307246E-3</v>
      </c>
      <c r="FQ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1.5690143212307246E-3</v>
      </c>
      <c r="FR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4" s="22">
        <f ca="1">SUMIFS(Table_Process_Details[RV Acidification (kg SO2 equiv.) per kg API],Table_Process_Details[Display Name],Table_Process_Details[[#This Row],[Unique Process Inputs]],Table_Process_Details[Input or Output],"Input")</f>
        <v>0</v>
      </c>
      <c r="FX24" s="1">
        <f ca="1">SUMIFS(Table_Process_Details[RV Acidification (kg SO2 equiv.) per kg API (REAGENT)],Table_Process_Details[Display Name],Table_Process_Details[[#This Row],[Unique Process Inputs]],Table_Process_Details[Input or Output],"Input")</f>
        <v>0</v>
      </c>
      <c r="FY24" s="1">
        <f ca="1">SUMIFS(Table_Process_Details[RV Acidification (kg SO2 equiv.) per kg API (METAL)],Table_Process_Details[Display Name],Table_Process_Details[[#This Row],[Unique Process Inputs]],Table_Process_Details[Input or Output],"Input")</f>
        <v>0</v>
      </c>
      <c r="FZ24" s="1">
        <f ca="1">SUMIFS(Table_Process_Details[RV Acidification (kg SO2 equiv.) per kg API (SOLVENT)],Table_Process_Details[Display Name],Table_Process_Details[[#This Row],[Unique Process Inputs]],Table_Process_Details[Input or Output],"Input")</f>
        <v>0</v>
      </c>
      <c r="GA24" s="1">
        <f ca="1">SUMIFS(Table_Process_Details[RV Acidification (kg SO2 equiv.) per kg API (WATER)],Table_Process_Details[Display Name],Table_Process_Details[[#This Row],[Unique Process Inputs]],Table_Process_Details[Input or Output],"Input")</f>
        <v>0</v>
      </c>
      <c r="GB24" s="1">
        <f ca="1">SUMIFS(Table_Process_Details[RV Acidification (kg SO2 equiv.) per kg API (ENZ&amp;PLNT)],Table_Process_Details[Display Name],Table_Process_Details[[#This Row],[Unique Process Inputs]],Table_Process_Details[Input or Output],"Input")</f>
        <v>0</v>
      </c>
      <c r="GC24" s="1">
        <f ca="1">SUMIFS(Table_Process_Details[RV Acidification (kg SO2 equiv.) per kg API (OTHER)],Table_Process_Details[Display Name],Table_Process_Details[[#This Row],[Unique Process Inputs]],Table_Process_Details[Input or Output],"Input")</f>
        <v>0</v>
      </c>
      <c r="GD24"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O (organic)</v>
      </c>
      <c r="GE24" s="22">
        <f ca="1">IF(LARGE(Table_Process_Details[Total '[Acidification (kg SO2 equiv.) per kg API'] of Unique Inputs],Table_Process_Details[[#This Row],[Table Row]])=0,NA(),LARGE(Table_Process_Details[Total '[Acidification (kg SO2 equiv.) per kg API'] of Unique Inputs],Table_Process_Details[[#This Row],[Table Row]]))</f>
        <v>1.5690143212307246E-3</v>
      </c>
      <c r="GF24" s="22">
        <f ca="1">SUM(OFFSET(Table_Process_Details['[Acidification (kg SO2 equiv.) per kg API'] of Unique Inputs Sorted by '[Acidification (kg SO2 equiv.) per kg API']],0,0,Table_Process_Details[[#This Row],[Table Row]]))</f>
        <v>0.64909175565657917</v>
      </c>
      <c r="GG24"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4" s="22">
        <f ca="1">INDEX(Table_Process_Details[Total '[Acidification (kg SO2 equiv.) per kg API'] of Unique Inputs (REAGENT)], MATCH(Table_Process_Details[[#This Row],[Unique Inputs Sorted by '[Acidification (kg SO2 equiv.) per kg API']]],Table_Process_Details[Unique Process Inputs],0))</f>
        <v>1.5690143212307246E-3</v>
      </c>
      <c r="GI24" s="22">
        <f ca="1">INDEX(Table_Process_Details[Total '[Acidification (kg SO2 equiv.) per kg API'] of Unique Inputs (METAL)], MATCH(Table_Process_Details[[#This Row],[Unique Inputs Sorted by '[Acidification (kg SO2 equiv.) per kg API']]],Table_Process_Details[Unique Process Inputs],0))</f>
        <v>0</v>
      </c>
      <c r="GJ24" s="22">
        <f ca="1">INDEX(Table_Process_Details[Total '[Acidification (kg SO2 equiv.) per kg API'] of Unique Inputs (SOLVENT)], MATCH(Table_Process_Details[[#This Row],[Unique Inputs Sorted by '[Acidification (kg SO2 equiv.) per kg API']]],Table_Process_Details[Unique Process Inputs],0))</f>
        <v>0</v>
      </c>
      <c r="GK24" s="22">
        <f ca="1">INDEX(Table_Process_Details[Total '[Acidification (kg SO2 equiv.) per kg API'] of Unique Inputs (WATER)], MATCH(Table_Process_Details[[#This Row],[Unique Inputs Sorted by '[Acidification (kg SO2 equiv.) per kg API']]],Table_Process_Details[Unique Process Inputs],0))</f>
        <v>0</v>
      </c>
      <c r="GL24" s="22">
        <f ca="1">INDEX(Table_Process_Details[Total '[Acidification (kg SO2 equiv.) per kg API'] of Unique Inputs (ENZ&amp;PLNT)], MATCH(Table_Process_Details[[#This Row],[Unique Inputs Sorted by '[Acidification (kg SO2 equiv.) per kg API']]],Table_Process_Details[Unique Process Inputs],0))</f>
        <v>0</v>
      </c>
      <c r="GM24" s="22">
        <f ca="1">INDEX(Table_Process_Details[Total '[Acidification (kg SO2 equiv.) per kg API'] of Unique Inputs (OTHER)], MATCH(Table_Process_Details[[#This Row],[Unique Inputs Sorted by '[Acidification (kg SO2 equiv.) per kg API']]],Table_Process_Details[Unique Process Inputs],0))</f>
        <v>0</v>
      </c>
      <c r="GN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1.2563246486751573E-3</v>
      </c>
      <c r="GO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1.2563246486751573E-3</v>
      </c>
      <c r="GP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4" s="22">
        <f ca="1">SUMIFS(Table_Process_Details[RV Eutrophication (kg phosphate equiv.) per kg API],Table_Process_Details[Display Name],Table_Process_Details[[#This Row],[Unique Process Inputs]],Table_Process_Details[Input or Output],"Input")</f>
        <v>0</v>
      </c>
      <c r="GV24" s="1">
        <f ca="1">SUMIFS(Table_Process_Details[RV Eutrophication (kg phosphate equiv.) per kg API (REAGENT)],Table_Process_Details[Display Name],Table_Process_Details[[#This Row],[Unique Process Inputs]],Table_Process_Details[Input or Output],"Input")</f>
        <v>0</v>
      </c>
      <c r="GW24" s="1">
        <f ca="1">SUMIFS(Table_Process_Details[RV Eutrophication (kg phosphate equiv.) per kg API (METAL)],Table_Process_Details[Display Name],Table_Process_Details[[#This Row],[Unique Process Inputs]],Table_Process_Details[Input or Output],"Input")</f>
        <v>0</v>
      </c>
      <c r="GX24" s="1">
        <f ca="1">SUMIFS(Table_Process_Details[RV Eutrophication (kg phosphate equiv.) per kg API (SOLVENT)],Table_Process_Details[Display Name],Table_Process_Details[[#This Row],[Unique Process Inputs]],Table_Process_Details[Input or Output],"Input")</f>
        <v>0</v>
      </c>
      <c r="GY24" s="1">
        <f ca="1">SUMIFS(Table_Process_Details[RV Eutrophication (kg phosphate equiv.) per kg API (WATER)],Table_Process_Details[Display Name],Table_Process_Details[[#This Row],[Unique Process Inputs]],Table_Process_Details[Input or Output],"Input")</f>
        <v>0</v>
      </c>
      <c r="GZ24" s="1">
        <f ca="1">SUMIFS(Table_Process_Details[RV Eutrophication (kg phosphate equiv.) per kg API (ENZ&amp;PLNT)],Table_Process_Details[Display Name],Table_Process_Details[[#This Row],[Unique Process Inputs]],Table_Process_Details[Input or Output],"Input")</f>
        <v>0</v>
      </c>
      <c r="HA24" s="1">
        <f ca="1">SUMIFS(Table_Process_Details[RV Eutrophication (kg phosphate equiv.) per kg API (OTHER)],Table_Process_Details[Display Name],Table_Process_Details[[#This Row],[Unique Process Inputs]],Table_Process_Details[Input or Output],"Input")</f>
        <v>0</v>
      </c>
      <c r="HB24"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5 wt% reagent A (organic) in acetonitrile</v>
      </c>
      <c r="HC24" s="22">
        <f ca="1">IF(LARGE(Table_Process_Details[Total '[Eutrophication (kg posphate equiv.) per kg API'] of Unique Inputs],Table_Process_Details[[#This Row],[Table Row]])=0,NA(),LARGE(Table_Process_Details[Total '[Eutrophication (kg posphate equiv.) per kg API'] of Unique Inputs],Table_Process_Details[[#This Row],[Table Row]]))</f>
        <v>4.6634932286889266E-4</v>
      </c>
      <c r="HD24" s="22">
        <f ca="1">SUM(OFFSET(Table_Process_Details['[Eutrophication (kg posphate equiv.) per kg API'] of Unique Inputs Sorted by '[Eutrophication (kg posphate equiv.) per kg API']],0,0,Table_Process_Details[[#This Row],[Table Row]]))</f>
        <v>1.3747868017814036</v>
      </c>
      <c r="HE24"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4" s="1">
        <f ca="1">INDEX(Table_Process_Details[Total '[Eutrophication (kg posphate equiv.) per kg API'] of Unique Inputs (REAGENT)], MATCH(Table_Process_Details[[#This Row],[Unique Inputs Sorted by '[Eutrophication (kg posphate equiv.) per kg API']]],Table_Process_Details[Unique Process Inputs],0))</f>
        <v>2.5126492973503151E-5</v>
      </c>
      <c r="HG24" s="1">
        <f ca="1">INDEX(Table_Process_Details[Total '[Eutrophication (kg posphate equiv.) per kg API'] of Unique Inputs (METAL)], MATCH(Table_Process_Details[[#This Row],[Unique Inputs Sorted by '[Eutrophication (kg posphate equiv.) per kg API']]],Table_Process_Details[Unique Process Inputs],0))</f>
        <v>0</v>
      </c>
      <c r="HH24" s="1">
        <f ca="1">INDEX(Table_Process_Details[Total '[Eutrophication (kg posphate equiv.) per kg API'] of Unique Inputs (SOLVENT)], MATCH(Table_Process_Details[[#This Row],[Unique Inputs Sorted by '[Eutrophication (kg posphate equiv.) per kg API']]],Table_Process_Details[Unique Process Inputs],0))</f>
        <v>4.4122282989538951E-4</v>
      </c>
      <c r="HI24" s="1">
        <f ca="1">INDEX(Table_Process_Details[Total '[Eutrophication (kg posphate equiv.) per kg API'] of Unique Inputs (WATER)], MATCH(Table_Process_Details[[#This Row],[Unique Inputs Sorted by '[Eutrophication (kg posphate equiv.) per kg API']]],Table_Process_Details[Unique Process Inputs],0))</f>
        <v>0</v>
      </c>
      <c r="HJ24" s="1">
        <f ca="1">INDEX(Table_Process_Details[Total '[Eutrophication (kg posphate equiv.) per kg API'] of Unique Inputs (ENZ&amp;PLNT)], MATCH(Table_Process_Details[[#This Row],[Unique Inputs Sorted by '[Eutrophication (kg posphate equiv.) per kg API']]],Table_Process_Details[Unique Process Inputs],0))</f>
        <v>0</v>
      </c>
      <c r="HK24" s="1">
        <f ca="1">INDEX(Table_Process_Details[Total '[Eutrophication (kg posphate equiv.) per kg API'] of Unique Inputs (OTHER)], MATCH(Table_Process_Details[[#This Row],[Unique Inputs Sorted by '[Eutrophication (kg posphate equiv.) per kg API']]],Table_Process_Details[Unique Process Inputs],0))</f>
        <v>0</v>
      </c>
      <c r="HL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2.0544357656828991</v>
      </c>
      <c r="HM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2.0544357656828991</v>
      </c>
      <c r="HN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4" s="1">
        <f ca="1">SUMIFS(Table_Process_Details[RV Water (kg) per kg API],Table_Process_Details[Display Name],Table_Process_Details[[#This Row],[Unique Process Inputs]],Table_Process_Details[Input or Output],"Input")</f>
        <v>0</v>
      </c>
      <c r="HT24" s="1">
        <f ca="1">SUMIFS(Table_Process_Details[RV Water (kg) per kg API (REAGENT)],Table_Process_Details[Display Name],Table_Process_Details[[#This Row],[Unique Process Inputs]],Table_Process_Details[Input or Output],"Input")</f>
        <v>0</v>
      </c>
      <c r="HU24" s="1">
        <f ca="1">SUMIFS(Table_Process_Details[RV Water (kg) per kg API (METAL)],Table_Process_Details[Display Name],Table_Process_Details[[#This Row],[Unique Process Inputs]],Table_Process_Details[Input or Output],"Input")</f>
        <v>0</v>
      </c>
      <c r="HV24" s="1">
        <f ca="1">SUMIFS(Table_Process_Details[RV Water (kg) per kg API (SOLVENT)],Table_Process_Details[Display Name],Table_Process_Details[[#This Row],[Unique Process Inputs]],Table_Process_Details[Input or Output],"Input")</f>
        <v>0</v>
      </c>
      <c r="HW24" s="1">
        <f ca="1">SUMIFS(Table_Process_Details[RV Water (kg) per kg API (WATER)],Table_Process_Details[Display Name],Table_Process_Details[[#This Row],[Unique Process Inputs]],Table_Process_Details[Input or Output],"Input")</f>
        <v>0</v>
      </c>
      <c r="HX24" s="1">
        <f ca="1">SUMIFS(Table_Process_Details[RV Water (kg) per kg API (ENZ&amp;PLNT)],Table_Process_Details[Display Name],Table_Process_Details[[#This Row],[Unique Process Inputs]],Table_Process_Details[Input or Output],"Input")</f>
        <v>0</v>
      </c>
      <c r="HY24" s="1">
        <f ca="1">SUMIFS(Table_Process_Details[RV Water (kg) per kg API (OTHER)],Table_Process_Details[Display Name],Table_Process_Details[[#This Row],[Unique Process Inputs]],Table_Process_Details[Input or Output],"Input")</f>
        <v>0</v>
      </c>
      <c r="HZ24" s="22" t="str">
        <f ca="1">INDEX(Table_Process_Details[Unique Process Inputs],MATCH(Table_Process_Details[[#This Row],['[Water (kg) per kg API'] of Unique Inputs Sorted by '[Water (kg) per kg API']]],Table_Process_Details[Total '[Water (kg) per kg API'] of Unique Inputs],0))</f>
        <v>reagent S (organic)</v>
      </c>
      <c r="IA24" s="22">
        <f ca="1">IF(LARGE(Table_Process_Details[Total '[Water (kg) per kg API'] of Unique Inputs],Table_Process_Details[[#This Row],[Table Row]])=0,NA(),LARGE(Table_Process_Details[Total '[Water (kg) per kg API'] of Unique Inputs],Table_Process_Details[[#This Row],[Table Row]]))</f>
        <v>2.0544357656817427</v>
      </c>
      <c r="IB24" s="1">
        <f ca="1">SUM(OFFSET(Table_Process_Details['[Water (kg) per kg API'] of Unique Inputs Sorted by '[Water (kg) per kg API']],0,0,Table_Process_Details[[#This Row],[Table Row]]))</f>
        <v>882.40046855395667</v>
      </c>
      <c r="IC24" s="1" t="str">
        <f ca="1">"("&amp;TEXT(Table_Process_Details[[#This Row],['[Water (kg) per kg API'] of Unique Inputs Sorted by '[Water (kg) per kg API']]]/SUMIF(Table_Process_Details['[Water (kg) per kg API'] of Unique Inputs Sorted by '[Water (kg) per kg API']],"&lt;&gt;#N/A"),"0%")&amp;")"</f>
        <v>(0%)</v>
      </c>
      <c r="ID24" s="1">
        <f ca="1">INDEX(Table_Process_Details[Total '[Water (kg) per kg API'] of Unique Inputs (REAGENT)], MATCH(Table_Process_Details[[#This Row],[Unique Inputs Sorted by '[Water (kg) per kg API']]],Table_Process_Details[Unique Process Inputs],0))</f>
        <v>2.0544357656817427</v>
      </c>
      <c r="IE24" s="1">
        <f ca="1">INDEX(Table_Process_Details[Total '[Water (kg) per kg API'] of Unique Inputs (METAL)], MATCH(Table_Process_Details[[#This Row],[Unique Inputs Sorted by '[Water (kg) per kg API']]],Table_Process_Details[Unique Process Inputs],0))</f>
        <v>0</v>
      </c>
      <c r="IF24" s="1">
        <f ca="1">INDEX(Table_Process_Details[Total '[Water (kg) per kg API'] of Unique Inputs (SOLVENT)], MATCH(Table_Process_Details[[#This Row],[Unique Inputs Sorted by '[Water (kg) per kg API']]],Table_Process_Details[Unique Process Inputs],0))</f>
        <v>0</v>
      </c>
      <c r="IG24" s="1">
        <f ca="1">INDEX(Table_Process_Details[Total '[Water (kg) per kg API'] of Unique Inputs (WATER)], MATCH(Table_Process_Details[[#This Row],[Unique Inputs Sorted by '[Water (kg) per kg API']]],Table_Process_Details[Unique Process Inputs],0))</f>
        <v>0</v>
      </c>
      <c r="IH24" s="1">
        <f ca="1">INDEX(Table_Process_Details[Total '[Water (kg) per kg API'] of Unique Inputs (ENZ&amp;PLNT)], MATCH(Table_Process_Details[[#This Row],[Unique Inputs Sorted by '[Water (kg) per kg API']]],Table_Process_Details[Unique Process Inputs],0))</f>
        <v>0</v>
      </c>
      <c r="II24" s="1">
        <f ca="1">INDEX(Table_Process_Details[Total '[Water (kg) per kg API'] of Unique Inputs (OTHER)], MATCH(Table_Process_Details[[#This Row],[Unique Inputs Sorted by '[Water (kg) per kg API']]],Table_Process_Details[Unique Process Inputs],0))</f>
        <v>0</v>
      </c>
    </row>
    <row r="25" spans="1:243" customFormat="1" x14ac:dyDescent="0.25">
      <c r="A25" s="22" t="str">
        <f t="shared" ref="A25:A39" si="0">A24</f>
        <v>1) Synthesis of Intermediate (1)</v>
      </c>
      <c r="B25" s="21" t="s">
        <v>4</v>
      </c>
      <c r="C25" s="21" t="s">
        <v>153</v>
      </c>
      <c r="D25" s="22" t="s">
        <v>156</v>
      </c>
      <c r="E25" s="22" t="s">
        <v>823</v>
      </c>
      <c r="F25" s="26">
        <v>30</v>
      </c>
      <c r="G25" s="26"/>
      <c r="H25" s="26"/>
      <c r="I25" s="26"/>
      <c r="J25" s="26" t="str">
        <f>INDEX(Process_Steps[Reference],MATCH(Table_Process_Details[[#This Row],[Step Name]],Process_Steps[Name],0))</f>
        <v>Reference Document  for Step 1</v>
      </c>
      <c r="K25" s="27" t="str">
        <f>INDEX(Process_Steps[Real or Virtual?],MATCH(Table_Process_Details[[#This Row],[Step Name]],Process_Steps[Name],0))</f>
        <v>Real</v>
      </c>
      <c r="L2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5" s="26">
        <f>INDEX(Table_Process_Details[Physical Mass (kg)],MATCH(1,INDEX(((Table_Process_Details[Step Name]=Table_Process_Details[[#This Row],[Step Name]])*(Table_Process_Details[Input or Output]="Output")),0),0))</f>
        <v>51.020408163265309</v>
      </c>
      <c r="O25" s="29">
        <f ca="1">INDEX(Process_Steps[Step Scale Factor for 1kg Packaged API],MATCH(Table_Process_Details[[#This Row],[Step Name]],Process_Steps[Name],0))</f>
        <v>6.9901025556863543E-3</v>
      </c>
      <c r="P2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6.25</v>
      </c>
      <c r="Q2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13.25</v>
      </c>
      <c r="R25" s="26">
        <f ca="1">_xlfn.SWITCH(Run_Reset_PNG,"Reset",Table_Process_Details[[#This Row],[X Init]],"Run",Table_Process_Details[[#This Row],[X Moved]],"Freeze",Table_Process_Details[[#This Row],[X Mover]])</f>
        <v>-1.4972270301512913</v>
      </c>
      <c r="S25" s="26">
        <f ca="1">_xlfn.SWITCH(Run_Reset_PNG,"Reset",Table_Process_Details[[#This Row],[Y Init]],"Run",Table_Process_Details[[#This Row],[Y Moved]],"Freeze",Table_Process_Details[[#This Row],[Y Mover]])</f>
        <v>24.893184297510931</v>
      </c>
      <c r="T25" s="26" cm="1">
        <f t="array" aca="1" ref="T2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-6.6558431952008057</v>
      </c>
      <c r="U25" s="26" cm="1">
        <f t="array" aca="1" ref="U2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10.76908605114215</v>
      </c>
      <c r="V25" s="26" cm="1">
        <f t="array" aca="1" ref="V25" ca="1">SUM(--(SQRT((Table_Process_Details[[#This Row],[X Mover]]-Table_Process_Details[X Mover])^2+(Table_Process_Details[[#This Row],[Y Mover]]-Table_Process_Details[Y Mover])^2)&lt;Collision_Distance))</f>
        <v>20</v>
      </c>
      <c r="W25" s="26" cm="1">
        <f t="array" aca="1" ref="W2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0.29543523224855101</v>
      </c>
      <c r="X25" s="26" cm="1">
        <f t="array" aca="1" ref="X2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-0.43133327298855056</v>
      </c>
      <c r="Y25" s="26" cm="1">
        <f t="array" aca="1" ref="Y2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5" s="26">
        <f>0</f>
        <v>0</v>
      </c>
      <c r="AA25" s="26">
        <f>0</f>
        <v>0</v>
      </c>
      <c r="AB2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0.74861351507564566</v>
      </c>
      <c r="AC25" s="26" cm="1">
        <f t="array" aca="1" ref="AC2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-12.446592148755466</v>
      </c>
      <c r="AD25" s="26">
        <f>MIN(1,COUNTA(Table_Process_Details[[#This Row],[target x]]),COUNTA(Table_Process_Details[[#This Row],[target y]]))*COUNTA(Table_Process_Details[Step Name])</f>
        <v>98</v>
      </c>
      <c r="AE2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-1.5269450442436414</v>
      </c>
      <c r="AF2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24.873299284745247</v>
      </c>
      <c r="AG2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5" s="26" cm="1">
        <f t="array" aca="1" ref="AH25" ca="1">INDEX(Table_Process_Details[X Mover],MATCH(1,INDEX((Table_Process_Details[Input or Output]="Output")*(Table_Process_Details[Step Name]=Table_Process_Details[[#This Row],[Step Name]])*(Table_Process_Details[[#This Row],[Input or Output]]="Input"),0),0))</f>
        <v>0.78891624628593393</v>
      </c>
      <c r="AI25" s="26" cm="1">
        <f t="array" aca="1" ref="AI25" ca="1">INDEX(Table_Process_Details[Y Mover],MATCH(1,INDEX((Table_Process_Details[Input or Output]="Output")*(Table_Process_Details[Step Name]=Table_Process_Details[[#This Row],[Step Name]])*(Table_Process_Details[[#This Row],[Input or Output]]="Input"),0),0))</f>
        <v>21.555431875630404</v>
      </c>
      <c r="AJ25" s="26">
        <f ca="1">SQRT((Table_Process_Details[[#This Row],[X End (To Node Center)]]-Table_Process_Details[[#This Row],[X Guide]])^2+(Table_Process_Details[[#This Row],[Y End (to Node Center)]]-Table_Process_Details[[#This Row],[Y Guide]])^2)</f>
        <v>4.0456201391342281</v>
      </c>
      <c r="AK25" s="26" t="e" cm="1">
        <f t="array" ref="AK25">INDEX(Table_Process_Details[X Mover],MATCH(1,INDEX((Table_Process_Details[Step Name]=Table_Process_Details[[#This Row],[LCA Data Source Subclass]])*(Table_Process_Details[Input or Output]="Output"),0)*(Table_Process_Details[[#This Row],[Input or Output]]="Input"),0))</f>
        <v>#N/A</v>
      </c>
      <c r="AL25" s="26" cm="1">
        <f t="array" aca="1" ref="AL25" ca="1">INDEX(Table_Process_Details[X Mover],MATCH(1,INDEX(((Table_Process_Details[Table Row]=Table_Process_Details[[#This Row],[Table Row]])*(1)),0)*(Table_Process_Details[[#This Row],[Input or Output]]="Input"),0))</f>
        <v>-1.4972270301512913</v>
      </c>
      <c r="AM25" s="26" cm="1">
        <f t="array" aca="1" ref="AM25" ca="1">(Table_Process_Details[[#This Row],[X End (To Node Center)]]*Table_Process_Details[[#This Row],[r0]]-Table_Process_Details[[#This Row],[X End (To Node Center)]]*Arrow_Offset+Table_Process_Details[[#This Row],[X Guide]]*Arrow_Offset)/Table_Process_Details[[#This Row],[r0]]</f>
        <v>0.33684349643523437</v>
      </c>
      <c r="AN25" s="26" t="e">
        <f>IF(NOT(Table_Process_Details[[#This Row],[Display As]]="None"),Table_Process_Details[[#This Row],[X Start Prefilter]],NA())</f>
        <v>#N/A</v>
      </c>
      <c r="AO25" s="26">
        <f ca="1">IF(NOT(Table_Process_Details[[#This Row],[Display As]]="None"),Table_Process_Details[[#This Row],[X Guide Prefilter]],NA())</f>
        <v>-1.4972270301512913</v>
      </c>
      <c r="AP25" s="26">
        <f ca="1">IF(NOT(Table_Process_Details[[#This Row],[Display As]]="None"),Table_Process_Details[[#This Row],[X End (to Stop Radius) Prefilter]],NA())</f>
        <v>0.33684349643523437</v>
      </c>
      <c r="AQ25" s="26" t="e">
        <f>NA()</f>
        <v>#N/A</v>
      </c>
      <c r="AR25" s="26" t="e" cm="1">
        <f t="array" ref="AR25">INDEX(Table_Process_Details[Y Mover],MATCH(1,INDEX((Table_Process_Details[Step Name]=Table_Process_Details[[#This Row],[LCA Data Source Subclass]])*(Table_Process_Details[Input or Output]="Output"),0)*(Table_Process_Details[[#This Row],[Input or Output]]="Input"),0))</f>
        <v>#N/A</v>
      </c>
      <c r="AS25" s="26" cm="1">
        <f t="array" aca="1" ref="AS25" ca="1">INDEX(Table_Process_Details[Y Mover],MATCH(1,INDEX(((Table_Process_Details[Table Row]=Table_Process_Details[[#This Row],[Table Row]])*(1)),0)*(Table_Process_Details[[#This Row],[Input or Output]]="Input"),0))</f>
        <v>24.893184297510931</v>
      </c>
      <c r="AT25" s="26" cm="1">
        <f t="array" aca="1" ref="AT25" ca="1">(Table_Process_Details[[#This Row],[Y Guide]]*Arrow_Offset-Table_Process_Details[[#This Row],[Y End (to Node Center)]]*Arrow_Offset+Table_Process_Details[[#This Row],[Y End (to Node Center)]]*Table_Process_Details[[#This Row],[r0]])/Table_Process_Details[[#This Row],[r0]]</f>
        <v>22.215454775871319</v>
      </c>
      <c r="AU25" s="26" t="e">
        <f>IF(NOT(Table_Process_Details[[#This Row],[Display As]]="None"),Table_Process_Details[[#This Row],[Y Start Prefilter]],NA())</f>
        <v>#N/A</v>
      </c>
      <c r="AV25" s="26">
        <f ca="1">IF(NOT(Table_Process_Details[[#This Row],[Display As]]="None"),Table_Process_Details[[#This Row],[Y Guide Prefilter]],NA())</f>
        <v>24.893184297510931</v>
      </c>
      <c r="AW25" s="26">
        <f ca="1">IF(NOT(Table_Process_Details[[#This Row],[Display As]]="None"),Table_Process_Details[[#This Row],[Y End (to Stop Radius) Prefilter]],NA())</f>
        <v>22.215454775871319</v>
      </c>
      <c r="AX25" s="26" t="e">
        <f>NA()</f>
        <v>#N/A</v>
      </c>
      <c r="AY25" s="26" t="e">
        <f>IF(Table_Process_Details[[#This Row],[Display As]]="Real Step",Table_Process_Details[[#This Row],[X Mover]],NA())</f>
        <v>#N/A</v>
      </c>
      <c r="AZ25" s="26" t="e">
        <f>IF(Table_Process_Details[[#This Row],[Display As]]="Real Step",Table_Process_Details[[#This Row],[Y Mover]],NA())</f>
        <v>#N/A</v>
      </c>
      <c r="BA25" s="26">
        <f ca="1">IF(Table_Process_Details[[#This Row],[Display As]]="Raw Material",Table_Process_Details[[#This Row],[X Mover]],NA())</f>
        <v>-1.4972270301512913</v>
      </c>
      <c r="BB25" s="26">
        <f ca="1">IF(Table_Process_Details[[#This Row],[Display As]]="Raw Material",Table_Process_Details[[#This Row],[Y Mover]],NA())</f>
        <v>24.893184297510931</v>
      </c>
      <c r="BC25" s="26">
        <f ca="1">IF(OR(Table_Process_Details[[#This Row],[Display As]]="Real Step",Table_Process_Details[[#This Row],[Display As]]="Raw Material"),Table_Process_Details[[#This Row],[X Mover]],NA())</f>
        <v>-1.4972270301512913</v>
      </c>
      <c r="BD25" s="26">
        <f ca="1">IF(OR(Table_Process_Details[[#This Row],[Display As]]="Real Step",Table_Process_Details[[#This Row],[Display As]]="Raw Material"),Table_Process_Details[[#This Row],[Y Mover]],NA())</f>
        <v>24.893184297510931</v>
      </c>
      <c r="BE25" s="22">
        <f>ROW()-ROW(Table_Process_Details[[#Headers],[Table Row]])</f>
        <v>21</v>
      </c>
      <c r="BF25" s="23" t="str" cm="1">
        <f t="array" aca="1" ref="BF25" ca="1">INDEX(Table_Process_Details[Display Name],MATCH(0,IF(Table_Process_Details[Input or Output]="Input",INDEX(COUNTIF(OFFSET(Table_Process_Details[[#Headers],[Unique Process Inputs]],0,0,Table_Process_Details[[#This Row],[Table Row]],1),Table_Process_Details[Display Name]),),""),0))</f>
        <v>6 M HCl (aq)</v>
      </c>
      <c r="BG25" s="23">
        <f ca="1">Table_Process_Details[[#This Row],[Physical Mass (kg)]]*Table_Process_Details[[#This Row],[Step Scale Factor for 1kg Packaged API]]</f>
        <v>0.20970307667059063</v>
      </c>
      <c r="BH2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5" s="23">
        <f ca="1">MATCH(Table_Process_Details[[#This Row],[LCA Data Source Class]],INDIRECT(Table_Process_Details[[#This Row],[Input or Output]]),0)</f>
        <v>3</v>
      </c>
      <c r="BJ25" s="23">
        <f ca="1">MATCH(Table_Process_Details[[#This Row],[LCA Data Source Subclass]],INDIRECT(Table_Process_Details[[#This Row],[LCA Data Source Class]]&amp;"[Name]"),0)</f>
        <v>1</v>
      </c>
      <c r="BK25" s="23">
        <f ca="1">IFERROR(INDEX(INDIRECT(Table_Process_Details[[#This Row],[LCA Data Source Class]]&amp;"[Mass Net (kg)]"),MATCH(Table_Process_Details[[#This Row],[LCA Data Source Subclass]],INDIRECT(Table_Process_Details[[#This Row],[LCA Data Source Class]]&amp;"[Name]"),0)),0)</f>
        <v>2.0861208174193546</v>
      </c>
      <c r="BL25" s="23">
        <f ca="1">IFERROR(INDEX(INDIRECT(Table_Process_Details[[#This Row],[LCA Data Source Class]]&amp;"[Energy (MJ)]"),MATCH(Table_Process_Details[[#This Row],[LCA Data Source Subclass]],INDIRECT(Table_Process_Details[[#This Row],[LCA Data Source Class]]&amp;"[Name]"),0)),0)</f>
        <v>74.867288612903238</v>
      </c>
      <c r="BM25" s="23">
        <f ca="1">IFERROR(INDEX(INDIRECT(Table_Process_Details[[#This Row],[LCA Data Source Class]]&amp;"[GWP (kg CO2 equiv.)]"),MATCH(Table_Process_Details[[#This Row],[LCA Data Source Subclass]],INDIRECT(Table_Process_Details[[#This Row],[LCA Data Source Class]]&amp;"[Name]"),0)),0)</f>
        <v>2.6244035558064511</v>
      </c>
      <c r="BN25" s="23">
        <f ca="1">IFERROR(INDEX(INDIRECT(Table_Process_Details[[#This Row],[LCA Data Source Class]]&amp;"[Acidification (kg SO2 equiv.)]"),MATCH(Table_Process_Details[[#This Row],[LCA Data Source Subclass]],INDIRECT(Table_Process_Details[[#This Row],[LCA Data Source Class]]&amp;"[Name]"),0)),0)</f>
        <v>1.1223113743548388E-2</v>
      </c>
      <c r="BO25" s="23">
        <f ca="1">IFERROR(INDEX(INDIRECT(Table_Process_Details[[#This Row],[LCA Data Source Class]]&amp;"[Eutrophication (kg posphate equiv.)]"),MATCH(Table_Process_Details[[#This Row],[LCA Data Source Subclass]],INDIRECT(Table_Process_Details[[#This Row],[LCA Data Source Class]]&amp;"[Name]"),0)),0)</f>
        <v>8.9864536225806452E-3</v>
      </c>
      <c r="BP25" s="23">
        <f ca="1">IFERROR(INDEX(INDIRECT(Table_Process_Details[[#This Row],[LCA Data Source Class]]&amp;"[Water (kg)]"),MATCH(Table_Process_Details[[#This Row],[LCA Data Source Subclass]],INDIRECT(Table_Process_Details[[#This Row],[LCA Data Source Class]]&amp;"[Name]"),0)),0)</f>
        <v>14.695319198225807</v>
      </c>
      <c r="BQ25" s="27">
        <f ca="1">(Table_Process_Details[[#This Row],[Input or Output]]="Input")*(Table_Process_Details[[#This Row],[LCA Data Source Class]]&lt;&gt;"Process_Steps")*Table_Process_Details[[#This Row],[Scaled Physical Mass per kg API for All Inputs &amp; Outputs]]</f>
        <v>0.20970307667059063</v>
      </c>
      <c r="BR25" s="27">
        <f ca="1">(Table_Process_Details[[#This Row],[Material Class]]="REAGENT")*Table_Process_Details[[#This Row],[Physical Mass per kg API]]</f>
        <v>0.20970307667059063</v>
      </c>
      <c r="BS25" s="27">
        <f ca="1">(Table_Process_Details[[#This Row],[Material Class]]="METAL")*Table_Process_Details[[#This Row],[Physical Mass per kg API]]</f>
        <v>0</v>
      </c>
      <c r="BT25" s="27">
        <f ca="1">(Table_Process_Details[[#This Row],[Material Class]]="SOLVENT")*Table_Process_Details[[#This Row],[Physical Mass per kg API]]</f>
        <v>0</v>
      </c>
      <c r="BU25" s="27">
        <f ca="1">(Table_Process_Details[[#This Row],[Material Class]]="WATER")*Table_Process_Details[[#This Row],[Physical Mass per kg API]]</f>
        <v>0</v>
      </c>
      <c r="BV25" s="27">
        <f ca="1">(Table_Process_Details[[#This Row],[Material Class]]="ENZ&amp;PLNT")*Table_Process_Details[[#This Row],[Physical Mass per kg API]]</f>
        <v>0</v>
      </c>
      <c r="BW25" s="27">
        <f ca="1">(Table_Process_Details[[#This Row],[Material Class]]="OTHER")*Table_Process_Details[[#This Row],[Physical Mass per kg API]]</f>
        <v>0</v>
      </c>
      <c r="BX2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0.20970307667059063</v>
      </c>
      <c r="BY2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0.20970307667059063</v>
      </c>
      <c r="BZ2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5" s="1">
        <f ca="1">SUMIFS(Table_Process_Details[RV Physical Mass per kg API],Table_Process_Details[Display Name],Table_Process_Details[[#This Row],[Unique Process Inputs]],Table_Process_Details[Input or Output],"Input")</f>
        <v>2.7960410222745415</v>
      </c>
      <c r="CF25" s="1">
        <f ca="1">SUMIFS(Table_Process_Details[RV Physical Mass per kg API (REAGENT)],Table_Process_Details[Display Name],Table_Process_Details[[#This Row],[Unique Process Inputs]],Table_Process_Details[Input or Output],"Input")</f>
        <v>0.56901521401064736</v>
      </c>
      <c r="CG25" s="1">
        <f ca="1">SUMIFS(Table_Process_Details[RV Physical Mass per kg API (METAL)],Table_Process_Details[Display Name],Table_Process_Details[[#This Row],[Unique Process Inputs]],Table_Process_Details[Input or Output],"Input")</f>
        <v>0</v>
      </c>
      <c r="CH25" s="1">
        <f ca="1">SUMIFS(Table_Process_Details[RV Physical Mass per kg API (SOLVENT)],Table_Process_Details[Display Name],Table_Process_Details[[#This Row],[Unique Process Inputs]],Table_Process_Details[Input or Output],"Input")</f>
        <v>0</v>
      </c>
      <c r="CI25" s="1">
        <f ca="1">SUMIFS(Table_Process_Details[RV Physical Mass per kg API (WATER)],Table_Process_Details[Display Name],Table_Process_Details[[#This Row],[Unique Process Inputs]],Table_Process_Details[Input or Output],"Input")</f>
        <v>2.2270258082638943</v>
      </c>
      <c r="CJ25" s="1">
        <f ca="1">SUMIFS(Table_Process_Details[RV Physical Mass per kg API (ENZ&amp;PLNT)],Table_Process_Details[Display Name],Table_Process_Details[[#This Row],[Unique Process Inputs]],Table_Process_Details[Input or Output],"Input")</f>
        <v>0</v>
      </c>
      <c r="CK25" s="1">
        <f ca="1">SUMIFS(Table_Process_Details[RV Physical Mass per kg API (OTHER)],Table_Process_Details[Display Name],Table_Process_Details[[#This Row],[Unique Process Inputs]],Table_Process_Details[Input or Output],"Input")</f>
        <v>0</v>
      </c>
      <c r="CL25" s="22" t="str">
        <f ca="1">INDEX(Table_Process_Details[Unique Process Inputs],MATCH(Table_Process_Details[[#This Row],['[Physical Mass per kg API'] of Unique Inputs Sorted by '[Physical Mass per kg API']]],Table_Process_Details[Total '[Physical Mass per kg API'] of Unique Inputs],0))</f>
        <v>30 wt% reagent F (inorganic) in water</v>
      </c>
      <c r="CM25" s="22">
        <f ca="1">IF(LARGE(Table_Process_Details[Total '[Physical Mass per kg API'] of Unique Inputs],Table_Process_Details[[#This Row],[Table Row]])=0,NA(),LARGE(Table_Process_Details[Total '[Physical Mass per kg API'] of Unique Inputs],Table_Process_Details[[#This Row],[Table Row]]))</f>
        <v>0.69901025556824192</v>
      </c>
      <c r="CN25" s="22">
        <f ca="1">SUM(OFFSET(Table_Process_Details['[Physical Mass per kg API'] of Unique Inputs Sorted by '[Physical Mass per kg API']],0,0,Table_Process_Details[[#This Row],[Table Row]]))</f>
        <v>146.10526303904467</v>
      </c>
      <c r="CO25" s="22" t="str">
        <f ca="1">"("&amp;TEXT(Table_Process_Details[[#This Row],['[Physical Mass per kg API'] of Unique Inputs Sorted by '[Physical Mass per kg API']]]/SUMIF(Table_Process_Details['[Physical Mass per kg API'] of Unique Inputs Sorted by '[Physical Mass per kg API']],"&lt;&gt;#N/A"),"0%")&amp;")"</f>
        <v>(0%)</v>
      </c>
      <c r="CP25" s="22">
        <f ca="1">INDEX(Table_Process_Details[Total '[Physical Mass per kg API'] of Unique Inputs (REAGENT)],MATCH(Table_Process_Details[[#This Row],[Unique Inputs Sorted by '[Physical Mass per kg API']]],Table_Process_Details[Unique Process Inputs],0))</f>
        <v>0.19063916060952052</v>
      </c>
      <c r="CQ25" s="22">
        <f ca="1">INDEX(Table_Process_Details[Total '[Physical Mass per kg API'] of Unique Inputs (METAL)],MATCH(Table_Process_Details[[#This Row],[Unique Inputs Sorted by '[Physical Mass per kg API']]],Table_Process_Details[Unique Process Inputs],0))</f>
        <v>0</v>
      </c>
      <c r="CR25" s="22">
        <f ca="1">INDEX(Table_Process_Details[Total '[Physical Mass per kg API'] of Unique Inputs (SOLVENT)],MATCH(Table_Process_Details[[#This Row],[Unique Inputs Sorted by '[Physical Mass per kg API']]],Table_Process_Details[Unique Process Inputs],0))</f>
        <v>0</v>
      </c>
      <c r="CS25" s="22">
        <f ca="1">INDEX(Table_Process_Details[Total '[Physical Mass per kg API'] of Unique Inputs (WATER)],MATCH(Table_Process_Details[[#This Row],[Unique Inputs Sorted by '[Physical Mass per kg API']]],Table_Process_Details[Unique Process Inputs],0))</f>
        <v>0.50837109495872146</v>
      </c>
      <c r="CT25" s="22">
        <f ca="1">INDEX(Table_Process_Details[Total '[Physical Mass per kg API'] of Unique Inputs (ENZ&amp;PLNT)],MATCH(Table_Process_Details[[#This Row],[Unique Inputs Sorted by '[Physical Mass per kg API']]],Table_Process_Details[Unique Process Inputs],0))</f>
        <v>0</v>
      </c>
      <c r="CU25" s="22">
        <f ca="1">INDEX(Table_Process_Details[Total '[Physical Mass per kg API'] of Unique Inputs (OTHER)],MATCH(Table_Process_Details[[#This Row],[Unique Inputs Sorted by '[Physical Mass per kg API']]],Table_Process_Details[Unique Process Inputs],0))</f>
        <v>0</v>
      </c>
      <c r="CV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0.43746595371940611</v>
      </c>
      <c r="CW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0.43746595371940611</v>
      </c>
      <c r="CX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5" s="22">
        <f ca="1">SUMIFS(Table_Process_Details[RV Mass Net (kg) per kg API],Table_Process_Details[Display Name],Table_Process_Details[[#This Row],[Unique Process Inputs]],Table_Process_Details[Input or Output],"Input")</f>
        <v>0.76588832709085819</v>
      </c>
      <c r="DD25" s="22">
        <f ca="1">SUMIFS(Table_Process_Details[RV Mass Net (kg) per kg API (REAGENT)],Table_Process_Details[Display Name],Table_Process_Details[[#This Row],[Unique Process Inputs]],Table_Process_Details[Input or Output],"Input")</f>
        <v>0.76248038677426744</v>
      </c>
      <c r="DE25" s="22">
        <f ca="1">SUMIFS(Table_Process_Details[RV Mass Net (kg) per kg API (METAL)],Table_Process_Details[Display Name],Table_Process_Details[[#This Row],[Unique Process Inputs]],Table_Process_Details[Input or Output],"Input")</f>
        <v>0</v>
      </c>
      <c r="DF25" s="22">
        <f ca="1">SUMIFS(Table_Process_Details[RV Mass Net (kg) per kg API (SOLVENT)],Table_Process_Details[Display Name],Table_Process_Details[[#This Row],[Unique Process Inputs]],Table_Process_Details[Input or Output],"Input")</f>
        <v>0</v>
      </c>
      <c r="DG25" s="22">
        <f ca="1">SUMIFS(Table_Process_Details[RV Mass Net (kg) per kg API (WATER)],Table_Process_Details[Display Name],Table_Process_Details[[#This Row],[Unique Process Inputs]],Table_Process_Details[Input or Output],"Input")</f>
        <v>3.4079403165906907E-3</v>
      </c>
      <c r="DH25" s="22">
        <f ca="1">SUMIFS(Table_Process_Details[RV Mass Net (kg) per kg API (ENZ&amp;PLNT)],Table_Process_Details[Display Name],Table_Process_Details[[#This Row],[Unique Process Inputs]],Table_Process_Details[Input or Output],"Input")</f>
        <v>0</v>
      </c>
      <c r="DI25" s="22">
        <f ca="1">SUMIFS(Table_Process_Details[RV Mass Net (kg) per kg API (OTHER)],Table_Process_Details[Display Name],Table_Process_Details[[#This Row],[Unique Process Inputs]],Table_Process_Details[Input or Output],"Input")</f>
        <v>0</v>
      </c>
      <c r="DJ25" s="22" t="str">
        <f ca="1">INDEX(Table_Process_Details[Unique Process Inputs],MATCH(Table_Process_Details[[#This Row],['[Mass Net (kg) per kg API'] of Unique Inputs Sorted by '[Mass Net (kg) per kg API']]],Table_Process_Details[Total '[Mass Net (kg) per kg API'] of Unique Inputs],0))</f>
        <v>15 wt% reagent C (inorganic) in water</v>
      </c>
      <c r="DK25" s="22">
        <f ca="1">IF(LARGE(Table_Process_Details[Total '[Mass Net (kg) per kg API'] of Unique Inputs],Table_Process_Details[[#This Row],[Table Row]])=0,NA(),LARGE(Table_Process_Details[Total '[Mass Net (kg) per kg API'] of Unique Inputs],Table_Process_Details[[#This Row],[Table Row]]))</f>
        <v>0.2262564509391527</v>
      </c>
      <c r="DL25" s="22">
        <f ca="1">SUM(OFFSET(Table_Process_Details['[Mass Net (kg) per kg API'] of Unique Inputs Sorted by '[Mass Net (kg) per kg API']],0,0,Table_Process_Details[[#This Row],[Table Row]]))</f>
        <v>126.5074558700116</v>
      </c>
      <c r="DM25" s="22" t="str">
        <f ca="1">"("&amp;TEXT(Table_Process_Details[[#This Row],['[Mass Net (kg) per kg API'] of Unique Inputs Sorted by '[Mass Net (kg) per kg API']]]/SUMIF(Table_Process_Details['[Mass Net (kg) per kg API'] of Unique Inputs Sorted by '[Mass Net (kg) per kg API']],"&lt;&gt;#N/A"),"0%")&amp;")"</f>
        <v>(0%)</v>
      </c>
      <c r="DN25" s="22">
        <f ca="1">INDEX(Table_Process_Details[Total '[Mass Net (kg) per kg API'] of Unique Inputs (REAGENT)], MATCH(Table_Process_Details[[#This Row],[Unique Inputs Sorted by '[Mass Net (kg) per kg API']]],Table_Process_Details[Unique Process Inputs],0))</f>
        <v>0.22480169819087317</v>
      </c>
      <c r="DO25" s="22">
        <f ca="1">INDEX(Table_Process_Details[Total '[Mass Net (kg) per kg API'] of Unique Inputs (METAL)], MATCH(Table_Process_Details[[#This Row],[Unique Inputs Sorted by '[Mass Net (kg) per kg API']]],Table_Process_Details[Unique Process Inputs],0))</f>
        <v>0</v>
      </c>
      <c r="DP25" s="22">
        <f ca="1">INDEX(Table_Process_Details[Total '[Mass Net (kg) per kg API'] of Unique Inputs (SOLVENT)], MATCH(Table_Process_Details[[#This Row],[Unique Inputs Sorted by '[Mass Net (kg) per kg API']]],Table_Process_Details[Unique Process Inputs],0))</f>
        <v>0</v>
      </c>
      <c r="DQ25" s="22">
        <f ca="1">INDEX(Table_Process_Details[Total '[Mass Net (kg) per kg API'] of Unique Inputs (WATER)], MATCH(Table_Process_Details[[#This Row],[Unique Inputs Sorted by '[Mass Net (kg) per kg API']]],Table_Process_Details[Unique Process Inputs],0))</f>
        <v>1.4547527482795077E-3</v>
      </c>
      <c r="DR25" s="22">
        <f ca="1">INDEX(Table_Process_Details[Total '[Mass Net (kg) per kg API'] of Unique Inputs (ENZ&amp;PLNT)], MATCH(Table_Process_Details[[#This Row],[Unique Inputs Sorted by '[Mass Net (kg) per kg API']]],Table_Process_Details[Unique Process Inputs],0))</f>
        <v>0</v>
      </c>
      <c r="DS25" s="22">
        <f ca="1">INDEX(Table_Process_Details[Total '[Mass Net (kg) per kg API'] of Unique Inputs (OTHER)], MATCH(Table_Process_Details[[#This Row],[Unique Inputs Sorted by '[Mass Net (kg) per kg API']]],Table_Process_Details[Unique Process Inputs],0))</f>
        <v>0</v>
      </c>
      <c r="DT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15.699900764110884</v>
      </c>
      <c r="DU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15.699900764110884</v>
      </c>
      <c r="DV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5" s="1">
        <f ca="1">SUMIFS(Table_Process_Details[RV Energy (MJ) per kg API],Table_Process_Details[Display Name],Table_Process_Details[[#This Row],[Unique Process Inputs]],Table_Process_Details[Input or Output],"Input")</f>
        <v>6.0910748103760302</v>
      </c>
      <c r="EB25" s="1">
        <f ca="1">SUMIFS(Table_Process_Details[RV Energy (MJ) per kg API (REAGENT)],Table_Process_Details[Display Name],Table_Process_Details[[#This Row],[Unique Process Inputs]],Table_Process_Details[Input or Output],"Input")</f>
        <v>6.0486317249331814</v>
      </c>
      <c r="EC25" s="1">
        <f ca="1">SUMIFS(Table_Process_Details[RV Energy (MJ) per kg API (METAL)],Table_Process_Details[Display Name],Table_Process_Details[[#This Row],[Unique Process Inputs]],Table_Process_Details[Input or Output],"Input")</f>
        <v>0</v>
      </c>
      <c r="ED25" s="1">
        <f ca="1">SUMIFS(Table_Process_Details[RV Energy (MJ) per kg API (SOLVENT)],Table_Process_Details[Display Name],Table_Process_Details[[#This Row],[Unique Process Inputs]],Table_Process_Details[Input or Output],"Input")</f>
        <v>0</v>
      </c>
      <c r="EE25" s="1">
        <f ca="1">SUMIFS(Table_Process_Details[RV Energy (MJ) per kg API (WATER)],Table_Process_Details[Display Name],Table_Process_Details[[#This Row],[Unique Process Inputs]],Table_Process_Details[Input or Output],"Input")</f>
        <v>4.2443085442848486E-2</v>
      </c>
      <c r="EF25" s="1">
        <f ca="1">SUMIFS(Table_Process_Details[RV Energy (MJ) per kg API (ENZ&amp;PLNT)],Table_Process_Details[Display Name],Table_Process_Details[[#This Row],[Unique Process Inputs]],Table_Process_Details[Input or Output],"Input")</f>
        <v>0</v>
      </c>
      <c r="EG25" s="1">
        <f ca="1">SUMIFS(Table_Process_Details[RV Energy (MJ) per kg API (OTHER)],Table_Process_Details[Display Name],Table_Process_Details[[#This Row],[Unique Process Inputs]],Table_Process_Details[Input or Output],"Input")</f>
        <v>0</v>
      </c>
      <c r="EH25" s="1" t="str">
        <f ca="1">INDEX(Table_Process_Details[Unique Process Inputs],MATCH(Table_Process_Details[[#This Row],['[Energy (MJ) per kg API'] of Unique Inputs Sorted by '[Energy (MJ) per kg API']]],Table_Process_Details[Total '[Energy (MJ) per kg API'] of Unique Inputs],0))</f>
        <v>5 wt% reagent A (organic) in acetonitrile</v>
      </c>
      <c r="EI25" s="22">
        <f ca="1">IF(LARGE(Table_Process_Details[Total '[Energy (MJ) per kg API'] of Unique Inputs],Table_Process_Details[[#This Row],[Table Row]])=0,NA(),LARGE(Table_Process_Details[Total '[Energy (MJ) per kg API'] of Unique Inputs],Table_Process_Details[[#This Row],[Table Row]]))</f>
        <v>4.8137200206601536</v>
      </c>
      <c r="EJ25" s="22">
        <f ca="1">SUM(OFFSET(Table_Process_Details['[Energy (MJ) per kg API'] of Unique Inputs Sorted by '[Energy (MJ) per kg API']],0,0,Table_Process_Details[[#This Row],[Table Row]]))</f>
        <v>5058.0531447540261</v>
      </c>
      <c r="EK25" s="22" t="str">
        <f ca="1">"("&amp;TEXT(Table_Process_Details[[#This Row],['[Energy (MJ) per kg API'] of Unique Inputs Sorted by '[Energy (MJ) per kg API']]]/SUMIF(Table_Process_Details['[Energy (MJ) per kg API'] of Unique Inputs Sorted by '[Energy (MJ) per kg API']],"&lt;&gt;#N/A"),"0%")&amp;")"</f>
        <v>(0%)</v>
      </c>
      <c r="EL25" s="22">
        <f ca="1">INDEX(Table_Process_Details[Total '[Energy (MJ) per kg API'] of Unique Inputs (REAGENT)], MATCH(Table_Process_Details[[#This Row],[Unique Inputs Sorted by '[Energy (MJ) per kg API']]],Table_Process_Details[Unique Process Inputs],0))</f>
        <v>0.20933201018814515</v>
      </c>
      <c r="EM25" s="22">
        <f ca="1">INDEX(Table_Process_Details[Total '[Energy (MJ) per kg API'] of Unique Inputs (METAL)], MATCH(Table_Process_Details[[#This Row],[Unique Inputs Sorted by '[Energy (MJ) per kg API']]],Table_Process_Details[Unique Process Inputs],0))</f>
        <v>0</v>
      </c>
      <c r="EN25" s="22">
        <f ca="1">INDEX(Table_Process_Details[Total '[Energy (MJ) per kg API'] of Unique Inputs (SOLVENT)], MATCH(Table_Process_Details[[#This Row],[Unique Inputs Sorted by '[Energy (MJ) per kg API']]],Table_Process_Details[Unique Process Inputs],0))</f>
        <v>4.6043880104720083</v>
      </c>
      <c r="EO25" s="22">
        <f ca="1">INDEX(Table_Process_Details[Total '[Energy (MJ) per kg API'] of Unique Inputs (WATER)], MATCH(Table_Process_Details[[#This Row],[Unique Inputs Sorted by '[Energy (MJ) per kg API']]],Table_Process_Details[Unique Process Inputs],0))</f>
        <v>0</v>
      </c>
      <c r="EP25" s="22">
        <f ca="1">INDEX(Table_Process_Details[Total '[Energy (MJ) per kg API'] of Unique Inputs (ENZ&amp;PLNT)], MATCH(Table_Process_Details[[#This Row],[Unique Inputs Sorted by '[Energy (MJ) per kg API']]],Table_Process_Details[Unique Process Inputs],0))</f>
        <v>0</v>
      </c>
      <c r="EQ25" s="22">
        <f ca="1">INDEX(Table_Process_Details[Total '[Energy (MJ) per kg API'] of Unique Inputs (OTHER)], MATCH(Table_Process_Details[[#This Row],[Unique Inputs Sorted by '[Energy (MJ) per kg API']]],Table_Process_Details[Unique Process Inputs],0))</f>
        <v>0</v>
      </c>
      <c r="ER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0.55034550007785088</v>
      </c>
      <c r="ES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0.55034550007785088</v>
      </c>
      <c r="ET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5" s="22">
        <f ca="1">SUMIFS(Table_Process_Details[RV GWP (kg CO2 equiv.) per kg API],Table_Process_Details[Display Name],Table_Process_Details[[#This Row],[Unique Process Inputs]],Table_Process_Details[Input or Output],"Input")</f>
        <v>0.7905757611388885</v>
      </c>
      <c r="EZ25" s="1">
        <f ca="1">SUMIFS(Table_Process_Details[RV GWP (kg CO2 equiv.) per kg API (REAGENT)],Table_Process_Details[Display Name],Table_Process_Details[[#This Row],[Unique Process Inputs]],Table_Process_Details[Input or Output],"Input")</f>
        <v>0.78831367749035086</v>
      </c>
      <c r="FA25" s="1">
        <f ca="1">SUMIFS(Table_Process_Details[RV GWP (kg CO2 equiv.) per kg API (METAL)],Table_Process_Details[Display Name],Table_Process_Details[[#This Row],[Unique Process Inputs]],Table_Process_Details[Input or Output],"Input")</f>
        <v>0</v>
      </c>
      <c r="FB25" s="1">
        <f ca="1">SUMIFS(Table_Process_Details[RV GWP (kg CO2 equiv.) per kg API (SOLVENT)],Table_Process_Details[Display Name],Table_Process_Details[[#This Row],[Unique Process Inputs]],Table_Process_Details[Input or Output],"Input")</f>
        <v>0</v>
      </c>
      <c r="FC25" s="1">
        <f ca="1">SUMIFS(Table_Process_Details[RV GWP (kg CO2 equiv.) per kg API (WATER)],Table_Process_Details[Display Name],Table_Process_Details[[#This Row],[Unique Process Inputs]],Table_Process_Details[Input or Output],"Input")</f>
        <v>2.2620836485375845E-3</v>
      </c>
      <c r="FD25" s="1">
        <f ca="1">SUMIFS(Table_Process_Details[RV GWP (kg CO2 equiv.) per kg API (ENZ&amp;PLNT)],Table_Process_Details[Display Name],Table_Process_Details[[#This Row],[Unique Process Inputs]],Table_Process_Details[Input or Output],"Input")</f>
        <v>0</v>
      </c>
      <c r="FE25" s="1">
        <f ca="1">SUMIFS(Table_Process_Details[RV GWP (kg CO2 equiv.) per kg API (OTHER)],Table_Process_Details[Display Name],Table_Process_Details[[#This Row],[Unique Process Inputs]],Table_Process_Details[Input or Output],"Input")</f>
        <v>0</v>
      </c>
      <c r="FF25" s="22" t="str">
        <f ca="1">INDEX(Table_Process_Details[Unique Process Inputs],MATCH(Table_Process_Details[[#This Row],['[GWP (kg CO2 equiv.) per kg API'] of Unique Inputs Sorted by '[GWP (kg CO2 equiv.) per kg API']]],Table_Process_Details[Total '[GWP (kg CO2 equiv.) per kg API'] of Unique Inputs],0))</f>
        <v>15 wt% reagent C (inorganic) in water</v>
      </c>
      <c r="FG25" s="22">
        <f ca="1">IF(LARGE(Table_Process_Details[Total '[GWP (kg CO2 equiv.) per kg API'] of Unique Inputs],Table_Process_Details[[#This Row],[Table Row]])=0,NA(),LARGE(Table_Process_Details[Total '[GWP (kg CO2 equiv.) per kg API'] of Unique Inputs],Table_Process_Details[[#This Row],[Table Row]]))</f>
        <v>0.23338373307756505</v>
      </c>
      <c r="FH25" s="22">
        <f ca="1">SUM(OFFSET(Table_Process_Details['[GWP (kg CO2 equiv.) per kg API'] of Unique Inputs Sorted by '[GWP (kg CO2 equiv.) per kg API']],0,0,Table_Process_Details[[#This Row],[Table Row]]))</f>
        <v>155.85066344151585</v>
      </c>
      <c r="FI25" s="22" t="str">
        <f ca="1">"("&amp;TEXT(Table_Process_Details[[#This Row],['[GWP (kg CO2 equiv.) per kg API'] of Unique Inputs Sorted by '[GWP (kg CO2 equiv.) per kg API']]]/SUMIF(Table_Process_Details['[GWP (kg CO2 equiv.) per kg API'] of Unique Inputs Sorted by '[GWP (kg CO2 equiv.) per kg API']],"&lt;&gt;#N/A"),"0%")&amp;")"</f>
        <v>(0%)</v>
      </c>
      <c r="FJ25" s="22">
        <f ca="1">INDEX(Table_Process_Details[Total '[GWP (kg CO2 equiv.) per kg API'] of Unique Inputs (REAGENT)], MATCH(Table_Process_Details[[#This Row],[Unique Inputs Sorted by '[GWP (kg CO2 equiv.) per kg API']]],Table_Process_Details[Unique Process Inputs],0))</f>
        <v>0.23241811393554898</v>
      </c>
      <c r="FK25" s="22">
        <f ca="1">INDEX(Table_Process_Details[Total '[GWP (kg CO2 equiv.) per kg API'] of Unique Inputs (METAL)], MATCH(Table_Process_Details[[#This Row],[Unique Inputs Sorted by '[GWP (kg CO2 equiv.) per kg API']]],Table_Process_Details[Unique Process Inputs],0))</f>
        <v>0</v>
      </c>
      <c r="FL25" s="22">
        <f ca="1">INDEX(Table_Process_Details[Total '[GWP (kg CO2 equiv.) per kg API'] of Unique Inputs (SOLVENT)], MATCH(Table_Process_Details[[#This Row],[Unique Inputs Sorted by '[GWP (kg CO2 equiv.) per kg API']]],Table_Process_Details[Unique Process Inputs],0))</f>
        <v>0</v>
      </c>
      <c r="FM25" s="22">
        <f ca="1">INDEX(Table_Process_Details[Total '[GWP (kg CO2 equiv.) per kg API'] of Unique Inputs (WATER)], MATCH(Table_Process_Details[[#This Row],[Unique Inputs Sorted by '[GWP (kg CO2 equiv.) per kg API']]],Table_Process_Details[Unique Process Inputs],0))</f>
        <v>9.656191420160437E-4</v>
      </c>
      <c r="FN25" s="22">
        <f ca="1">INDEX(Table_Process_Details[Total '[GWP (kg CO2 equiv.) per kg API'] of Unique Inputs (ENZ&amp;PLNT)], MATCH(Table_Process_Details[[#This Row],[Unique Inputs Sorted by '[GWP (kg CO2 equiv.) per kg API']]],Table_Process_Details[Unique Process Inputs],0))</f>
        <v>0</v>
      </c>
      <c r="FO25" s="22">
        <f ca="1">INDEX(Table_Process_Details[Total '[GWP (kg CO2 equiv.) per kg API'] of Unique Inputs (OTHER)], MATCH(Table_Process_Details[[#This Row],[Unique Inputs Sorted by '[GWP (kg CO2 equiv.) per kg API']]],Table_Process_Details[Unique Process Inputs],0))</f>
        <v>0</v>
      </c>
      <c r="FP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2.3535214818460868E-3</v>
      </c>
      <c r="FQ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2.3535214818460868E-3</v>
      </c>
      <c r="FR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5" s="22">
        <f ca="1">SUMIFS(Table_Process_Details[RV Acidification (kg SO2 equiv.) per kg API],Table_Process_Details[Display Name],Table_Process_Details[[#This Row],[Unique Process Inputs]],Table_Process_Details[Input or Output],"Input")</f>
        <v>7.9179778009241808E-3</v>
      </c>
      <c r="FX25" s="1">
        <f ca="1">SUMIFS(Table_Process_Details[RV Acidification (kg SO2 equiv.) per kg API (REAGENT)],Table_Process_Details[Display Name],Table_Process_Details[[#This Row],[Unique Process Inputs]],Table_Process_Details[Input or Output],"Input")</f>
        <v>7.9093114747479983E-3</v>
      </c>
      <c r="FY25" s="1">
        <f ca="1">SUMIFS(Table_Process_Details[RV Acidification (kg SO2 equiv.) per kg API (METAL)],Table_Process_Details[Display Name],Table_Process_Details[[#This Row],[Unique Process Inputs]],Table_Process_Details[Input or Output],"Input")</f>
        <v>0</v>
      </c>
      <c r="FZ25" s="1">
        <f ca="1">SUMIFS(Table_Process_Details[RV Acidification (kg SO2 equiv.) per kg API (SOLVENT)],Table_Process_Details[Display Name],Table_Process_Details[[#This Row],[Unique Process Inputs]],Table_Process_Details[Input or Output],"Input")</f>
        <v>0</v>
      </c>
      <c r="GA25" s="1">
        <f ca="1">SUMIFS(Table_Process_Details[RV Acidification (kg SO2 equiv.) per kg API (WATER)],Table_Process_Details[Display Name],Table_Process_Details[[#This Row],[Unique Process Inputs]],Table_Process_Details[Input or Output],"Input")</f>
        <v>8.6663261761814061E-6</v>
      </c>
      <c r="GB25" s="1">
        <f ca="1">SUMIFS(Table_Process_Details[RV Acidification (kg SO2 equiv.) per kg API (ENZ&amp;PLNT)],Table_Process_Details[Display Name],Table_Process_Details[[#This Row],[Unique Process Inputs]],Table_Process_Details[Input or Output],"Input")</f>
        <v>0</v>
      </c>
      <c r="GC25" s="1">
        <f ca="1">SUMIFS(Table_Process_Details[RV Acidification (kg SO2 equiv.) per kg API (OTHER)],Table_Process_Details[Display Name],Table_Process_Details[[#This Row],[Unique Process Inputs]],Table_Process_Details[Input or Output],"Input")</f>
        <v>0</v>
      </c>
      <c r="GD25"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S (organic)</v>
      </c>
      <c r="GE25" s="22">
        <f ca="1">IF(LARGE(Table_Process_Details[Total '[Acidification (kg SO2 equiv.) per kg API'] of Unique Inputs],Table_Process_Details[[#This Row],[Table Row]])=0,NA(),LARGE(Table_Process_Details[Total '[Acidification (kg SO2 equiv.) per kg API'] of Unique Inputs],Table_Process_Details[[#This Row],[Table Row]]))</f>
        <v>1.5690143212298412E-3</v>
      </c>
      <c r="GF25" s="22">
        <f ca="1">SUM(OFFSET(Table_Process_Details['[Acidification (kg SO2 equiv.) per kg API'] of Unique Inputs Sorted by '[Acidification (kg SO2 equiv.) per kg API']],0,0,Table_Process_Details[[#This Row],[Table Row]]))</f>
        <v>0.65066076997780897</v>
      </c>
      <c r="GG25"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5" s="22">
        <f ca="1">INDEX(Table_Process_Details[Total '[Acidification (kg SO2 equiv.) per kg API'] of Unique Inputs (REAGENT)], MATCH(Table_Process_Details[[#This Row],[Unique Inputs Sorted by '[Acidification (kg SO2 equiv.) per kg API']]],Table_Process_Details[Unique Process Inputs],0))</f>
        <v>1.5690143212298412E-3</v>
      </c>
      <c r="GI25" s="22">
        <f ca="1">INDEX(Table_Process_Details[Total '[Acidification (kg SO2 equiv.) per kg API'] of Unique Inputs (METAL)], MATCH(Table_Process_Details[[#This Row],[Unique Inputs Sorted by '[Acidification (kg SO2 equiv.) per kg API']]],Table_Process_Details[Unique Process Inputs],0))</f>
        <v>0</v>
      </c>
      <c r="GJ25" s="22">
        <f ca="1">INDEX(Table_Process_Details[Total '[Acidification (kg SO2 equiv.) per kg API'] of Unique Inputs (SOLVENT)], MATCH(Table_Process_Details[[#This Row],[Unique Inputs Sorted by '[Acidification (kg SO2 equiv.) per kg API']]],Table_Process_Details[Unique Process Inputs],0))</f>
        <v>0</v>
      </c>
      <c r="GK25" s="22">
        <f ca="1">INDEX(Table_Process_Details[Total '[Acidification (kg SO2 equiv.) per kg API'] of Unique Inputs (WATER)], MATCH(Table_Process_Details[[#This Row],[Unique Inputs Sorted by '[Acidification (kg SO2 equiv.) per kg API']]],Table_Process_Details[Unique Process Inputs],0))</f>
        <v>0</v>
      </c>
      <c r="GL25" s="22">
        <f ca="1">INDEX(Table_Process_Details[Total '[Acidification (kg SO2 equiv.) per kg API'] of Unique Inputs (ENZ&amp;PLNT)], MATCH(Table_Process_Details[[#This Row],[Unique Inputs Sorted by '[Acidification (kg SO2 equiv.) per kg API']]],Table_Process_Details[Unique Process Inputs],0))</f>
        <v>0</v>
      </c>
      <c r="GM25" s="22">
        <f ca="1">INDEX(Table_Process_Details[Total '[Acidification (kg SO2 equiv.) per kg API'] of Unique Inputs (OTHER)], MATCH(Table_Process_Details[[#This Row],[Unique Inputs Sorted by '[Acidification (kg SO2 equiv.) per kg API']]],Table_Process_Details[Unique Process Inputs],0))</f>
        <v>0</v>
      </c>
      <c r="GN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1.884486973012736E-3</v>
      </c>
      <c r="GO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1.884486973012736E-3</v>
      </c>
      <c r="GP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5" s="22">
        <f ca="1">SUMIFS(Table_Process_Details[RV Eutrophication (kg phosphate equiv.) per kg API],Table_Process_Details[Display Name],Table_Process_Details[[#This Row],[Unique Process Inputs]],Table_Process_Details[Input or Output],"Input")</f>
        <v>4.0347327288918077E-4</v>
      </c>
      <c r="GV25" s="1">
        <f ca="1">SUMIFS(Table_Process_Details[RV Eutrophication (kg phosphate equiv.) per kg API (REAGENT)],Table_Process_Details[Display Name],Table_Process_Details[[#This Row],[Unique Process Inputs]],Table_Process_Details[Input or Output],"Input")</f>
        <v>3.9831064980745315E-4</v>
      </c>
      <c r="GW25" s="1">
        <f ca="1">SUMIFS(Table_Process_Details[RV Eutrophication (kg phosphate equiv.) per kg API (METAL)],Table_Process_Details[Display Name],Table_Process_Details[[#This Row],[Unique Process Inputs]],Table_Process_Details[Input or Output],"Input")</f>
        <v>0</v>
      </c>
      <c r="GX25" s="1">
        <f ca="1">SUMIFS(Table_Process_Details[RV Eutrophication (kg phosphate equiv.) per kg API (SOLVENT)],Table_Process_Details[Display Name],Table_Process_Details[[#This Row],[Unique Process Inputs]],Table_Process_Details[Input or Output],"Input")</f>
        <v>0</v>
      </c>
      <c r="GY25" s="1">
        <f ca="1">SUMIFS(Table_Process_Details[RV Eutrophication (kg phosphate equiv.) per kg API (WATER)],Table_Process_Details[Display Name],Table_Process_Details[[#This Row],[Unique Process Inputs]],Table_Process_Details[Input or Output],"Input")</f>
        <v>5.1626230817276264E-6</v>
      </c>
      <c r="GZ25" s="1">
        <f ca="1">SUMIFS(Table_Process_Details[RV Eutrophication (kg phosphate equiv.) per kg API (ENZ&amp;PLNT)],Table_Process_Details[Display Name],Table_Process_Details[[#This Row],[Unique Process Inputs]],Table_Process_Details[Input or Output],"Input")</f>
        <v>0</v>
      </c>
      <c r="HA25" s="1">
        <f ca="1">SUMIFS(Table_Process_Details[RV Eutrophication (kg phosphate equiv.) per kg API (OTHER)],Table_Process_Details[Display Name],Table_Process_Details[[#This Row],[Unique Process Inputs]],Table_Process_Details[Input or Output],"Input")</f>
        <v>0</v>
      </c>
      <c r="HB25"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6 M HCl (aq)</v>
      </c>
      <c r="HC25" s="22">
        <f ca="1">IF(LARGE(Table_Process_Details[Total '[Eutrophication (kg posphate equiv.) per kg API'] of Unique Inputs],Table_Process_Details[[#This Row],[Table Row]])=0,NA(),LARGE(Table_Process_Details[Total '[Eutrophication (kg posphate equiv.) per kg API'] of Unique Inputs],Table_Process_Details[[#This Row],[Table Row]]))</f>
        <v>4.0347327288918077E-4</v>
      </c>
      <c r="HD25" s="22">
        <f ca="1">SUM(OFFSET(Table_Process_Details['[Eutrophication (kg posphate equiv.) per kg API'] of Unique Inputs Sorted by '[Eutrophication (kg posphate equiv.) per kg API']],0,0,Table_Process_Details[[#This Row],[Table Row]]))</f>
        <v>1.3751902750542928</v>
      </c>
      <c r="HE25"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5" s="1">
        <f ca="1">INDEX(Table_Process_Details[Total '[Eutrophication (kg posphate equiv.) per kg API'] of Unique Inputs (REAGENT)], MATCH(Table_Process_Details[[#This Row],[Unique Inputs Sorted by '[Eutrophication (kg posphate equiv.) per kg API']]],Table_Process_Details[Unique Process Inputs],0))</f>
        <v>3.9831064980745315E-4</v>
      </c>
      <c r="HG25" s="1">
        <f ca="1">INDEX(Table_Process_Details[Total '[Eutrophication (kg posphate equiv.) per kg API'] of Unique Inputs (METAL)], MATCH(Table_Process_Details[[#This Row],[Unique Inputs Sorted by '[Eutrophication (kg posphate equiv.) per kg API']]],Table_Process_Details[Unique Process Inputs],0))</f>
        <v>0</v>
      </c>
      <c r="HH25" s="1">
        <f ca="1">INDEX(Table_Process_Details[Total '[Eutrophication (kg posphate equiv.) per kg API'] of Unique Inputs (SOLVENT)], MATCH(Table_Process_Details[[#This Row],[Unique Inputs Sorted by '[Eutrophication (kg posphate equiv.) per kg API']]],Table_Process_Details[Unique Process Inputs],0))</f>
        <v>0</v>
      </c>
      <c r="HI25" s="1">
        <f ca="1">INDEX(Table_Process_Details[Total '[Eutrophication (kg posphate equiv.) per kg API'] of Unique Inputs (WATER)], MATCH(Table_Process_Details[[#This Row],[Unique Inputs Sorted by '[Eutrophication (kg posphate equiv.) per kg API']]],Table_Process_Details[Unique Process Inputs],0))</f>
        <v>5.1626230817276264E-6</v>
      </c>
      <c r="HJ25" s="1">
        <f ca="1">INDEX(Table_Process_Details[Total '[Eutrophication (kg posphate equiv.) per kg API'] of Unique Inputs (ENZ&amp;PLNT)], MATCH(Table_Process_Details[[#This Row],[Unique Inputs Sorted by '[Eutrophication (kg posphate equiv.) per kg API']]],Table_Process_Details[Unique Process Inputs],0))</f>
        <v>0</v>
      </c>
      <c r="HK25" s="1">
        <f ca="1">INDEX(Table_Process_Details[Total '[Eutrophication (kg posphate equiv.) per kg API'] of Unique Inputs (OTHER)], MATCH(Table_Process_Details[[#This Row],[Unique Inputs Sorted by '[Eutrophication (kg posphate equiv.) per kg API']]],Table_Process_Details[Unique Process Inputs],0))</f>
        <v>0</v>
      </c>
      <c r="HL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3.0816536485243486</v>
      </c>
      <c r="HM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3.0816536485243486</v>
      </c>
      <c r="HN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5" s="1">
        <f ca="1">SUMIFS(Table_Process_Details[RV Water (kg) per kg API],Table_Process_Details[Display Name],Table_Process_Details[[#This Row],[Unique Process Inputs]],Table_Process_Details[Input or Output],"Input")</f>
        <v>3.2068314369275428</v>
      </c>
      <c r="HT25" s="1">
        <f ca="1">SUMIFS(Table_Process_Details[RV Water (kg) per kg API (REAGENT)],Table_Process_Details[Display Name],Table_Process_Details[[#This Row],[Unique Process Inputs]],Table_Process_Details[Input or Output],"Input")</f>
        <v>0.39332038638057976</v>
      </c>
      <c r="HU25" s="1">
        <f ca="1">SUMIFS(Table_Process_Details[RV Water (kg) per kg API (METAL)],Table_Process_Details[Display Name],Table_Process_Details[[#This Row],[Unique Process Inputs]],Table_Process_Details[Input or Output],"Input")</f>
        <v>0</v>
      </c>
      <c r="HV25" s="1">
        <f ca="1">SUMIFS(Table_Process_Details[RV Water (kg) per kg API (SOLVENT)],Table_Process_Details[Display Name],Table_Process_Details[[#This Row],[Unique Process Inputs]],Table_Process_Details[Input or Output],"Input")</f>
        <v>0</v>
      </c>
      <c r="HW25" s="1">
        <f ca="1">SUMIFS(Table_Process_Details[RV Water (kg) per kg API (WATER)],Table_Process_Details[Display Name],Table_Process_Details[[#This Row],[Unique Process Inputs]],Table_Process_Details[Input or Output],"Input")</f>
        <v>2.8135110505469632</v>
      </c>
      <c r="HX25" s="1">
        <f ca="1">SUMIFS(Table_Process_Details[RV Water (kg) per kg API (ENZ&amp;PLNT)],Table_Process_Details[Display Name],Table_Process_Details[[#This Row],[Unique Process Inputs]],Table_Process_Details[Input or Output],"Input")</f>
        <v>0</v>
      </c>
      <c r="HY25" s="1">
        <f ca="1">SUMIFS(Table_Process_Details[RV Water (kg) per kg API (OTHER)],Table_Process_Details[Display Name],Table_Process_Details[[#This Row],[Unique Process Inputs]],Table_Process_Details[Input or Output],"Input")</f>
        <v>0</v>
      </c>
      <c r="HZ25" s="22" t="str">
        <f ca="1">INDEX(Table_Process_Details[Unique Process Inputs],MATCH(Table_Process_Details[[#This Row],['[Water (kg) per kg API'] of Unique Inputs Sorted by '[Water (kg) per kg API']]],Table_Process_Details[Total '[Water (kg) per kg API'] of Unique Inputs],0))</f>
        <v>95 wt% reagent M (organic)</v>
      </c>
      <c r="IA25" s="22">
        <f ca="1">IF(LARGE(Table_Process_Details[Total '[Water (kg) per kg API'] of Unique Inputs],Table_Process_Details[[#This Row],[Table Row]])=0,NA(),LARGE(Table_Process_Details[Total '[Water (kg) per kg API'] of Unique Inputs],Table_Process_Details[[#This Row],[Table Row]]))</f>
        <v>1.5852507726188305</v>
      </c>
      <c r="IB25" s="1">
        <f ca="1">SUM(OFFSET(Table_Process_Details['[Water (kg) per kg API'] of Unique Inputs Sorted by '[Water (kg) per kg API']],0,0,Table_Process_Details[[#This Row],[Table Row]]))</f>
        <v>883.98571932657546</v>
      </c>
      <c r="IC25" s="1" t="str">
        <f ca="1">"("&amp;TEXT(Table_Process_Details[[#This Row],['[Water (kg) per kg API'] of Unique Inputs Sorted by '[Water (kg) per kg API']]]/SUMIF(Table_Process_Details['[Water (kg) per kg API'] of Unique Inputs Sorted by '[Water (kg) per kg API']],"&lt;&gt;#N/A"),"0%")&amp;")"</f>
        <v>(0%)</v>
      </c>
      <c r="ID25" s="1">
        <f ca="1">INDEX(Table_Process_Details[Total '[Water (kg) per kg API'] of Unique Inputs (REAGENT)], MATCH(Table_Process_Details[[#This Row],[Unique Inputs Sorted by '[Water (kg) per kg API']]],Table_Process_Details[Unique Process Inputs],0))</f>
        <v>1.4461409432923484</v>
      </c>
      <c r="IE25" s="1">
        <f ca="1">INDEX(Table_Process_Details[Total '[Water (kg) per kg API'] of Unique Inputs (METAL)], MATCH(Table_Process_Details[[#This Row],[Unique Inputs Sorted by '[Water (kg) per kg API']]],Table_Process_Details[Unique Process Inputs],0))</f>
        <v>0</v>
      </c>
      <c r="IF25" s="1">
        <f ca="1">INDEX(Table_Process_Details[Total '[Water (kg) per kg API'] of Unique Inputs (SOLVENT)], MATCH(Table_Process_Details[[#This Row],[Unique Inputs Sorted by '[Water (kg) per kg API']]],Table_Process_Details[Unique Process Inputs],0))</f>
        <v>0</v>
      </c>
      <c r="IG25" s="1">
        <f ca="1">INDEX(Table_Process_Details[Total '[Water (kg) per kg API'] of Unique Inputs (WATER)], MATCH(Table_Process_Details[[#This Row],[Unique Inputs Sorted by '[Water (kg) per kg API']]],Table_Process_Details[Unique Process Inputs],0))</f>
        <v>0.13910982932648203</v>
      </c>
      <c r="IH25" s="1">
        <f ca="1">INDEX(Table_Process_Details[Total '[Water (kg) per kg API'] of Unique Inputs (ENZ&amp;PLNT)], MATCH(Table_Process_Details[[#This Row],[Unique Inputs Sorted by '[Water (kg) per kg API']]],Table_Process_Details[Unique Process Inputs],0))</f>
        <v>0</v>
      </c>
      <c r="II25" s="1">
        <f ca="1">INDEX(Table_Process_Details[Total '[Water (kg) per kg API'] of Unique Inputs (OTHER)], MATCH(Table_Process_Details[[#This Row],[Unique Inputs Sorted by '[Water (kg) per kg API']]],Table_Process_Details[Unique Process Inputs],0))</f>
        <v>0</v>
      </c>
    </row>
    <row r="26" spans="1:243" customFormat="1" x14ac:dyDescent="0.25">
      <c r="A26" s="22" t="str">
        <f t="shared" si="0"/>
        <v>1) Synthesis of Intermediate (1)</v>
      </c>
      <c r="B26" s="21" t="s">
        <v>4</v>
      </c>
      <c r="C26" s="21" t="s">
        <v>153</v>
      </c>
      <c r="D26" s="22" t="s">
        <v>156</v>
      </c>
      <c r="E26" s="22" t="s">
        <v>824</v>
      </c>
      <c r="F26" s="26">
        <v>0.1</v>
      </c>
      <c r="G26" s="26"/>
      <c r="H26" s="26"/>
      <c r="I26" s="26"/>
      <c r="J26" s="26" t="str">
        <f>INDEX(Process_Steps[Reference],MATCH(Table_Process_Details[[#This Row],[Step Name]],Process_Steps[Name],0))</f>
        <v>Reference Document  for Step 1</v>
      </c>
      <c r="K26" s="27" t="str">
        <f>INDEX(Process_Steps[Real or Virtual?],MATCH(Table_Process_Details[[#This Row],[Step Name]],Process_Steps[Name],0))</f>
        <v>Real</v>
      </c>
      <c r="L2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6" s="26">
        <f>INDEX(Table_Process_Details[Physical Mass (kg)],MATCH(1,INDEX(((Table_Process_Details[Step Name]=Table_Process_Details[[#This Row],[Step Name]])*(Table_Process_Details[Input or Output]="Output")),0),0))</f>
        <v>51.020408163265309</v>
      </c>
      <c r="O26" s="29">
        <f ca="1">INDEX(Process_Steps[Step Scale Factor for 1kg Packaged API],MATCH(Table_Process_Details[[#This Row],[Step Name]],Process_Steps[Name],0))</f>
        <v>6.9901025556863543E-3</v>
      </c>
      <c r="P2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6.333333333333333</v>
      </c>
      <c r="Q2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13.333333333333332</v>
      </c>
      <c r="R26" s="26">
        <f ca="1">_xlfn.SWITCH(Run_Reset_PNG,"Reset",Table_Process_Details[[#This Row],[X Init]],"Run",Table_Process_Details[[#This Row],[X Moved]],"Freeze",Table_Process_Details[[#This Row],[X Mover]])</f>
        <v>0.53132395721209646</v>
      </c>
      <c r="S26" s="26">
        <f ca="1">_xlfn.SWITCH(Run_Reset_PNG,"Reset",Table_Process_Details[[#This Row],[Y Init]],"Run",Table_Process_Details[[#This Row],[Y Moved]],"Freeze",Table_Process_Details[[#This Row],[Y Mover]])</f>
        <v>25.453402857169742</v>
      </c>
      <c r="T26" s="26" cm="1">
        <f t="array" aca="1" ref="T2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-1.1903954644550041</v>
      </c>
      <c r="U26" s="26" cm="1">
        <f t="array" aca="1" ref="U2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11.674481109405303</v>
      </c>
      <c r="V26" s="26" cm="1">
        <f t="array" aca="1" ref="V26" ca="1">SUM(--(SQRT((Table_Process_Details[[#This Row],[X Mover]]-Table_Process_Details[X Mover])^2+(Table_Process_Details[[#This Row],[Y Mover]]-Table_Process_Details[Y Mover])^2)&lt;Collision_Distance))</f>
        <v>21</v>
      </c>
      <c r="W26" s="26" cm="1">
        <f t="array" aca="1" ref="W2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2.9886352939272373E-2</v>
      </c>
      <c r="X26" s="26" cm="1">
        <f t="array" aca="1" ref="X2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-0.45225009226861446</v>
      </c>
      <c r="Y26" s="26" cm="1">
        <f t="array" aca="1" ref="Y2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6" s="26">
        <f>0</f>
        <v>0</v>
      </c>
      <c r="AA26" s="26">
        <f>0</f>
        <v>0</v>
      </c>
      <c r="AB2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-0.26566197860604823</v>
      </c>
      <c r="AC26" s="26" cm="1">
        <f t="array" aca="1" ref="AC2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-12.726701428584871</v>
      </c>
      <c r="AD26" s="26">
        <f>MIN(1,COUNTA(Table_Process_Details[[#This Row],[target x]]),COUNTA(Table_Process_Details[[#This Row],[target y]]))*COUNTA(Table_Process_Details[Step Name])</f>
        <v>98</v>
      </c>
      <c r="AE2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0.50181397532759942</v>
      </c>
      <c r="AF2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25.427216136485889</v>
      </c>
      <c r="AG2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6" s="26" cm="1">
        <f t="array" aca="1" ref="AH26" ca="1">INDEX(Table_Process_Details[X Mover],MATCH(1,INDEX((Table_Process_Details[Input or Output]="Output")*(Table_Process_Details[Step Name]=Table_Process_Details[[#This Row],[Step Name]])*(Table_Process_Details[[#This Row],[Input or Output]]="Input"),0),0))</f>
        <v>0.78891624628593393</v>
      </c>
      <c r="AI26" s="26" cm="1">
        <f t="array" aca="1" ref="AI26" ca="1">INDEX(Table_Process_Details[Y Mover],MATCH(1,INDEX((Table_Process_Details[Input or Output]="Output")*(Table_Process_Details[Step Name]=Table_Process_Details[[#This Row],[Step Name]])*(Table_Process_Details[[#This Row],[Input or Output]]="Input"),0),0))</f>
        <v>21.555431875630404</v>
      </c>
      <c r="AJ26" s="26">
        <f ca="1">SQRT((Table_Process_Details[[#This Row],[X End (To Node Center)]]-Table_Process_Details[[#This Row],[X Guide]])^2+(Table_Process_Details[[#This Row],[Y End (to Node Center)]]-Table_Process_Details[[#This Row],[Y Guide]])^2)</f>
        <v>3.9064730333528539</v>
      </c>
      <c r="AK26" s="26" t="e" cm="1">
        <f t="array" ref="AK26">INDEX(Table_Process_Details[X Mover],MATCH(1,INDEX((Table_Process_Details[Step Name]=Table_Process_Details[[#This Row],[LCA Data Source Subclass]])*(Table_Process_Details[Input or Output]="Output"),0)*(Table_Process_Details[[#This Row],[Input or Output]]="Input"),0))</f>
        <v>#N/A</v>
      </c>
      <c r="AL26" s="26" cm="1">
        <f t="array" aca="1" ref="AL26" ca="1">INDEX(Table_Process_Details[X Mover],MATCH(1,INDEX(((Table_Process_Details[Table Row]=Table_Process_Details[[#This Row],[Table Row]])*(1)),0)*(Table_Process_Details[[#This Row],[Input or Output]]="Input"),0))</f>
        <v>0.53132395721209646</v>
      </c>
      <c r="AM26" s="26" cm="1">
        <f t="array" aca="1" ref="AM26" ca="1">(Table_Process_Details[[#This Row],[X End (To Node Center)]]*Table_Process_Details[[#This Row],[r0]]-Table_Process_Details[[#This Row],[X End (To Node Center)]]*Arrow_Offset+Table_Process_Details[[#This Row],[X Guide]]*Arrow_Offset)/Table_Process_Details[[#This Row],[r0]]</f>
        <v>0.73616435743385589</v>
      </c>
      <c r="AN26" s="26" t="e">
        <f>IF(NOT(Table_Process_Details[[#This Row],[Display As]]="None"),Table_Process_Details[[#This Row],[X Start Prefilter]],NA())</f>
        <v>#N/A</v>
      </c>
      <c r="AO26" s="26">
        <f ca="1">IF(NOT(Table_Process_Details[[#This Row],[Display As]]="None"),Table_Process_Details[[#This Row],[X Guide Prefilter]],NA())</f>
        <v>0.53132395721209646</v>
      </c>
      <c r="AP26" s="26">
        <f ca="1">IF(NOT(Table_Process_Details[[#This Row],[Display As]]="None"),Table_Process_Details[[#This Row],[X End (to Stop Radius) Prefilter]],NA())</f>
        <v>0.73616435743385589</v>
      </c>
      <c r="AQ26" s="26" t="e">
        <f>NA()</f>
        <v>#N/A</v>
      </c>
      <c r="AR26" s="26" t="e" cm="1">
        <f t="array" ref="AR26">INDEX(Table_Process_Details[Y Mover],MATCH(1,INDEX((Table_Process_Details[Step Name]=Table_Process_Details[[#This Row],[LCA Data Source Subclass]])*(Table_Process_Details[Input or Output]="Output"),0)*(Table_Process_Details[[#This Row],[Input or Output]]="Input"),0))</f>
        <v>#N/A</v>
      </c>
      <c r="AS26" s="26" cm="1">
        <f t="array" aca="1" ref="AS26" ca="1">INDEX(Table_Process_Details[Y Mover],MATCH(1,INDEX(((Table_Process_Details[Table Row]=Table_Process_Details[[#This Row],[Table Row]])*(1)),0)*(Table_Process_Details[[#This Row],[Input or Output]]="Input"),0))</f>
        <v>25.453402857169742</v>
      </c>
      <c r="AT26" s="26" cm="1">
        <f t="array" aca="1" ref="AT26" ca="1">(Table_Process_Details[[#This Row],[Y Guide]]*Arrow_Offset-Table_Process_Details[[#This Row],[Y End (to Node Center)]]*Arrow_Offset+Table_Process_Details[[#This Row],[Y End (to Node Center)]]*Table_Process_Details[[#This Row],[r0]])/Table_Process_Details[[#This Row],[r0]]</f>
        <v>22.353690754830971</v>
      </c>
      <c r="AU26" s="26" t="e">
        <f>IF(NOT(Table_Process_Details[[#This Row],[Display As]]="None"),Table_Process_Details[[#This Row],[Y Start Prefilter]],NA())</f>
        <v>#N/A</v>
      </c>
      <c r="AV26" s="26">
        <f ca="1">IF(NOT(Table_Process_Details[[#This Row],[Display As]]="None"),Table_Process_Details[[#This Row],[Y Guide Prefilter]],NA())</f>
        <v>25.453402857169742</v>
      </c>
      <c r="AW26" s="26">
        <f ca="1">IF(NOT(Table_Process_Details[[#This Row],[Display As]]="None"),Table_Process_Details[[#This Row],[Y End (to Stop Radius) Prefilter]],NA())</f>
        <v>22.353690754830971</v>
      </c>
      <c r="AX26" s="26" t="e">
        <f>NA()</f>
        <v>#N/A</v>
      </c>
      <c r="AY26" s="26" t="e">
        <f>IF(Table_Process_Details[[#This Row],[Display As]]="Real Step",Table_Process_Details[[#This Row],[X Mover]],NA())</f>
        <v>#N/A</v>
      </c>
      <c r="AZ26" s="26" t="e">
        <f>IF(Table_Process_Details[[#This Row],[Display As]]="Real Step",Table_Process_Details[[#This Row],[Y Mover]],NA())</f>
        <v>#N/A</v>
      </c>
      <c r="BA26" s="26">
        <f ca="1">IF(Table_Process_Details[[#This Row],[Display As]]="Raw Material",Table_Process_Details[[#This Row],[X Mover]],NA())</f>
        <v>0.53132395721209646</v>
      </c>
      <c r="BB26" s="26">
        <f ca="1">IF(Table_Process_Details[[#This Row],[Display As]]="Raw Material",Table_Process_Details[[#This Row],[Y Mover]],NA())</f>
        <v>25.453402857169742</v>
      </c>
      <c r="BC26" s="26">
        <f ca="1">IF(OR(Table_Process_Details[[#This Row],[Display As]]="Real Step",Table_Process_Details[[#This Row],[Display As]]="Raw Material"),Table_Process_Details[[#This Row],[X Mover]],NA())</f>
        <v>0.53132395721209646</v>
      </c>
      <c r="BD26" s="26">
        <f ca="1">IF(OR(Table_Process_Details[[#This Row],[Display As]]="Real Step",Table_Process_Details[[#This Row],[Display As]]="Raw Material"),Table_Process_Details[[#This Row],[Y Mover]],NA())</f>
        <v>25.453402857169742</v>
      </c>
      <c r="BE26" s="22">
        <f>ROW()-ROW(Table_Process_Details[[#Headers],[Table Row]])</f>
        <v>22</v>
      </c>
      <c r="BF26" s="23" t="str" cm="1">
        <f t="array" aca="1" ref="BF26" ca="1">INDEX(Table_Process_Details[Display Name],MATCH(0,IF(Table_Process_Details[Input or Output]="Input",INDEX(COUNTIF(OFFSET(Table_Process_Details[[#Headers],[Unique Process Inputs]],0,0,Table_Process_Details[[#This Row],[Table Row]],1),Table_Process_Details[Display Name]),),""),0))</f>
        <v>toluene</v>
      </c>
      <c r="BG26" s="23">
        <f ca="1">Table_Process_Details[[#This Row],[Physical Mass (kg)]]*Table_Process_Details[[#This Row],[Step Scale Factor for 1kg Packaged API]]</f>
        <v>6.990102555686355E-4</v>
      </c>
      <c r="BH2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6" s="23">
        <f ca="1">MATCH(Table_Process_Details[[#This Row],[LCA Data Source Class]],INDIRECT(Table_Process_Details[[#This Row],[Input or Output]]),0)</f>
        <v>3</v>
      </c>
      <c r="BJ26" s="23">
        <f ca="1">MATCH(Table_Process_Details[[#This Row],[LCA Data Source Subclass]],INDIRECT(Table_Process_Details[[#This Row],[LCA Data Source Class]]&amp;"[Name]"),0)</f>
        <v>1</v>
      </c>
      <c r="BK26" s="23">
        <f ca="1">IFERROR(INDEX(INDIRECT(Table_Process_Details[[#This Row],[LCA Data Source Class]]&amp;"[Mass Net (kg)]"),MATCH(Table_Process_Details[[#This Row],[LCA Data Source Subclass]],INDIRECT(Table_Process_Details[[#This Row],[LCA Data Source Class]]&amp;"[Name]"),0)),0)</f>
        <v>2.0861208174193546</v>
      </c>
      <c r="BL26" s="23">
        <f ca="1">IFERROR(INDEX(INDIRECT(Table_Process_Details[[#This Row],[LCA Data Source Class]]&amp;"[Energy (MJ)]"),MATCH(Table_Process_Details[[#This Row],[LCA Data Source Subclass]],INDIRECT(Table_Process_Details[[#This Row],[LCA Data Source Class]]&amp;"[Name]"),0)),0)</f>
        <v>74.867288612903238</v>
      </c>
      <c r="BM26" s="23">
        <f ca="1">IFERROR(INDEX(INDIRECT(Table_Process_Details[[#This Row],[LCA Data Source Class]]&amp;"[GWP (kg CO2 equiv.)]"),MATCH(Table_Process_Details[[#This Row],[LCA Data Source Subclass]],INDIRECT(Table_Process_Details[[#This Row],[LCA Data Source Class]]&amp;"[Name]"),0)),0)</f>
        <v>2.6244035558064511</v>
      </c>
      <c r="BN26" s="23">
        <f ca="1">IFERROR(INDEX(INDIRECT(Table_Process_Details[[#This Row],[LCA Data Source Class]]&amp;"[Acidification (kg SO2 equiv.)]"),MATCH(Table_Process_Details[[#This Row],[LCA Data Source Subclass]],INDIRECT(Table_Process_Details[[#This Row],[LCA Data Source Class]]&amp;"[Name]"),0)),0)</f>
        <v>1.1223113743548388E-2</v>
      </c>
      <c r="BO26" s="23">
        <f ca="1">IFERROR(INDEX(INDIRECT(Table_Process_Details[[#This Row],[LCA Data Source Class]]&amp;"[Eutrophication (kg posphate equiv.)]"),MATCH(Table_Process_Details[[#This Row],[LCA Data Source Subclass]],INDIRECT(Table_Process_Details[[#This Row],[LCA Data Source Class]]&amp;"[Name]"),0)),0)</f>
        <v>8.9864536225806452E-3</v>
      </c>
      <c r="BP26" s="23">
        <f ca="1">IFERROR(INDEX(INDIRECT(Table_Process_Details[[#This Row],[LCA Data Source Class]]&amp;"[Water (kg)]"),MATCH(Table_Process_Details[[#This Row],[LCA Data Source Subclass]],INDIRECT(Table_Process_Details[[#This Row],[LCA Data Source Class]]&amp;"[Name]"),0)),0)</f>
        <v>14.695319198225807</v>
      </c>
      <c r="BQ26" s="27">
        <f ca="1">(Table_Process_Details[[#This Row],[Input or Output]]="Input")*(Table_Process_Details[[#This Row],[LCA Data Source Class]]&lt;&gt;"Process_Steps")*Table_Process_Details[[#This Row],[Scaled Physical Mass per kg API for All Inputs &amp; Outputs]]</f>
        <v>6.990102555686355E-4</v>
      </c>
      <c r="BR26" s="27">
        <f ca="1">(Table_Process_Details[[#This Row],[Material Class]]="REAGENT")*Table_Process_Details[[#This Row],[Physical Mass per kg API]]</f>
        <v>6.990102555686355E-4</v>
      </c>
      <c r="BS26" s="27">
        <f ca="1">(Table_Process_Details[[#This Row],[Material Class]]="METAL")*Table_Process_Details[[#This Row],[Physical Mass per kg API]]</f>
        <v>0</v>
      </c>
      <c r="BT26" s="27">
        <f ca="1">(Table_Process_Details[[#This Row],[Material Class]]="SOLVENT")*Table_Process_Details[[#This Row],[Physical Mass per kg API]]</f>
        <v>0</v>
      </c>
      <c r="BU26" s="27">
        <f ca="1">(Table_Process_Details[[#This Row],[Material Class]]="WATER")*Table_Process_Details[[#This Row],[Physical Mass per kg API]]</f>
        <v>0</v>
      </c>
      <c r="BV26" s="27">
        <f ca="1">(Table_Process_Details[[#This Row],[Material Class]]="ENZ&amp;PLNT")*Table_Process_Details[[#This Row],[Physical Mass per kg API]]</f>
        <v>0</v>
      </c>
      <c r="BW26" s="27">
        <f ca="1">(Table_Process_Details[[#This Row],[Material Class]]="OTHER")*Table_Process_Details[[#This Row],[Physical Mass per kg API]]</f>
        <v>0</v>
      </c>
      <c r="BX2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6.990102555686355E-4</v>
      </c>
      <c r="BY2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6.990102555686355E-4</v>
      </c>
      <c r="BZ2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6" s="1">
        <f ca="1">SUMIFS(Table_Process_Details[RV Physical Mass per kg API],Table_Process_Details[Display Name],Table_Process_Details[[#This Row],[Unique Process Inputs]],Table_Process_Details[Input or Output],"Input")</f>
        <v>11.499788617755435</v>
      </c>
      <c r="CF26" s="1">
        <f ca="1">SUMIFS(Table_Process_Details[RV Physical Mass per kg API (REAGENT)],Table_Process_Details[Display Name],Table_Process_Details[[#This Row],[Unique Process Inputs]],Table_Process_Details[Input or Output],"Input")</f>
        <v>0</v>
      </c>
      <c r="CG26" s="1">
        <f ca="1">SUMIFS(Table_Process_Details[RV Physical Mass per kg API (METAL)],Table_Process_Details[Display Name],Table_Process_Details[[#This Row],[Unique Process Inputs]],Table_Process_Details[Input or Output],"Input")</f>
        <v>0</v>
      </c>
      <c r="CH26" s="1">
        <f ca="1">SUMIFS(Table_Process_Details[RV Physical Mass per kg API (SOLVENT)],Table_Process_Details[Display Name],Table_Process_Details[[#This Row],[Unique Process Inputs]],Table_Process_Details[Input or Output],"Input")</f>
        <v>11.499788617755435</v>
      </c>
      <c r="CI26" s="1">
        <f ca="1">SUMIFS(Table_Process_Details[RV Physical Mass per kg API (WATER)],Table_Process_Details[Display Name],Table_Process_Details[[#This Row],[Unique Process Inputs]],Table_Process_Details[Input or Output],"Input")</f>
        <v>0</v>
      </c>
      <c r="CJ26" s="1">
        <f ca="1">SUMIFS(Table_Process_Details[RV Physical Mass per kg API (ENZ&amp;PLNT)],Table_Process_Details[Display Name],Table_Process_Details[[#This Row],[Unique Process Inputs]],Table_Process_Details[Input or Output],"Input")</f>
        <v>0</v>
      </c>
      <c r="CK26" s="1">
        <f ca="1">SUMIFS(Table_Process_Details[RV Physical Mass per kg API (OTHER)],Table_Process_Details[Display Name],Table_Process_Details[[#This Row],[Unique Process Inputs]],Table_Process_Details[Input or Output],"Input")</f>
        <v>0</v>
      </c>
      <c r="CL26" s="22" t="str">
        <f ca="1">INDEX(Table_Process_Details[Unique Process Inputs],MATCH(Table_Process_Details[[#This Row],['[Physical Mass per kg API'] of Unique Inputs Sorted by '[Physical Mass per kg API']]],Table_Process_Details[Total '[Physical Mass per kg API'] of Unique Inputs],0))</f>
        <v>30 wt% reagent F (inorganic) in water</v>
      </c>
      <c r="CM26" s="22">
        <f ca="1">IF(LARGE(Table_Process_Details[Total '[Physical Mass per kg API'] of Unique Inputs],Table_Process_Details[[#This Row],[Table Row]])=0,NA(),LARGE(Table_Process_Details[Total '[Physical Mass per kg API'] of Unique Inputs],Table_Process_Details[[#This Row],[Table Row]]))</f>
        <v>0.69901025556824192</v>
      </c>
      <c r="CN26" s="22">
        <f ca="1">SUM(OFFSET(Table_Process_Details['[Physical Mass per kg API'] of Unique Inputs Sorted by '[Physical Mass per kg API']],0,0,Table_Process_Details[[#This Row],[Table Row]]))</f>
        <v>146.80427329461293</v>
      </c>
      <c r="CO26" s="22" t="str">
        <f ca="1">"("&amp;TEXT(Table_Process_Details[[#This Row],['[Physical Mass per kg API'] of Unique Inputs Sorted by '[Physical Mass per kg API']]]/SUMIF(Table_Process_Details['[Physical Mass per kg API'] of Unique Inputs Sorted by '[Physical Mass per kg API']],"&lt;&gt;#N/A"),"0%")&amp;")"</f>
        <v>(0%)</v>
      </c>
      <c r="CP26" s="22">
        <f ca="1">INDEX(Table_Process_Details[Total '[Physical Mass per kg API'] of Unique Inputs (REAGENT)],MATCH(Table_Process_Details[[#This Row],[Unique Inputs Sorted by '[Physical Mass per kg API']]],Table_Process_Details[Unique Process Inputs],0))</f>
        <v>0.19063916060952052</v>
      </c>
      <c r="CQ26" s="22">
        <f ca="1">INDEX(Table_Process_Details[Total '[Physical Mass per kg API'] of Unique Inputs (METAL)],MATCH(Table_Process_Details[[#This Row],[Unique Inputs Sorted by '[Physical Mass per kg API']]],Table_Process_Details[Unique Process Inputs],0))</f>
        <v>0</v>
      </c>
      <c r="CR26" s="22">
        <f ca="1">INDEX(Table_Process_Details[Total '[Physical Mass per kg API'] of Unique Inputs (SOLVENT)],MATCH(Table_Process_Details[[#This Row],[Unique Inputs Sorted by '[Physical Mass per kg API']]],Table_Process_Details[Unique Process Inputs],0))</f>
        <v>0</v>
      </c>
      <c r="CS26" s="22">
        <f ca="1">INDEX(Table_Process_Details[Total '[Physical Mass per kg API'] of Unique Inputs (WATER)],MATCH(Table_Process_Details[[#This Row],[Unique Inputs Sorted by '[Physical Mass per kg API']]],Table_Process_Details[Unique Process Inputs],0))</f>
        <v>0.50837109495872146</v>
      </c>
      <c r="CT26" s="22">
        <f ca="1">INDEX(Table_Process_Details[Total '[Physical Mass per kg API'] of Unique Inputs (ENZ&amp;PLNT)],MATCH(Table_Process_Details[[#This Row],[Unique Inputs Sorted by '[Physical Mass per kg API']]],Table_Process_Details[Unique Process Inputs],0))</f>
        <v>0</v>
      </c>
      <c r="CU26" s="22">
        <f ca="1">INDEX(Table_Process_Details[Total '[Physical Mass per kg API'] of Unique Inputs (OTHER)],MATCH(Table_Process_Details[[#This Row],[Unique Inputs Sorted by '[Physical Mass per kg API']]],Table_Process_Details[Unique Process Inputs],0))</f>
        <v>0</v>
      </c>
      <c r="CV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1.4582198457313538E-3</v>
      </c>
      <c r="CW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1.4582198457313538E-3</v>
      </c>
      <c r="CX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6" s="22">
        <f ca="1">SUMIFS(Table_Process_Details[RV Mass Net (kg) per kg API],Table_Process_Details[Display Name],Table_Process_Details[[#This Row],[Unique Process Inputs]],Table_Process_Details[Input or Output],"Input")</f>
        <v>14.519963152711345</v>
      </c>
      <c r="DD26" s="22">
        <f ca="1">SUMIFS(Table_Process_Details[RV Mass Net (kg) per kg API (REAGENT)],Table_Process_Details[Display Name],Table_Process_Details[[#This Row],[Unique Process Inputs]],Table_Process_Details[Input or Output],"Input")</f>
        <v>0</v>
      </c>
      <c r="DE26" s="22">
        <f ca="1">SUMIFS(Table_Process_Details[RV Mass Net (kg) per kg API (METAL)],Table_Process_Details[Display Name],Table_Process_Details[[#This Row],[Unique Process Inputs]],Table_Process_Details[Input or Output],"Input")</f>
        <v>0</v>
      </c>
      <c r="DF26" s="22">
        <f ca="1">SUMIFS(Table_Process_Details[RV Mass Net (kg) per kg API (SOLVENT)],Table_Process_Details[Display Name],Table_Process_Details[[#This Row],[Unique Process Inputs]],Table_Process_Details[Input or Output],"Input")</f>
        <v>14.519963152711345</v>
      </c>
      <c r="DG26" s="22">
        <f ca="1">SUMIFS(Table_Process_Details[RV Mass Net (kg) per kg API (WATER)],Table_Process_Details[Display Name],Table_Process_Details[[#This Row],[Unique Process Inputs]],Table_Process_Details[Input or Output],"Input")</f>
        <v>0</v>
      </c>
      <c r="DH26" s="22">
        <f ca="1">SUMIFS(Table_Process_Details[RV Mass Net (kg) per kg API (ENZ&amp;PLNT)],Table_Process_Details[Display Name],Table_Process_Details[[#This Row],[Unique Process Inputs]],Table_Process_Details[Input or Output],"Input")</f>
        <v>0</v>
      </c>
      <c r="DI26" s="22">
        <f ca="1">SUMIFS(Table_Process_Details[RV Mass Net (kg) per kg API (OTHER)],Table_Process_Details[Display Name],Table_Process_Details[[#This Row],[Unique Process Inputs]],Table_Process_Details[Input or Output],"Input")</f>
        <v>0</v>
      </c>
      <c r="DJ26" s="22" t="str">
        <f ca="1">INDEX(Table_Process_Details[Unique Process Inputs],MATCH(Table_Process_Details[[#This Row],['[Mass Net (kg) per kg API'] of Unique Inputs Sorted by '[Mass Net (kg) per kg API']]],Table_Process_Details[Total '[Mass Net (kg) per kg API'] of Unique Inputs],0))</f>
        <v>10 wt% reagent B (inorganic) in water</v>
      </c>
      <c r="DK26" s="22">
        <f ca="1">IF(LARGE(Table_Process_Details[Total '[Mass Net (kg) per kg API'] of Unique Inputs],Table_Process_Details[[#This Row],[Table Row]])=0,NA(),LARGE(Table_Process_Details[Total '[Mass Net (kg) per kg API'] of Unique Inputs],Table_Process_Details[[#This Row],[Table Row]]))</f>
        <v>0.15140812523327021</v>
      </c>
      <c r="DL26" s="22">
        <f ca="1">SUM(OFFSET(Table_Process_Details['[Mass Net (kg) per kg API'] of Unique Inputs Sorted by '[Mass Net (kg) per kg API']],0,0,Table_Process_Details[[#This Row],[Table Row]]))</f>
        <v>126.65886399524487</v>
      </c>
      <c r="DM26" s="22" t="str">
        <f ca="1">"("&amp;TEXT(Table_Process_Details[[#This Row],['[Mass Net (kg) per kg API'] of Unique Inputs Sorted by '[Mass Net (kg) per kg API']]]/SUMIF(Table_Process_Details['[Mass Net (kg) per kg API'] of Unique Inputs Sorted by '[Mass Net (kg) per kg API']],"&lt;&gt;#N/A"),"0%")&amp;")"</f>
        <v>(0%)</v>
      </c>
      <c r="DN26" s="22">
        <f ca="1">INDEX(Table_Process_Details[Total '[Mass Net (kg) per kg API'] of Unique Inputs (REAGENT)], MATCH(Table_Process_Details[[#This Row],[Unique Inputs Sorted by '[Mass Net (kg) per kg API']]],Table_Process_Details[Unique Process Inputs],0))</f>
        <v>0.14986779879391543</v>
      </c>
      <c r="DO26" s="22">
        <f ca="1">INDEX(Table_Process_Details[Total '[Mass Net (kg) per kg API'] of Unique Inputs (METAL)], MATCH(Table_Process_Details[[#This Row],[Unique Inputs Sorted by '[Mass Net (kg) per kg API']]],Table_Process_Details[Unique Process Inputs],0))</f>
        <v>0</v>
      </c>
      <c r="DP26" s="22">
        <f ca="1">INDEX(Table_Process_Details[Total '[Mass Net (kg) per kg API'] of Unique Inputs (SOLVENT)], MATCH(Table_Process_Details[[#This Row],[Unique Inputs Sorted by '[Mass Net (kg) per kg API']]],Table_Process_Details[Unique Process Inputs],0))</f>
        <v>0</v>
      </c>
      <c r="DQ26" s="22">
        <f ca="1">INDEX(Table_Process_Details[Total '[Mass Net (kg) per kg API'] of Unique Inputs (WATER)], MATCH(Table_Process_Details[[#This Row],[Unique Inputs Sorted by '[Mass Net (kg) per kg API']]],Table_Process_Details[Unique Process Inputs],0))</f>
        <v>1.5403264393547727E-3</v>
      </c>
      <c r="DR26" s="22">
        <f ca="1">INDEX(Table_Process_Details[Total '[Mass Net (kg) per kg API'] of Unique Inputs (ENZ&amp;PLNT)], MATCH(Table_Process_Details[[#This Row],[Unique Inputs Sorted by '[Mass Net (kg) per kg API']]],Table_Process_Details[Unique Process Inputs],0))</f>
        <v>0</v>
      </c>
      <c r="DS26" s="22">
        <f ca="1">INDEX(Table_Process_Details[Total '[Mass Net (kg) per kg API'] of Unique Inputs (OTHER)], MATCH(Table_Process_Details[[#This Row],[Unique Inputs Sorted by '[Mass Net (kg) per kg API']]],Table_Process_Details[Unique Process Inputs],0))</f>
        <v>0</v>
      </c>
      <c r="DT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5.2333002547036288E-2</v>
      </c>
      <c r="DU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5.2333002547036288E-2</v>
      </c>
      <c r="DV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6" s="1">
        <f ca="1">SUMIFS(Table_Process_Details[RV Energy (MJ) per kg API],Table_Process_Details[Display Name],Table_Process_Details[[#This Row],[Unique Process Inputs]],Table_Process_Details[Input or Output],"Input")</f>
        <v>729.02893842556523</v>
      </c>
      <c r="EB26" s="1">
        <f ca="1">SUMIFS(Table_Process_Details[RV Energy (MJ) per kg API (REAGENT)],Table_Process_Details[Display Name],Table_Process_Details[[#This Row],[Unique Process Inputs]],Table_Process_Details[Input or Output],"Input")</f>
        <v>0</v>
      </c>
      <c r="EC26" s="1">
        <f ca="1">SUMIFS(Table_Process_Details[RV Energy (MJ) per kg API (METAL)],Table_Process_Details[Display Name],Table_Process_Details[[#This Row],[Unique Process Inputs]],Table_Process_Details[Input or Output],"Input")</f>
        <v>0</v>
      </c>
      <c r="ED26" s="1">
        <f ca="1">SUMIFS(Table_Process_Details[RV Energy (MJ) per kg API (SOLVENT)],Table_Process_Details[Display Name],Table_Process_Details[[#This Row],[Unique Process Inputs]],Table_Process_Details[Input or Output],"Input")</f>
        <v>729.02893842556523</v>
      </c>
      <c r="EE26" s="1">
        <f ca="1">SUMIFS(Table_Process_Details[RV Energy (MJ) per kg API (WATER)],Table_Process_Details[Display Name],Table_Process_Details[[#This Row],[Unique Process Inputs]],Table_Process_Details[Input or Output],"Input")</f>
        <v>0</v>
      </c>
      <c r="EF26" s="1">
        <f ca="1">SUMIFS(Table_Process_Details[RV Energy (MJ) per kg API (ENZ&amp;PLNT)],Table_Process_Details[Display Name],Table_Process_Details[[#This Row],[Unique Process Inputs]],Table_Process_Details[Input or Output],"Input")</f>
        <v>0</v>
      </c>
      <c r="EG26" s="1">
        <f ca="1">SUMIFS(Table_Process_Details[RV Energy (MJ) per kg API (OTHER)],Table_Process_Details[Display Name],Table_Process_Details[[#This Row],[Unique Process Inputs]],Table_Process_Details[Input or Output],"Input")</f>
        <v>0</v>
      </c>
      <c r="EH26" s="1" t="str">
        <f ca="1">INDEX(Table_Process_Details[Unique Process Inputs],MATCH(Table_Process_Details[[#This Row],['[Energy (MJ) per kg API'] of Unique Inputs Sorted by '[Energy (MJ) per kg API']]],Table_Process_Details[Total '[Energy (MJ) per kg API'] of Unique Inputs],0))</f>
        <v>30 wt% reagent F (inorganic) in water</v>
      </c>
      <c r="EI26" s="22">
        <f ca="1">IF(LARGE(Table_Process_Details[Total '[Energy (MJ) per kg API'] of Unique Inputs],Table_Process_Details[[#This Row],[Table Row]])=0,NA(),LARGE(Table_Process_Details[Total '[Energy (MJ) per kg API'] of Unique Inputs],Table_Process_Details[[#This Row],[Table Row]]))</f>
        <v>2.0361829112141767</v>
      </c>
      <c r="EJ26" s="22">
        <f ca="1">SUM(OFFSET(Table_Process_Details['[Energy (MJ) per kg API'] of Unique Inputs Sorted by '[Energy (MJ) per kg API']],0,0,Table_Process_Details[[#This Row],[Table Row]]))</f>
        <v>5060.0893276652405</v>
      </c>
      <c r="EK26" s="22" t="str">
        <f ca="1">"("&amp;TEXT(Table_Process_Details[[#This Row],['[Energy (MJ) per kg API'] of Unique Inputs Sorted by '[Energy (MJ) per kg API']]]/SUMIF(Table_Process_Details['[Energy (MJ) per kg API'] of Unique Inputs Sorted by '[Energy (MJ) per kg API']],"&lt;&gt;#N/A"),"0%")&amp;")"</f>
        <v>(0%)</v>
      </c>
      <c r="EL26" s="22">
        <f ca="1">INDEX(Table_Process_Details[Total '[Energy (MJ) per kg API'] of Unique Inputs (REAGENT)], MATCH(Table_Process_Details[[#This Row],[Unique Inputs Sorted by '[Energy (MJ) per kg API']]],Table_Process_Details[Unique Process Inputs],0))</f>
        <v>2.0264942772792032</v>
      </c>
      <c r="EM26" s="22">
        <f ca="1">INDEX(Table_Process_Details[Total '[Energy (MJ) per kg API'] of Unique Inputs (METAL)], MATCH(Table_Process_Details[[#This Row],[Unique Inputs Sorted by '[Energy (MJ) per kg API']]],Table_Process_Details[Unique Process Inputs],0))</f>
        <v>0</v>
      </c>
      <c r="EN26" s="22">
        <f ca="1">INDEX(Table_Process_Details[Total '[Energy (MJ) per kg API'] of Unique Inputs (SOLVENT)], MATCH(Table_Process_Details[[#This Row],[Unique Inputs Sorted by '[Energy (MJ) per kg API']]],Table_Process_Details[Unique Process Inputs],0))</f>
        <v>0</v>
      </c>
      <c r="EO26" s="22">
        <f ca="1">INDEX(Table_Process_Details[Total '[Energy (MJ) per kg API'] of Unique Inputs (WATER)], MATCH(Table_Process_Details[[#This Row],[Unique Inputs Sorted by '[Energy (MJ) per kg API']]],Table_Process_Details[Unique Process Inputs],0))</f>
        <v>9.6886339349735451E-3</v>
      </c>
      <c r="EP26" s="22">
        <f ca="1">INDEX(Table_Process_Details[Total '[Energy (MJ) per kg API'] of Unique Inputs (ENZ&amp;PLNT)], MATCH(Table_Process_Details[[#This Row],[Unique Inputs Sorted by '[Energy (MJ) per kg API']]],Table_Process_Details[Unique Process Inputs],0))</f>
        <v>0</v>
      </c>
      <c r="EQ26" s="22">
        <f ca="1">INDEX(Table_Process_Details[Total '[Energy (MJ) per kg API'] of Unique Inputs (OTHER)], MATCH(Table_Process_Details[[#This Row],[Unique Inputs Sorted by '[Energy (MJ) per kg API']]],Table_Process_Details[Unique Process Inputs],0))</f>
        <v>0</v>
      </c>
      <c r="ER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1.8344850002595032E-3</v>
      </c>
      <c r="ES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1.8344850002595032E-3</v>
      </c>
      <c r="ET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6" s="22">
        <f ca="1">SUMIFS(Table_Process_Details[RV GWP (kg CO2 equiv.) per kg API],Table_Process_Details[Display Name],Table_Process_Details[[#This Row],[Unique Process Inputs]],Table_Process_Details[Input or Output],"Input")</f>
        <v>17.238893824951976</v>
      </c>
      <c r="EZ26" s="1">
        <f ca="1">SUMIFS(Table_Process_Details[RV GWP (kg CO2 equiv.) per kg API (REAGENT)],Table_Process_Details[Display Name],Table_Process_Details[[#This Row],[Unique Process Inputs]],Table_Process_Details[Input or Output],"Input")</f>
        <v>0</v>
      </c>
      <c r="FA26" s="1">
        <f ca="1">SUMIFS(Table_Process_Details[RV GWP (kg CO2 equiv.) per kg API (METAL)],Table_Process_Details[Display Name],Table_Process_Details[[#This Row],[Unique Process Inputs]],Table_Process_Details[Input or Output],"Input")</f>
        <v>0</v>
      </c>
      <c r="FB26" s="1">
        <f ca="1">SUMIFS(Table_Process_Details[RV GWP (kg CO2 equiv.) per kg API (SOLVENT)],Table_Process_Details[Display Name],Table_Process_Details[[#This Row],[Unique Process Inputs]],Table_Process_Details[Input or Output],"Input")</f>
        <v>17.238893824951976</v>
      </c>
      <c r="FC26" s="1">
        <f ca="1">SUMIFS(Table_Process_Details[RV GWP (kg CO2 equiv.) per kg API (WATER)],Table_Process_Details[Display Name],Table_Process_Details[[#This Row],[Unique Process Inputs]],Table_Process_Details[Input or Output],"Input")</f>
        <v>0</v>
      </c>
      <c r="FD26" s="1">
        <f ca="1">SUMIFS(Table_Process_Details[RV GWP (kg CO2 equiv.) per kg API (ENZ&amp;PLNT)],Table_Process_Details[Display Name],Table_Process_Details[[#This Row],[Unique Process Inputs]],Table_Process_Details[Input or Output],"Input")</f>
        <v>0</v>
      </c>
      <c r="FE26" s="1">
        <f ca="1">SUMIFS(Table_Process_Details[RV GWP (kg CO2 equiv.) per kg API (OTHER)],Table_Process_Details[Display Name],Table_Process_Details[[#This Row],[Unique Process Inputs]],Table_Process_Details[Input or Output],"Input")</f>
        <v>0</v>
      </c>
      <c r="FF26" s="22" t="str">
        <f ca="1">INDEX(Table_Process_Details[Unique Process Inputs],MATCH(Table_Process_Details[[#This Row],['[GWP (kg CO2 equiv.) per kg API'] of Unique Inputs Sorted by '[GWP (kg CO2 equiv.) per kg API']]],Table_Process_Details[Total '[GWP (kg CO2 equiv.) per kg API'] of Unique Inputs],0))</f>
        <v>reagent N (organic)</v>
      </c>
      <c r="FG26" s="22">
        <f ca="1">IF(LARGE(Table_Process_Details[Total '[GWP (kg CO2 equiv.) per kg API'] of Unique Inputs],Table_Process_Details[[#This Row],[Table Row]])=0,NA(),LARGE(Table_Process_Details[Total '[GWP (kg CO2 equiv.) per kg API'] of Unique Inputs],Table_Process_Details[[#This Row],[Table Row]]))</f>
        <v>0.18344850002595031</v>
      </c>
      <c r="FH26" s="22">
        <f ca="1">SUM(OFFSET(Table_Process_Details['[GWP (kg CO2 equiv.) per kg API'] of Unique Inputs Sorted by '[GWP (kg CO2 equiv.) per kg API']],0,0,Table_Process_Details[[#This Row],[Table Row]]))</f>
        <v>156.03411194154179</v>
      </c>
      <c r="FI26" s="22" t="str">
        <f ca="1">"("&amp;TEXT(Table_Process_Details[[#This Row],['[GWP (kg CO2 equiv.) per kg API'] of Unique Inputs Sorted by '[GWP (kg CO2 equiv.) per kg API']]]/SUMIF(Table_Process_Details['[GWP (kg CO2 equiv.) per kg API'] of Unique Inputs Sorted by '[GWP (kg CO2 equiv.) per kg API']],"&lt;&gt;#N/A"),"0%")&amp;")"</f>
        <v>(0%)</v>
      </c>
      <c r="FJ26" s="22">
        <f ca="1">INDEX(Table_Process_Details[Total '[GWP (kg CO2 equiv.) per kg API'] of Unique Inputs (REAGENT)], MATCH(Table_Process_Details[[#This Row],[Unique Inputs Sorted by '[GWP (kg CO2 equiv.) per kg API']]],Table_Process_Details[Unique Process Inputs],0))</f>
        <v>0.18344850002595031</v>
      </c>
      <c r="FK26" s="22">
        <f ca="1">INDEX(Table_Process_Details[Total '[GWP (kg CO2 equiv.) per kg API'] of Unique Inputs (METAL)], MATCH(Table_Process_Details[[#This Row],[Unique Inputs Sorted by '[GWP (kg CO2 equiv.) per kg API']]],Table_Process_Details[Unique Process Inputs],0))</f>
        <v>0</v>
      </c>
      <c r="FL26" s="22">
        <f ca="1">INDEX(Table_Process_Details[Total '[GWP (kg CO2 equiv.) per kg API'] of Unique Inputs (SOLVENT)], MATCH(Table_Process_Details[[#This Row],[Unique Inputs Sorted by '[GWP (kg CO2 equiv.) per kg API']]],Table_Process_Details[Unique Process Inputs],0))</f>
        <v>0</v>
      </c>
      <c r="FM26" s="22">
        <f ca="1">INDEX(Table_Process_Details[Total '[GWP (kg CO2 equiv.) per kg API'] of Unique Inputs (WATER)], MATCH(Table_Process_Details[[#This Row],[Unique Inputs Sorted by '[GWP (kg CO2 equiv.) per kg API']]],Table_Process_Details[Unique Process Inputs],0))</f>
        <v>0</v>
      </c>
      <c r="FN26" s="22">
        <f ca="1">INDEX(Table_Process_Details[Total '[GWP (kg CO2 equiv.) per kg API'] of Unique Inputs (ENZ&amp;PLNT)], MATCH(Table_Process_Details[[#This Row],[Unique Inputs Sorted by '[GWP (kg CO2 equiv.) per kg API']]],Table_Process_Details[Unique Process Inputs],0))</f>
        <v>0</v>
      </c>
      <c r="FO26" s="22">
        <f ca="1">INDEX(Table_Process_Details[Total '[GWP (kg CO2 equiv.) per kg API'] of Unique Inputs (OTHER)], MATCH(Table_Process_Details[[#This Row],[Unique Inputs Sorted by '[GWP (kg CO2 equiv.) per kg API']]],Table_Process_Details[Unique Process Inputs],0))</f>
        <v>0</v>
      </c>
      <c r="FP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7.845071606153624E-6</v>
      </c>
      <c r="FQ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7.845071606153624E-6</v>
      </c>
      <c r="FR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6" s="22">
        <f ca="1">SUMIFS(Table_Process_Details[RV Acidification (kg SO2 equiv.) per kg API],Table_Process_Details[Display Name],Table_Process_Details[[#This Row],[Unique Process Inputs]],Table_Process_Details[Input or Output],"Input")</f>
        <v>4.3566059094727452E-2</v>
      </c>
      <c r="FX26" s="1">
        <f ca="1">SUMIFS(Table_Process_Details[RV Acidification (kg SO2 equiv.) per kg API (REAGENT)],Table_Process_Details[Display Name],Table_Process_Details[[#This Row],[Unique Process Inputs]],Table_Process_Details[Input or Output],"Input")</f>
        <v>0</v>
      </c>
      <c r="FY26" s="1">
        <f ca="1">SUMIFS(Table_Process_Details[RV Acidification (kg SO2 equiv.) per kg API (METAL)],Table_Process_Details[Display Name],Table_Process_Details[[#This Row],[Unique Process Inputs]],Table_Process_Details[Input or Output],"Input")</f>
        <v>0</v>
      </c>
      <c r="FZ26" s="1">
        <f ca="1">SUMIFS(Table_Process_Details[RV Acidification (kg SO2 equiv.) per kg API (SOLVENT)],Table_Process_Details[Display Name],Table_Process_Details[[#This Row],[Unique Process Inputs]],Table_Process_Details[Input or Output],"Input")</f>
        <v>4.3566059094727452E-2</v>
      </c>
      <c r="GA26" s="1">
        <f ca="1">SUMIFS(Table_Process_Details[RV Acidification (kg SO2 equiv.) per kg API (WATER)],Table_Process_Details[Display Name],Table_Process_Details[[#This Row],[Unique Process Inputs]],Table_Process_Details[Input or Output],"Input")</f>
        <v>0</v>
      </c>
      <c r="GB26" s="1">
        <f ca="1">SUMIFS(Table_Process_Details[RV Acidification (kg SO2 equiv.) per kg API (ENZ&amp;PLNT)],Table_Process_Details[Display Name],Table_Process_Details[[#This Row],[Unique Process Inputs]],Table_Process_Details[Input or Output],"Input")</f>
        <v>0</v>
      </c>
      <c r="GC26" s="1">
        <f ca="1">SUMIFS(Table_Process_Details[RV Acidification (kg SO2 equiv.) per kg API (OTHER)],Table_Process_Details[Display Name],Table_Process_Details[[#This Row],[Unique Process Inputs]],Table_Process_Details[Input or Output],"Input")</f>
        <v>0</v>
      </c>
      <c r="GD26"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10 wt% reagent B (inorganic) in water</v>
      </c>
      <c r="GE26" s="22">
        <f ca="1">IF(LARGE(Table_Process_Details[Total '[Acidification (kg SO2 equiv.) per kg API'] of Unique Inputs],Table_Process_Details[[#This Row],[Table Row]])=0,NA(),LARGE(Table_Process_Details[Total '[Acidification (kg SO2 equiv.) per kg API'] of Unique Inputs],Table_Process_Details[[#This Row],[Table Row]]))</f>
        <v>1.5585158286670305E-3</v>
      </c>
      <c r="GF26" s="22">
        <f ca="1">SUM(OFFSET(Table_Process_Details['[Acidification (kg SO2 equiv.) per kg API'] of Unique Inputs Sorted by '[Acidification (kg SO2 equiv.) per kg API']],0,0,Table_Process_Details[[#This Row],[Table Row]]))</f>
        <v>0.65221928580647603</v>
      </c>
      <c r="GG26"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6" s="22">
        <f ca="1">INDEX(Table_Process_Details[Total '[Acidification (kg SO2 equiv.) per kg API'] of Unique Inputs (REAGENT)], MATCH(Table_Process_Details[[#This Row],[Unique Inputs Sorted by '[Acidification (kg SO2 equiv.) per kg API']]],Table_Process_Details[Unique Process Inputs],0))</f>
        <v>1.5545988083846452E-3</v>
      </c>
      <c r="GI26" s="22">
        <f ca="1">INDEX(Table_Process_Details[Total '[Acidification (kg SO2 equiv.) per kg API'] of Unique Inputs (METAL)], MATCH(Table_Process_Details[[#This Row],[Unique Inputs Sorted by '[Acidification (kg SO2 equiv.) per kg API']]],Table_Process_Details[Unique Process Inputs],0))</f>
        <v>0</v>
      </c>
      <c r="GJ26" s="22">
        <f ca="1">INDEX(Table_Process_Details[Total '[Acidification (kg SO2 equiv.) per kg API'] of Unique Inputs (SOLVENT)], MATCH(Table_Process_Details[[#This Row],[Unique Inputs Sorted by '[Acidification (kg SO2 equiv.) per kg API']]],Table_Process_Details[Unique Process Inputs],0))</f>
        <v>0</v>
      </c>
      <c r="GK26" s="22">
        <f ca="1">INDEX(Table_Process_Details[Total '[Acidification (kg SO2 equiv.) per kg API'] of Unique Inputs (WATER)], MATCH(Table_Process_Details[[#This Row],[Unique Inputs Sorted by '[Acidification (kg SO2 equiv.) per kg API']]],Table_Process_Details[Unique Process Inputs],0))</f>
        <v>3.9170202823853742E-6</v>
      </c>
      <c r="GL26" s="22">
        <f ca="1">INDEX(Table_Process_Details[Total '[Acidification (kg SO2 equiv.) per kg API'] of Unique Inputs (ENZ&amp;PLNT)], MATCH(Table_Process_Details[[#This Row],[Unique Inputs Sorted by '[Acidification (kg SO2 equiv.) per kg API']]],Table_Process_Details[Unique Process Inputs],0))</f>
        <v>0</v>
      </c>
      <c r="GM26" s="22">
        <f ca="1">INDEX(Table_Process_Details[Total '[Acidification (kg SO2 equiv.) per kg API'] of Unique Inputs (OTHER)], MATCH(Table_Process_Details[[#This Row],[Unique Inputs Sorted by '[Acidification (kg SO2 equiv.) per kg API']]],Table_Process_Details[Unique Process Inputs],0))</f>
        <v>0</v>
      </c>
      <c r="GN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6.2816232433757869E-6</v>
      </c>
      <c r="GO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6.2816232433757869E-6</v>
      </c>
      <c r="GP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6" s="22">
        <f ca="1">SUMIFS(Table_Process_Details[RV Eutrophication (kg phosphate equiv.) per kg API],Table_Process_Details[Display Name],Table_Process_Details[[#This Row],[Unique Process Inputs]],Table_Process_Details[Input or Output],"Input")</f>
        <v>3.6698334733133988E-3</v>
      </c>
      <c r="GV26" s="1">
        <f ca="1">SUMIFS(Table_Process_Details[RV Eutrophication (kg phosphate equiv.) per kg API (REAGENT)],Table_Process_Details[Display Name],Table_Process_Details[[#This Row],[Unique Process Inputs]],Table_Process_Details[Input or Output],"Input")</f>
        <v>0</v>
      </c>
      <c r="GW26" s="1">
        <f ca="1">SUMIFS(Table_Process_Details[RV Eutrophication (kg phosphate equiv.) per kg API (METAL)],Table_Process_Details[Display Name],Table_Process_Details[[#This Row],[Unique Process Inputs]],Table_Process_Details[Input or Output],"Input")</f>
        <v>0</v>
      </c>
      <c r="GX26" s="1">
        <f ca="1">SUMIFS(Table_Process_Details[RV Eutrophication (kg phosphate equiv.) per kg API (SOLVENT)],Table_Process_Details[Display Name],Table_Process_Details[[#This Row],[Unique Process Inputs]],Table_Process_Details[Input or Output],"Input")</f>
        <v>3.6698334733133988E-3</v>
      </c>
      <c r="GY26" s="1">
        <f ca="1">SUMIFS(Table_Process_Details[RV Eutrophication (kg phosphate equiv.) per kg API (WATER)],Table_Process_Details[Display Name],Table_Process_Details[[#This Row],[Unique Process Inputs]],Table_Process_Details[Input or Output],"Input")</f>
        <v>0</v>
      </c>
      <c r="GZ26" s="1">
        <f ca="1">SUMIFS(Table_Process_Details[RV Eutrophication (kg phosphate equiv.) per kg API (ENZ&amp;PLNT)],Table_Process_Details[Display Name],Table_Process_Details[[#This Row],[Unique Process Inputs]],Table_Process_Details[Input or Output],"Input")</f>
        <v>0</v>
      </c>
      <c r="HA26" s="1">
        <f ca="1">SUMIFS(Table_Process_Details[RV Eutrophication (kg phosphate equiv.) per kg API (OTHER)],Table_Process_Details[Display Name],Table_Process_Details[[#This Row],[Unique Process Inputs]],Table_Process_Details[Input or Output],"Input")</f>
        <v>0</v>
      </c>
      <c r="HB26"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30 wt% reagent F (inorganic) in water</v>
      </c>
      <c r="HC26" s="22">
        <f ca="1">IF(LARGE(Table_Process_Details[Total '[Eutrophication (kg posphate equiv.) per kg API'] of Unique Inputs],Table_Process_Details[[#This Row],[Table Row]])=0,NA(),LARGE(Table_Process_Details[Total '[Eutrophication (kg posphate equiv.) per kg API'] of Unique Inputs],Table_Process_Details[[#This Row],[Table Row]]))</f>
        <v>1.3462590274284216E-4</v>
      </c>
      <c r="HD26" s="22">
        <f ca="1">SUM(OFFSET(Table_Process_Details['[Eutrophication (kg posphate equiv.) per kg API'] of Unique Inputs Sorted by '[Eutrophication (kg posphate equiv.) per kg API']],0,0,Table_Process_Details[[#This Row],[Table Row]]))</f>
        <v>1.3753249009570356</v>
      </c>
      <c r="HE26"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6" s="1">
        <f ca="1">INDEX(Table_Process_Details[Total '[Eutrophication (kg posphate equiv.) per kg API'] of Unique Inputs (REAGENT)], MATCH(Table_Process_Details[[#This Row],[Unique Inputs Sorted by '[Eutrophication (kg posphate equiv.) per kg API']]],Table_Process_Details[Unique Process Inputs],0))</f>
        <v>1.3344741242666438E-4</v>
      </c>
      <c r="HG26" s="1">
        <f ca="1">INDEX(Table_Process_Details[Total '[Eutrophication (kg posphate equiv.) per kg API'] of Unique Inputs (METAL)], MATCH(Table_Process_Details[[#This Row],[Unique Inputs Sorted by '[Eutrophication (kg posphate equiv.) per kg API']]],Table_Process_Details[Unique Process Inputs],0))</f>
        <v>0</v>
      </c>
      <c r="HH26" s="1">
        <f ca="1">INDEX(Table_Process_Details[Total '[Eutrophication (kg posphate equiv.) per kg API'] of Unique Inputs (SOLVENT)], MATCH(Table_Process_Details[[#This Row],[Unique Inputs Sorted by '[Eutrophication (kg posphate equiv.) per kg API']]],Table_Process_Details[Unique Process Inputs],0))</f>
        <v>0</v>
      </c>
      <c r="HI26" s="1">
        <f ca="1">INDEX(Table_Process_Details[Total '[Eutrophication (kg posphate equiv.) per kg API'] of Unique Inputs (WATER)], MATCH(Table_Process_Details[[#This Row],[Unique Inputs Sorted by '[Eutrophication (kg posphate equiv.) per kg API']]],Table_Process_Details[Unique Process Inputs],0))</f>
        <v>1.1784903161778022E-6</v>
      </c>
      <c r="HJ26" s="1">
        <f ca="1">INDEX(Table_Process_Details[Total '[Eutrophication (kg posphate equiv.) per kg API'] of Unique Inputs (ENZ&amp;PLNT)], MATCH(Table_Process_Details[[#This Row],[Unique Inputs Sorted by '[Eutrophication (kg posphate equiv.) per kg API']]],Table_Process_Details[Unique Process Inputs],0))</f>
        <v>0</v>
      </c>
      <c r="HK26" s="1">
        <f ca="1">INDEX(Table_Process_Details[Total '[Eutrophication (kg posphate equiv.) per kg API'] of Unique Inputs (OTHER)], MATCH(Table_Process_Details[[#This Row],[Unique Inputs Sorted by '[Eutrophication (kg posphate equiv.) per kg API']]],Table_Process_Details[Unique Process Inputs],0))</f>
        <v>0</v>
      </c>
      <c r="HL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1.0272178828414497E-2</v>
      </c>
      <c r="HM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1.0272178828414497E-2</v>
      </c>
      <c r="HN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6" s="1">
        <f ca="1">SUMIFS(Table_Process_Details[RV Water (kg) per kg API],Table_Process_Details[Display Name],Table_Process_Details[[#This Row],[Unique Process Inputs]],Table_Process_Details[Input or Output],"Input")</f>
        <v>12.002072935065172</v>
      </c>
      <c r="HT26" s="1">
        <f ca="1">SUMIFS(Table_Process_Details[RV Water (kg) per kg API (REAGENT)],Table_Process_Details[Display Name],Table_Process_Details[[#This Row],[Unique Process Inputs]],Table_Process_Details[Input or Output],"Input")</f>
        <v>0</v>
      </c>
      <c r="HU26" s="1">
        <f ca="1">SUMIFS(Table_Process_Details[RV Water (kg) per kg API (METAL)],Table_Process_Details[Display Name],Table_Process_Details[[#This Row],[Unique Process Inputs]],Table_Process_Details[Input or Output],"Input")</f>
        <v>0</v>
      </c>
      <c r="HV26" s="1">
        <f ca="1">SUMIFS(Table_Process_Details[RV Water (kg) per kg API (SOLVENT)],Table_Process_Details[Display Name],Table_Process_Details[[#This Row],[Unique Process Inputs]],Table_Process_Details[Input or Output],"Input")</f>
        <v>12.002072935065172</v>
      </c>
      <c r="HW26" s="1">
        <f ca="1">SUMIFS(Table_Process_Details[RV Water (kg) per kg API (WATER)],Table_Process_Details[Display Name],Table_Process_Details[[#This Row],[Unique Process Inputs]],Table_Process_Details[Input or Output],"Input")</f>
        <v>0</v>
      </c>
      <c r="HX26" s="1">
        <f ca="1">SUMIFS(Table_Process_Details[RV Water (kg) per kg API (ENZ&amp;PLNT)],Table_Process_Details[Display Name],Table_Process_Details[[#This Row],[Unique Process Inputs]],Table_Process_Details[Input or Output],"Input")</f>
        <v>0</v>
      </c>
      <c r="HY26" s="1">
        <f ca="1">SUMIFS(Table_Process_Details[RV Water (kg) per kg API (OTHER)],Table_Process_Details[Display Name],Table_Process_Details[[#This Row],[Unique Process Inputs]],Table_Process_Details[Input or Output],"Input")</f>
        <v>0</v>
      </c>
      <c r="HZ26" s="22" t="str">
        <f ca="1">INDEX(Table_Process_Details[Unique Process Inputs],MATCH(Table_Process_Details[[#This Row],['[Water (kg) per kg API'] of Unique Inputs Sorted by '[Water (kg) per kg API']]],Table_Process_Details[Total '[Water (kg) per kg API'] of Unique Inputs],0))</f>
        <v>10 wt% reagent B (inorganic) in water</v>
      </c>
      <c r="IA26" s="22">
        <f ca="1">IF(LARGE(Table_Process_Details[Total '[Water (kg) per kg API'] of Unique Inputs],Table_Process_Details[[#This Row],[Table Row]])=0,NA(),LARGE(Table_Process_Details[Total '[Water (kg) per kg API'] of Unique Inputs],Table_Process_Details[[#This Row],[Table Row]]))</f>
        <v>1.3489636246923771</v>
      </c>
      <c r="IB26" s="1">
        <f ca="1">SUM(OFFSET(Table_Process_Details['[Water (kg) per kg API'] of Unique Inputs Sorted by '[Water (kg) per kg API']],0,0,Table_Process_Details[[#This Row],[Table Row]]))</f>
        <v>885.33468295126784</v>
      </c>
      <c r="IC26" s="1" t="str">
        <f ca="1">"("&amp;TEXT(Table_Process_Details[[#This Row],['[Water (kg) per kg API'] of Unique Inputs Sorted by '[Water (kg) per kg API']]]/SUMIF(Table_Process_Details['[Water (kg) per kg API'] of Unique Inputs Sorted by '[Water (kg) per kg API']],"&lt;&gt;#N/A"),"0%")&amp;")"</f>
        <v>(0%)</v>
      </c>
      <c r="ID26" s="1">
        <f ca="1">INDEX(Table_Process_Details[Total '[Water (kg) per kg API'] of Unique Inputs (REAGENT)], MATCH(Table_Process_Details[[#This Row],[Unique Inputs Sorted by '[Water (kg) per kg API']]],Table_Process_Details[Unique Process Inputs],0))</f>
        <v>7.7308297433073256E-2</v>
      </c>
      <c r="IE26" s="1">
        <f ca="1">INDEX(Table_Process_Details[Total '[Water (kg) per kg API'] of Unique Inputs (METAL)], MATCH(Table_Process_Details[[#This Row],[Unique Inputs Sorted by '[Water (kg) per kg API']]],Table_Process_Details[Unique Process Inputs],0))</f>
        <v>0</v>
      </c>
      <c r="IF26" s="1">
        <f ca="1">INDEX(Table_Process_Details[Total '[Water (kg) per kg API'] of Unique Inputs (SOLVENT)], MATCH(Table_Process_Details[[#This Row],[Unique Inputs Sorted by '[Water (kg) per kg API']]],Table_Process_Details[Unique Process Inputs],0))</f>
        <v>0</v>
      </c>
      <c r="IG26" s="1">
        <f ca="1">INDEX(Table_Process_Details[Total '[Water (kg) per kg API'] of Unique Inputs (WATER)], MATCH(Table_Process_Details[[#This Row],[Unique Inputs Sorted by '[Water (kg) per kg API']]],Table_Process_Details[Unique Process Inputs],0))</f>
        <v>1.2716553272593039</v>
      </c>
      <c r="IH26" s="1">
        <f ca="1">INDEX(Table_Process_Details[Total '[Water (kg) per kg API'] of Unique Inputs (ENZ&amp;PLNT)], MATCH(Table_Process_Details[[#This Row],[Unique Inputs Sorted by '[Water (kg) per kg API']]],Table_Process_Details[Unique Process Inputs],0))</f>
        <v>0</v>
      </c>
      <c r="II26" s="1">
        <f ca="1">INDEX(Table_Process_Details[Total '[Water (kg) per kg API'] of Unique Inputs (OTHER)], MATCH(Table_Process_Details[[#This Row],[Unique Inputs Sorted by '[Water (kg) per kg API']]],Table_Process_Details[Unique Process Inputs],0))</f>
        <v>0</v>
      </c>
    </row>
    <row r="27" spans="1:243" customFormat="1" x14ac:dyDescent="0.25">
      <c r="A27" s="22" t="str">
        <f t="shared" si="0"/>
        <v>1) Synthesis of Intermediate (1)</v>
      </c>
      <c r="B27" s="21" t="s">
        <v>4</v>
      </c>
      <c r="C27" s="21" t="s">
        <v>153</v>
      </c>
      <c r="D27" s="22" t="s">
        <v>156</v>
      </c>
      <c r="E27" s="22" t="s">
        <v>825</v>
      </c>
      <c r="F27" s="26">
        <v>0.05</v>
      </c>
      <c r="G27" s="26"/>
      <c r="H27" s="26"/>
      <c r="I27" s="26"/>
      <c r="J27" s="26" t="str">
        <f>INDEX(Process_Steps[Reference],MATCH(Table_Process_Details[[#This Row],[Step Name]],Process_Steps[Name],0))</f>
        <v>Reference Document  for Step 1</v>
      </c>
      <c r="K27" s="27" t="str">
        <f>INDEX(Process_Steps[Real or Virtual?],MATCH(Table_Process_Details[[#This Row],[Step Name]],Process_Steps[Name],0))</f>
        <v>Real</v>
      </c>
      <c r="L2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2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27" s="26">
        <f>INDEX(Table_Process_Details[Physical Mass (kg)],MATCH(1,INDEX(((Table_Process_Details[Step Name]=Table_Process_Details[[#This Row],[Step Name]])*(Table_Process_Details[Input or Output]="Output")),0),0))</f>
        <v>51.020408163265309</v>
      </c>
      <c r="O27" s="29">
        <f ca="1">INDEX(Process_Steps[Step Scale Factor for 1kg Packaged API],MATCH(Table_Process_Details[[#This Row],[Step Name]],Process_Steps[Name],0))</f>
        <v>6.9901025556863543E-3</v>
      </c>
      <c r="P2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6.416666666666667</v>
      </c>
      <c r="Q2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13.416666666666668</v>
      </c>
      <c r="R27" s="26">
        <f ca="1">_xlfn.SWITCH(Run_Reset_PNG,"Reset",Table_Process_Details[[#This Row],[X Init]],"Run",Table_Process_Details[[#This Row],[X Moved]],"Freeze",Table_Process_Details[[#This Row],[X Mover]])</f>
        <v>-1.571821032446342</v>
      </c>
      <c r="S27" s="26">
        <f ca="1">_xlfn.SWITCH(Run_Reset_PNG,"Reset",Table_Process_Details[[#This Row],[Y Init]],"Run",Table_Process_Details[[#This Row],[Y Moved]],"Freeze",Table_Process_Details[[#This Row],[Y Mover]])</f>
        <v>18.503500182255294</v>
      </c>
      <c r="T27" s="26" cm="1">
        <f t="array" aca="1" ref="T2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-6.6809038879354485</v>
      </c>
      <c r="U27" s="26" cm="1">
        <f t="array" aca="1" ref="U2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-6.1414149625415178</v>
      </c>
      <c r="V27" s="26" cm="1">
        <f t="array" aca="1" ref="V27" ca="1">SUM(--(SQRT((Table_Process_Details[[#This Row],[X Mover]]-Table_Process_Details[X Mover])^2+(Table_Process_Details[[#This Row],[Y Mover]]-Table_Process_Details[Y Mover])^2)&lt;Collision_Distance))</f>
        <v>22</v>
      </c>
      <c r="W27" s="26" cm="1">
        <f t="array" aca="1" ref="W2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0.26260687198910349</v>
      </c>
      <c r="X27" s="26" cm="1">
        <f t="array" aca="1" ref="X2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0.33949488693296326</v>
      </c>
      <c r="Y27" s="26" cm="1">
        <f t="array" aca="1" ref="Y2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27" s="26">
        <f>0</f>
        <v>0</v>
      </c>
      <c r="AA27" s="26">
        <f>0</f>
        <v>0</v>
      </c>
      <c r="AB2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0.78591051622317099</v>
      </c>
      <c r="AC27" s="26" cm="1">
        <f t="array" aca="1" ref="AC2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-9.2517500911276471</v>
      </c>
      <c r="AD27" s="26">
        <f>MIN(1,COUNTA(Table_Process_Details[[#This Row],[target x]]),COUNTA(Table_Process_Details[[#This Row],[target y]]))*COUNTA(Table_Process_Details[Step Name])</f>
        <v>98</v>
      </c>
      <c r="AE2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-1.604872114845348</v>
      </c>
      <c r="AF2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18.469434230443419</v>
      </c>
      <c r="AG2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27" s="26" cm="1">
        <f t="array" aca="1" ref="AH27" ca="1">INDEX(Table_Process_Details[X Mover],MATCH(1,INDEX((Table_Process_Details[Input or Output]="Output")*(Table_Process_Details[Step Name]=Table_Process_Details[[#This Row],[Step Name]])*(Table_Process_Details[[#This Row],[Input or Output]]="Input"),0),0))</f>
        <v>0.78891624628593393</v>
      </c>
      <c r="AI27" s="26" cm="1">
        <f t="array" aca="1" ref="AI27" ca="1">INDEX(Table_Process_Details[Y Mover],MATCH(1,INDEX((Table_Process_Details[Input or Output]="Output")*(Table_Process_Details[Step Name]=Table_Process_Details[[#This Row],[Step Name]])*(Table_Process_Details[[#This Row],[Input or Output]]="Input"),0),0))</f>
        <v>21.555431875630404</v>
      </c>
      <c r="AJ27" s="26">
        <f ca="1">SQRT((Table_Process_Details[[#This Row],[X End (To Node Center)]]-Table_Process_Details[[#This Row],[X Guide]])^2+(Table_Process_Details[[#This Row],[Y End (to Node Center)]]-Table_Process_Details[[#This Row],[Y Guide]])^2)</f>
        <v>3.8584151617242717</v>
      </c>
      <c r="AK27" s="26" t="e" cm="1">
        <f t="array" ref="AK27">INDEX(Table_Process_Details[X Mover],MATCH(1,INDEX((Table_Process_Details[Step Name]=Table_Process_Details[[#This Row],[LCA Data Source Subclass]])*(Table_Process_Details[Input or Output]="Output"),0)*(Table_Process_Details[[#This Row],[Input or Output]]="Input"),0))</f>
        <v>#N/A</v>
      </c>
      <c r="AL27" s="26" cm="1">
        <f t="array" aca="1" ref="AL27" ca="1">INDEX(Table_Process_Details[X Mover],MATCH(1,INDEX(((Table_Process_Details[Table Row]=Table_Process_Details[[#This Row],[Table Row]])*(1)),0)*(Table_Process_Details[[#This Row],[Input or Output]]="Input"),0))</f>
        <v>-1.571821032446342</v>
      </c>
      <c r="AM27" s="26" cm="1">
        <f t="array" aca="1" ref="AM27" ca="1">(Table_Process_Details[[#This Row],[X End (To Node Center)]]*Table_Process_Details[[#This Row],[r0]]-Table_Process_Details[[#This Row],[X End (To Node Center)]]*Arrow_Offset+Table_Process_Details[[#This Row],[X Guide]]*Arrow_Offset)/Table_Process_Details[[#This Row],[r0]]</f>
        <v>0.29944330368484878</v>
      </c>
      <c r="AN27" s="26" t="e">
        <f>IF(NOT(Table_Process_Details[[#This Row],[Display As]]="None"),Table_Process_Details[[#This Row],[X Start Prefilter]],NA())</f>
        <v>#N/A</v>
      </c>
      <c r="AO27" s="26">
        <f ca="1">IF(NOT(Table_Process_Details[[#This Row],[Display As]]="None"),Table_Process_Details[[#This Row],[X Guide Prefilter]],NA())</f>
        <v>-1.571821032446342</v>
      </c>
      <c r="AP27" s="26">
        <f ca="1">IF(NOT(Table_Process_Details[[#This Row],[Display As]]="None"),Table_Process_Details[[#This Row],[X End (to Stop Radius) Prefilter]],NA())</f>
        <v>0.29944330368484878</v>
      </c>
      <c r="AQ27" s="26" t="e">
        <f>NA()</f>
        <v>#N/A</v>
      </c>
      <c r="AR27" s="26" t="e" cm="1">
        <f t="array" ref="AR27">INDEX(Table_Process_Details[Y Mover],MATCH(1,INDEX((Table_Process_Details[Step Name]=Table_Process_Details[[#This Row],[LCA Data Source Subclass]])*(Table_Process_Details[Input or Output]="Output"),0)*(Table_Process_Details[[#This Row],[Input or Output]]="Input"),0))</f>
        <v>#N/A</v>
      </c>
      <c r="AS27" s="26" cm="1">
        <f t="array" aca="1" ref="AS27" ca="1">INDEX(Table_Process_Details[Y Mover],MATCH(1,INDEX(((Table_Process_Details[Table Row]=Table_Process_Details[[#This Row],[Table Row]])*(1)),0)*(Table_Process_Details[[#This Row],[Input or Output]]="Input"),0))</f>
        <v>18.503500182255294</v>
      </c>
      <c r="AT27" s="26" cm="1">
        <f t="array" aca="1" ref="AT27" ca="1">(Table_Process_Details[[#This Row],[Y Guide]]*Arrow_Offset-Table_Process_Details[[#This Row],[Y End (to Node Center)]]*Arrow_Offset+Table_Process_Details[[#This Row],[Y End (to Node Center)]]*Table_Process_Details[[#This Row],[r0]])/Table_Process_Details[[#This Row],[r0]]</f>
        <v>20.922647363761289</v>
      </c>
      <c r="AU27" s="26" t="e">
        <f>IF(NOT(Table_Process_Details[[#This Row],[Display As]]="None"),Table_Process_Details[[#This Row],[Y Start Prefilter]],NA())</f>
        <v>#N/A</v>
      </c>
      <c r="AV27" s="26">
        <f ca="1">IF(NOT(Table_Process_Details[[#This Row],[Display As]]="None"),Table_Process_Details[[#This Row],[Y Guide Prefilter]],NA())</f>
        <v>18.503500182255294</v>
      </c>
      <c r="AW27" s="26">
        <f ca="1">IF(NOT(Table_Process_Details[[#This Row],[Display As]]="None"),Table_Process_Details[[#This Row],[Y End (to Stop Radius) Prefilter]],NA())</f>
        <v>20.922647363761289</v>
      </c>
      <c r="AX27" s="26" t="e">
        <f>NA()</f>
        <v>#N/A</v>
      </c>
      <c r="AY27" s="26" t="e">
        <f>IF(Table_Process_Details[[#This Row],[Display As]]="Real Step",Table_Process_Details[[#This Row],[X Mover]],NA())</f>
        <v>#N/A</v>
      </c>
      <c r="AZ27" s="26" t="e">
        <f>IF(Table_Process_Details[[#This Row],[Display As]]="Real Step",Table_Process_Details[[#This Row],[Y Mover]],NA())</f>
        <v>#N/A</v>
      </c>
      <c r="BA27" s="26">
        <f ca="1">IF(Table_Process_Details[[#This Row],[Display As]]="Raw Material",Table_Process_Details[[#This Row],[X Mover]],NA())</f>
        <v>-1.571821032446342</v>
      </c>
      <c r="BB27" s="26">
        <f ca="1">IF(Table_Process_Details[[#This Row],[Display As]]="Raw Material",Table_Process_Details[[#This Row],[Y Mover]],NA())</f>
        <v>18.503500182255294</v>
      </c>
      <c r="BC27" s="26">
        <f ca="1">IF(OR(Table_Process_Details[[#This Row],[Display As]]="Real Step",Table_Process_Details[[#This Row],[Display As]]="Raw Material"),Table_Process_Details[[#This Row],[X Mover]],NA())</f>
        <v>-1.571821032446342</v>
      </c>
      <c r="BD27" s="26">
        <f ca="1">IF(OR(Table_Process_Details[[#This Row],[Display As]]="Real Step",Table_Process_Details[[#This Row],[Display As]]="Raw Material"),Table_Process_Details[[#This Row],[Y Mover]],NA())</f>
        <v>18.503500182255294</v>
      </c>
      <c r="BE27" s="22">
        <f>ROW()-ROW(Table_Process_Details[[#Headers],[Table Row]])</f>
        <v>23</v>
      </c>
      <c r="BF27" s="23" t="str" cm="1">
        <f t="array" aca="1" ref="BF27" ca="1">INDEX(Table_Process_Details[Display Name],MATCH(0,IF(Table_Process_Details[Input or Output]="Input",INDEX(COUNTIF(OFFSET(Table_Process_Details[[#Headers],[Unique Process Inputs]],0,0,Table_Process_Details[[#This Row],[Table Row]],1),Table_Process_Details[Display Name]),),""),0))</f>
        <v>methanol</v>
      </c>
      <c r="BG27" s="23">
        <f ca="1">Table_Process_Details[[#This Row],[Physical Mass (kg)]]*Table_Process_Details[[#This Row],[Step Scale Factor for 1kg Packaged API]]</f>
        <v>3.4950512778431775E-4</v>
      </c>
      <c r="BH2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27" s="23">
        <f ca="1">MATCH(Table_Process_Details[[#This Row],[LCA Data Source Class]],INDIRECT(Table_Process_Details[[#This Row],[Input or Output]]),0)</f>
        <v>3</v>
      </c>
      <c r="BJ27" s="23">
        <f ca="1">MATCH(Table_Process_Details[[#This Row],[LCA Data Source Subclass]],INDIRECT(Table_Process_Details[[#This Row],[LCA Data Source Class]]&amp;"[Name]"),0)</f>
        <v>1</v>
      </c>
      <c r="BK27" s="23">
        <f ca="1">IFERROR(INDEX(INDIRECT(Table_Process_Details[[#This Row],[LCA Data Source Class]]&amp;"[Mass Net (kg)]"),MATCH(Table_Process_Details[[#This Row],[LCA Data Source Subclass]],INDIRECT(Table_Process_Details[[#This Row],[LCA Data Source Class]]&amp;"[Name]"),0)),0)</f>
        <v>2.0861208174193546</v>
      </c>
      <c r="BL27" s="23">
        <f ca="1">IFERROR(INDEX(INDIRECT(Table_Process_Details[[#This Row],[LCA Data Source Class]]&amp;"[Energy (MJ)]"),MATCH(Table_Process_Details[[#This Row],[LCA Data Source Subclass]],INDIRECT(Table_Process_Details[[#This Row],[LCA Data Source Class]]&amp;"[Name]"),0)),0)</f>
        <v>74.867288612903238</v>
      </c>
      <c r="BM27" s="23">
        <f ca="1">IFERROR(INDEX(INDIRECT(Table_Process_Details[[#This Row],[LCA Data Source Class]]&amp;"[GWP (kg CO2 equiv.)]"),MATCH(Table_Process_Details[[#This Row],[LCA Data Source Subclass]],INDIRECT(Table_Process_Details[[#This Row],[LCA Data Source Class]]&amp;"[Name]"),0)),0)</f>
        <v>2.6244035558064511</v>
      </c>
      <c r="BN27" s="23">
        <f ca="1">IFERROR(INDEX(INDIRECT(Table_Process_Details[[#This Row],[LCA Data Source Class]]&amp;"[Acidification (kg SO2 equiv.)]"),MATCH(Table_Process_Details[[#This Row],[LCA Data Source Subclass]],INDIRECT(Table_Process_Details[[#This Row],[LCA Data Source Class]]&amp;"[Name]"),0)),0)</f>
        <v>1.1223113743548388E-2</v>
      </c>
      <c r="BO27" s="23">
        <f ca="1">IFERROR(INDEX(INDIRECT(Table_Process_Details[[#This Row],[LCA Data Source Class]]&amp;"[Eutrophication (kg posphate equiv.)]"),MATCH(Table_Process_Details[[#This Row],[LCA Data Source Subclass]],INDIRECT(Table_Process_Details[[#This Row],[LCA Data Source Class]]&amp;"[Name]"),0)),0)</f>
        <v>8.9864536225806452E-3</v>
      </c>
      <c r="BP27" s="23">
        <f ca="1">IFERROR(INDEX(INDIRECT(Table_Process_Details[[#This Row],[LCA Data Source Class]]&amp;"[Water (kg)]"),MATCH(Table_Process_Details[[#This Row],[LCA Data Source Subclass]],INDIRECT(Table_Process_Details[[#This Row],[LCA Data Source Class]]&amp;"[Name]"),0)),0)</f>
        <v>14.695319198225807</v>
      </c>
      <c r="BQ27" s="27">
        <f ca="1">(Table_Process_Details[[#This Row],[Input or Output]]="Input")*(Table_Process_Details[[#This Row],[LCA Data Source Class]]&lt;&gt;"Process_Steps")*Table_Process_Details[[#This Row],[Scaled Physical Mass per kg API for All Inputs &amp; Outputs]]</f>
        <v>3.4950512778431775E-4</v>
      </c>
      <c r="BR27" s="27">
        <f ca="1">(Table_Process_Details[[#This Row],[Material Class]]="REAGENT")*Table_Process_Details[[#This Row],[Physical Mass per kg API]]</f>
        <v>3.4950512778431775E-4</v>
      </c>
      <c r="BS27" s="27">
        <f ca="1">(Table_Process_Details[[#This Row],[Material Class]]="METAL")*Table_Process_Details[[#This Row],[Physical Mass per kg API]]</f>
        <v>0</v>
      </c>
      <c r="BT27" s="27">
        <f ca="1">(Table_Process_Details[[#This Row],[Material Class]]="SOLVENT")*Table_Process_Details[[#This Row],[Physical Mass per kg API]]</f>
        <v>0</v>
      </c>
      <c r="BU27" s="27">
        <f ca="1">(Table_Process_Details[[#This Row],[Material Class]]="WATER")*Table_Process_Details[[#This Row],[Physical Mass per kg API]]</f>
        <v>0</v>
      </c>
      <c r="BV27" s="27">
        <f ca="1">(Table_Process_Details[[#This Row],[Material Class]]="ENZ&amp;PLNT")*Table_Process_Details[[#This Row],[Physical Mass per kg API]]</f>
        <v>0</v>
      </c>
      <c r="BW27" s="27">
        <f ca="1">(Table_Process_Details[[#This Row],[Material Class]]="OTHER")*Table_Process_Details[[#This Row],[Physical Mass per kg API]]</f>
        <v>0</v>
      </c>
      <c r="BX2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3.4950512778431775E-4</v>
      </c>
      <c r="BY2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3.4950512778431775E-4</v>
      </c>
      <c r="BZ2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7" s="1">
        <f ca="1">SUMIFS(Table_Process_Details[RV Physical Mass per kg API],Table_Process_Details[Display Name],Table_Process_Details[[#This Row],[Unique Process Inputs]],Table_Process_Details[Input or Output],"Input")</f>
        <v>16.069901025556863</v>
      </c>
      <c r="CF27" s="1">
        <f ca="1">SUMIFS(Table_Process_Details[RV Physical Mass per kg API (REAGENT)],Table_Process_Details[Display Name],Table_Process_Details[[#This Row],[Unique Process Inputs]],Table_Process_Details[Input or Output],"Input")</f>
        <v>0</v>
      </c>
      <c r="CG27" s="1">
        <f ca="1">SUMIFS(Table_Process_Details[RV Physical Mass per kg API (METAL)],Table_Process_Details[Display Name],Table_Process_Details[[#This Row],[Unique Process Inputs]],Table_Process_Details[Input or Output],"Input")</f>
        <v>0</v>
      </c>
      <c r="CH27" s="1">
        <f ca="1">SUMIFS(Table_Process_Details[RV Physical Mass per kg API (SOLVENT)],Table_Process_Details[Display Name],Table_Process_Details[[#This Row],[Unique Process Inputs]],Table_Process_Details[Input or Output],"Input")</f>
        <v>16.069901025556863</v>
      </c>
      <c r="CI27" s="1">
        <f ca="1">SUMIFS(Table_Process_Details[RV Physical Mass per kg API (WATER)],Table_Process_Details[Display Name],Table_Process_Details[[#This Row],[Unique Process Inputs]],Table_Process_Details[Input or Output],"Input")</f>
        <v>0</v>
      </c>
      <c r="CJ27" s="1">
        <f ca="1">SUMIFS(Table_Process_Details[RV Physical Mass per kg API (ENZ&amp;PLNT)],Table_Process_Details[Display Name],Table_Process_Details[[#This Row],[Unique Process Inputs]],Table_Process_Details[Input or Output],"Input")</f>
        <v>0</v>
      </c>
      <c r="CK27" s="1">
        <f ca="1">SUMIFS(Table_Process_Details[RV Physical Mass per kg API (OTHER)],Table_Process_Details[Display Name],Table_Process_Details[[#This Row],[Unique Process Inputs]],Table_Process_Details[Input or Output],"Input")</f>
        <v>0</v>
      </c>
      <c r="CL27" s="22" t="str">
        <f ca="1">INDEX(Table_Process_Details[Unique Process Inputs],MATCH(Table_Process_Details[[#This Row],['[Physical Mass per kg API'] of Unique Inputs Sorted by '[Physical Mass per kg API']]],Table_Process_Details[Total '[Physical Mass per kg API'] of Unique Inputs],0))</f>
        <v>reagent P (organic)</v>
      </c>
      <c r="CM27" s="22">
        <f ca="1">IF(LARGE(Table_Process_Details[Total '[Physical Mass per kg API'] of Unique Inputs],Table_Process_Details[[#This Row],[Table Row]])=0,NA(),LARGE(Table_Process_Details[Total '[Physical Mass per kg API'] of Unique Inputs],Table_Process_Details[[#This Row],[Table Row]]))</f>
        <v>0.20970307667059063</v>
      </c>
      <c r="CN27" s="22">
        <f ca="1">SUM(OFFSET(Table_Process_Details['[Physical Mass per kg API'] of Unique Inputs Sorted by '[Physical Mass per kg API']],0,0,Table_Process_Details[[#This Row],[Table Row]]))</f>
        <v>147.01397637128352</v>
      </c>
      <c r="CO27" s="22" t="str">
        <f ca="1">"("&amp;TEXT(Table_Process_Details[[#This Row],['[Physical Mass per kg API'] of Unique Inputs Sorted by '[Physical Mass per kg API']]]/SUMIF(Table_Process_Details['[Physical Mass per kg API'] of Unique Inputs Sorted by '[Physical Mass per kg API']],"&lt;&gt;#N/A"),"0%")&amp;")"</f>
        <v>(0%)</v>
      </c>
      <c r="CP27" s="22">
        <f ca="1">INDEX(Table_Process_Details[Total '[Physical Mass per kg API'] of Unique Inputs (REAGENT)],MATCH(Table_Process_Details[[#This Row],[Unique Inputs Sorted by '[Physical Mass per kg API']]],Table_Process_Details[Unique Process Inputs],0))</f>
        <v>0.20970307667059063</v>
      </c>
      <c r="CQ27" s="22">
        <f ca="1">INDEX(Table_Process_Details[Total '[Physical Mass per kg API'] of Unique Inputs (METAL)],MATCH(Table_Process_Details[[#This Row],[Unique Inputs Sorted by '[Physical Mass per kg API']]],Table_Process_Details[Unique Process Inputs],0))</f>
        <v>0</v>
      </c>
      <c r="CR27" s="22">
        <f ca="1">INDEX(Table_Process_Details[Total '[Physical Mass per kg API'] of Unique Inputs (SOLVENT)],MATCH(Table_Process_Details[[#This Row],[Unique Inputs Sorted by '[Physical Mass per kg API']]],Table_Process_Details[Unique Process Inputs],0))</f>
        <v>0</v>
      </c>
      <c r="CS27" s="22">
        <f ca="1">INDEX(Table_Process_Details[Total '[Physical Mass per kg API'] of Unique Inputs (WATER)],MATCH(Table_Process_Details[[#This Row],[Unique Inputs Sorted by '[Physical Mass per kg API']]],Table_Process_Details[Unique Process Inputs],0))</f>
        <v>0</v>
      </c>
      <c r="CT27" s="22">
        <f ca="1">INDEX(Table_Process_Details[Total '[Physical Mass per kg API'] of Unique Inputs (ENZ&amp;PLNT)],MATCH(Table_Process_Details[[#This Row],[Unique Inputs Sorted by '[Physical Mass per kg API']]],Table_Process_Details[Unique Process Inputs],0))</f>
        <v>0</v>
      </c>
      <c r="CU27" s="22">
        <f ca="1">INDEX(Table_Process_Details[Total '[Physical Mass per kg API'] of Unique Inputs (OTHER)],MATCH(Table_Process_Details[[#This Row],[Unique Inputs Sorted by '[Physical Mass per kg API']]],Table_Process_Details[Unique Process Inputs],0))</f>
        <v>0</v>
      </c>
      <c r="CV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7.2910992286567692E-4</v>
      </c>
      <c r="CW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7.2910992286567692E-4</v>
      </c>
      <c r="CX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7" s="22">
        <f ca="1">SUMIFS(Table_Process_Details[RV Mass Net (kg) per kg API],Table_Process_Details[Display Name],Table_Process_Details[[#This Row],[Unique Process Inputs]],Table_Process_Details[Input or Output],"Input")</f>
        <v>11.240092915121789</v>
      </c>
      <c r="DD27" s="22">
        <f ca="1">SUMIFS(Table_Process_Details[RV Mass Net (kg) per kg API (REAGENT)],Table_Process_Details[Display Name],Table_Process_Details[[#This Row],[Unique Process Inputs]],Table_Process_Details[Input or Output],"Input")</f>
        <v>0</v>
      </c>
      <c r="DE27" s="22">
        <f ca="1">SUMIFS(Table_Process_Details[RV Mass Net (kg) per kg API (METAL)],Table_Process_Details[Display Name],Table_Process_Details[[#This Row],[Unique Process Inputs]],Table_Process_Details[Input or Output],"Input")</f>
        <v>0</v>
      </c>
      <c r="DF27" s="22">
        <f ca="1">SUMIFS(Table_Process_Details[RV Mass Net (kg) per kg API (SOLVENT)],Table_Process_Details[Display Name],Table_Process_Details[[#This Row],[Unique Process Inputs]],Table_Process_Details[Input or Output],"Input")</f>
        <v>11.240092915121789</v>
      </c>
      <c r="DG27" s="22">
        <f ca="1">SUMIFS(Table_Process_Details[RV Mass Net (kg) per kg API (WATER)],Table_Process_Details[Display Name],Table_Process_Details[[#This Row],[Unique Process Inputs]],Table_Process_Details[Input or Output],"Input")</f>
        <v>0</v>
      </c>
      <c r="DH27" s="22">
        <f ca="1">SUMIFS(Table_Process_Details[RV Mass Net (kg) per kg API (ENZ&amp;PLNT)],Table_Process_Details[Display Name],Table_Process_Details[[#This Row],[Unique Process Inputs]],Table_Process_Details[Input or Output],"Input")</f>
        <v>0</v>
      </c>
      <c r="DI27" s="22">
        <f ca="1">SUMIFS(Table_Process_Details[RV Mass Net (kg) per kg API (OTHER)],Table_Process_Details[Display Name],Table_Process_Details[[#This Row],[Unique Process Inputs]],Table_Process_Details[Input or Output],"Input")</f>
        <v>0</v>
      </c>
      <c r="DJ27" s="22" t="str">
        <f ca="1">INDEX(Table_Process_Details[Unique Process Inputs],MATCH(Table_Process_Details[[#This Row],['[Mass Net (kg) per kg API'] of Unique Inputs Sorted by '[Mass Net (kg) per kg API']]],Table_Process_Details[Total '[Mass Net (kg) per kg API'] of Unique Inputs],0))</f>
        <v>reagent N (organic)</v>
      </c>
      <c r="DK27" s="22">
        <f ca="1">IF(LARGE(Table_Process_Details[Total '[Mass Net (kg) per kg API'] of Unique Inputs],Table_Process_Details[[#This Row],[Table Row]])=0,NA(),LARGE(Table_Process_Details[Total '[Mass Net (kg) per kg API'] of Unique Inputs],Table_Process_Details[[#This Row],[Table Row]]))</f>
        <v>0.14582198457313539</v>
      </c>
      <c r="DL27" s="22">
        <f ca="1">SUM(OFFSET(Table_Process_Details['[Mass Net (kg) per kg API'] of Unique Inputs Sorted by '[Mass Net (kg) per kg API']],0,0,Table_Process_Details[[#This Row],[Table Row]]))</f>
        <v>126.804685979818</v>
      </c>
      <c r="DM27" s="22" t="str">
        <f ca="1">"("&amp;TEXT(Table_Process_Details[[#This Row],['[Mass Net (kg) per kg API'] of Unique Inputs Sorted by '[Mass Net (kg) per kg API']]]/SUMIF(Table_Process_Details['[Mass Net (kg) per kg API'] of Unique Inputs Sorted by '[Mass Net (kg) per kg API']],"&lt;&gt;#N/A"),"0%")&amp;")"</f>
        <v>(0%)</v>
      </c>
      <c r="DN27" s="22">
        <f ca="1">INDEX(Table_Process_Details[Total '[Mass Net (kg) per kg API'] of Unique Inputs (REAGENT)], MATCH(Table_Process_Details[[#This Row],[Unique Inputs Sorted by '[Mass Net (kg) per kg API']]],Table_Process_Details[Unique Process Inputs],0))</f>
        <v>0.14582198457313539</v>
      </c>
      <c r="DO27" s="22">
        <f ca="1">INDEX(Table_Process_Details[Total '[Mass Net (kg) per kg API'] of Unique Inputs (METAL)], MATCH(Table_Process_Details[[#This Row],[Unique Inputs Sorted by '[Mass Net (kg) per kg API']]],Table_Process_Details[Unique Process Inputs],0))</f>
        <v>0</v>
      </c>
      <c r="DP27" s="22">
        <f ca="1">INDEX(Table_Process_Details[Total '[Mass Net (kg) per kg API'] of Unique Inputs (SOLVENT)], MATCH(Table_Process_Details[[#This Row],[Unique Inputs Sorted by '[Mass Net (kg) per kg API']]],Table_Process_Details[Unique Process Inputs],0))</f>
        <v>0</v>
      </c>
      <c r="DQ27" s="22">
        <f ca="1">INDEX(Table_Process_Details[Total '[Mass Net (kg) per kg API'] of Unique Inputs (WATER)], MATCH(Table_Process_Details[[#This Row],[Unique Inputs Sorted by '[Mass Net (kg) per kg API']]],Table_Process_Details[Unique Process Inputs],0))</f>
        <v>0</v>
      </c>
      <c r="DR27" s="22">
        <f ca="1">INDEX(Table_Process_Details[Total '[Mass Net (kg) per kg API'] of Unique Inputs (ENZ&amp;PLNT)], MATCH(Table_Process_Details[[#This Row],[Unique Inputs Sorted by '[Mass Net (kg) per kg API']]],Table_Process_Details[Unique Process Inputs],0))</f>
        <v>0</v>
      </c>
      <c r="DS27" s="22">
        <f ca="1">INDEX(Table_Process_Details[Total '[Mass Net (kg) per kg API'] of Unique Inputs (OTHER)], MATCH(Table_Process_Details[[#This Row],[Unique Inputs Sorted by '[Mass Net (kg) per kg API']]],Table_Process_Details[Unique Process Inputs],0))</f>
        <v>0</v>
      </c>
      <c r="DT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2.6166501273518144E-2</v>
      </c>
      <c r="DU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2.6166501273518144E-2</v>
      </c>
      <c r="DV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7" s="1">
        <f ca="1">SUMIFS(Table_Process_Details[RV Energy (MJ) per kg API],Table_Process_Details[Display Name],Table_Process_Details[[#This Row],[Unique Process Inputs]],Table_Process_Details[Input or Output],"Input")</f>
        <v>603.46212995964356</v>
      </c>
      <c r="EB27" s="1">
        <f ca="1">SUMIFS(Table_Process_Details[RV Energy (MJ) per kg API (REAGENT)],Table_Process_Details[Display Name],Table_Process_Details[[#This Row],[Unique Process Inputs]],Table_Process_Details[Input or Output],"Input")</f>
        <v>0</v>
      </c>
      <c r="EC27" s="1">
        <f ca="1">SUMIFS(Table_Process_Details[RV Energy (MJ) per kg API (METAL)],Table_Process_Details[Display Name],Table_Process_Details[[#This Row],[Unique Process Inputs]],Table_Process_Details[Input or Output],"Input")</f>
        <v>0</v>
      </c>
      <c r="ED27" s="1">
        <f ca="1">SUMIFS(Table_Process_Details[RV Energy (MJ) per kg API (SOLVENT)],Table_Process_Details[Display Name],Table_Process_Details[[#This Row],[Unique Process Inputs]],Table_Process_Details[Input or Output],"Input")</f>
        <v>603.46212995964356</v>
      </c>
      <c r="EE27" s="1">
        <f ca="1">SUMIFS(Table_Process_Details[RV Energy (MJ) per kg API (WATER)],Table_Process_Details[Display Name],Table_Process_Details[[#This Row],[Unique Process Inputs]],Table_Process_Details[Input or Output],"Input")</f>
        <v>0</v>
      </c>
      <c r="EF27" s="1">
        <f ca="1">SUMIFS(Table_Process_Details[RV Energy (MJ) per kg API (ENZ&amp;PLNT)],Table_Process_Details[Display Name],Table_Process_Details[[#This Row],[Unique Process Inputs]],Table_Process_Details[Input or Output],"Input")</f>
        <v>0</v>
      </c>
      <c r="EG27" s="1">
        <f ca="1">SUMIFS(Table_Process_Details[RV Energy (MJ) per kg API (OTHER)],Table_Process_Details[Display Name],Table_Process_Details[[#This Row],[Unique Process Inputs]],Table_Process_Details[Input or Output],"Input")</f>
        <v>0</v>
      </c>
      <c r="EH27" s="1" t="str">
        <f ca="1">INDEX(Table_Process_Details[Unique Process Inputs],MATCH(Table_Process_Details[[#This Row],['[Energy (MJ) per kg API'] of Unique Inputs Sorted by '[Energy (MJ) per kg API']]],Table_Process_Details[Total '[Energy (MJ) per kg API'] of Unique Inputs],0))</f>
        <v>15 wt% reagent C (inorganic) in water</v>
      </c>
      <c r="EI27" s="22">
        <f ca="1">IF(LARGE(Table_Process_Details[Total '[Energy (MJ) per kg API'] of Unique Inputs],Table_Process_Details[[#This Row],[Table Row]])=0,NA(),LARGE(Table_Process_Details[Total '[Energy (MJ) per kg API'] of Unique Inputs],Table_Process_Details[[#This Row],[Table Row]]))</f>
        <v>1.8014327094651137</v>
      </c>
      <c r="EJ27" s="22">
        <f ca="1">SUM(OFFSET(Table_Process_Details['[Energy (MJ) per kg API'] of Unique Inputs Sorted by '[Energy (MJ) per kg API']],0,0,Table_Process_Details[[#This Row],[Table Row]]))</f>
        <v>5061.8907603747057</v>
      </c>
      <c r="EK27" s="22" t="str">
        <f ca="1">"("&amp;TEXT(Table_Process_Details[[#This Row],['[Energy (MJ) per kg API'] of Unique Inputs Sorted by '[Energy (MJ) per kg API']]]/SUMIF(Table_Process_Details['[Energy (MJ) per kg API'] of Unique Inputs Sorted by '[Energy (MJ) per kg API']],"&lt;&gt;#N/A"),"0%")&amp;")"</f>
        <v>(0%)</v>
      </c>
      <c r="EL27" s="22">
        <f ca="1">INDEX(Table_Process_Details[Total '[Energy (MJ) per kg API'] of Unique Inputs (REAGENT)], MATCH(Table_Process_Details[[#This Row],[Unique Inputs Sorted by '[Energy (MJ) per kg API']]],Table_Process_Details[Unique Process Inputs],0))</f>
        <v>1.783314964006703</v>
      </c>
      <c r="EM27" s="22">
        <f ca="1">INDEX(Table_Process_Details[Total '[Energy (MJ) per kg API'] of Unique Inputs (METAL)], MATCH(Table_Process_Details[[#This Row],[Unique Inputs Sorted by '[Energy (MJ) per kg API']]],Table_Process_Details[Unique Process Inputs],0))</f>
        <v>0</v>
      </c>
      <c r="EN27" s="22">
        <f ca="1">INDEX(Table_Process_Details[Total '[Energy (MJ) per kg API'] of Unique Inputs (SOLVENT)], MATCH(Table_Process_Details[[#This Row],[Unique Inputs Sorted by '[Energy (MJ) per kg API']]],Table_Process_Details[Unique Process Inputs],0))</f>
        <v>0</v>
      </c>
      <c r="EO27" s="22">
        <f ca="1">INDEX(Table_Process_Details[Total '[Energy (MJ) per kg API'] of Unique Inputs (WATER)], MATCH(Table_Process_Details[[#This Row],[Unique Inputs Sorted by '[Energy (MJ) per kg API']]],Table_Process_Details[Unique Process Inputs],0))</f>
        <v>1.8117745458410731E-2</v>
      </c>
      <c r="EP27" s="22">
        <f ca="1">INDEX(Table_Process_Details[Total '[Energy (MJ) per kg API'] of Unique Inputs (ENZ&amp;PLNT)], MATCH(Table_Process_Details[[#This Row],[Unique Inputs Sorted by '[Energy (MJ) per kg API']]],Table_Process_Details[Unique Process Inputs],0))</f>
        <v>0</v>
      </c>
      <c r="EQ27" s="22">
        <f ca="1">INDEX(Table_Process_Details[Total '[Energy (MJ) per kg API'] of Unique Inputs (OTHER)], MATCH(Table_Process_Details[[#This Row],[Unique Inputs Sorted by '[Energy (MJ) per kg API']]],Table_Process_Details[Unique Process Inputs],0))</f>
        <v>0</v>
      </c>
      <c r="ER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9.172425001297516E-4</v>
      </c>
      <c r="ES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9.172425001297516E-4</v>
      </c>
      <c r="ET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7" s="22">
        <f ca="1">SUMIFS(Table_Process_Details[RV GWP (kg CO2 equiv.) per kg API],Table_Process_Details[Display Name],Table_Process_Details[[#This Row],[Unique Process Inputs]],Table_Process_Details[Input or Output],"Input")</f>
        <v>11.958897016810784</v>
      </c>
      <c r="EZ27" s="1">
        <f ca="1">SUMIFS(Table_Process_Details[RV GWP (kg CO2 equiv.) per kg API (REAGENT)],Table_Process_Details[Display Name],Table_Process_Details[[#This Row],[Unique Process Inputs]],Table_Process_Details[Input or Output],"Input")</f>
        <v>0</v>
      </c>
      <c r="FA27" s="1">
        <f ca="1">SUMIFS(Table_Process_Details[RV GWP (kg CO2 equiv.) per kg API (METAL)],Table_Process_Details[Display Name],Table_Process_Details[[#This Row],[Unique Process Inputs]],Table_Process_Details[Input or Output],"Input")</f>
        <v>0</v>
      </c>
      <c r="FB27" s="1">
        <f ca="1">SUMIFS(Table_Process_Details[RV GWP (kg CO2 equiv.) per kg API (SOLVENT)],Table_Process_Details[Display Name],Table_Process_Details[[#This Row],[Unique Process Inputs]],Table_Process_Details[Input or Output],"Input")</f>
        <v>11.958897016810784</v>
      </c>
      <c r="FC27" s="1">
        <f ca="1">SUMIFS(Table_Process_Details[RV GWP (kg CO2 equiv.) per kg API (WATER)],Table_Process_Details[Display Name],Table_Process_Details[[#This Row],[Unique Process Inputs]],Table_Process_Details[Input or Output],"Input")</f>
        <v>0</v>
      </c>
      <c r="FD27" s="1">
        <f ca="1">SUMIFS(Table_Process_Details[RV GWP (kg CO2 equiv.) per kg API (ENZ&amp;PLNT)],Table_Process_Details[Display Name],Table_Process_Details[[#This Row],[Unique Process Inputs]],Table_Process_Details[Input or Output],"Input")</f>
        <v>0</v>
      </c>
      <c r="FE27" s="1">
        <f ca="1">SUMIFS(Table_Process_Details[RV GWP (kg CO2 equiv.) per kg API (OTHER)],Table_Process_Details[Display Name],Table_Process_Details[[#This Row],[Unique Process Inputs]],Table_Process_Details[Input or Output],"Input")</f>
        <v>0</v>
      </c>
      <c r="FF27" s="22" t="str">
        <f ca="1">INDEX(Table_Process_Details[Unique Process Inputs],MATCH(Table_Process_Details[[#This Row],['[GWP (kg CO2 equiv.) per kg API'] of Unique Inputs Sorted by '[GWP (kg CO2 equiv.) per kg API']]],Table_Process_Details[Total '[GWP (kg CO2 equiv.) per kg API'] of Unique Inputs],0))</f>
        <v>5 wt% reagent A (organic) in acetonitrile</v>
      </c>
      <c r="FG27" s="22">
        <f ca="1">IF(LARGE(Table_Process_Details[Total '[GWP (kg CO2 equiv.) per kg API'] of Unique Inputs],Table_Process_Details[[#This Row],[Table Row]])=0,NA(),LARGE(Table_Process_Details[Total '[GWP (kg CO2 equiv.) per kg API'] of Unique Inputs],Table_Process_Details[[#This Row],[Table Row]]))</f>
        <v>0.16923093468809744</v>
      </c>
      <c r="FH27" s="22">
        <f ca="1">SUM(OFFSET(Table_Process_Details['[GWP (kg CO2 equiv.) per kg API'] of Unique Inputs Sorted by '[GWP (kg CO2 equiv.) per kg API']],0,0,Table_Process_Details[[#This Row],[Table Row]]))</f>
        <v>156.2033428762299</v>
      </c>
      <c r="FI27" s="22" t="str">
        <f ca="1">"("&amp;TEXT(Table_Process_Details[[#This Row],['[GWP (kg CO2 equiv.) per kg API'] of Unique Inputs Sorted by '[GWP (kg CO2 equiv.) per kg API']]]/SUMIF(Table_Process_Details['[GWP (kg CO2 equiv.) per kg API'] of Unique Inputs Sorted by '[GWP (kg CO2 equiv.) per kg API']],"&lt;&gt;#N/A"),"0%")&amp;")"</f>
        <v>(0%)</v>
      </c>
      <c r="FJ27" s="22">
        <f ca="1">INDEX(Table_Process_Details[Total '[GWP (kg CO2 equiv.) per kg API'] of Unique Inputs (REAGENT)], MATCH(Table_Process_Details[[#This Row],[Unique Inputs Sorted by '[GWP (kg CO2 equiv.) per kg API']]],Table_Process_Details[Unique Process Inputs],0))</f>
        <v>7.3379400010380128E-3</v>
      </c>
      <c r="FK27" s="22">
        <f ca="1">INDEX(Table_Process_Details[Total '[GWP (kg CO2 equiv.) per kg API'] of Unique Inputs (METAL)], MATCH(Table_Process_Details[[#This Row],[Unique Inputs Sorted by '[GWP (kg CO2 equiv.) per kg API']]],Table_Process_Details[Unique Process Inputs],0))</f>
        <v>0</v>
      </c>
      <c r="FL27" s="22">
        <f ca="1">INDEX(Table_Process_Details[Total '[GWP (kg CO2 equiv.) per kg API'] of Unique Inputs (SOLVENT)], MATCH(Table_Process_Details[[#This Row],[Unique Inputs Sorted by '[GWP (kg CO2 equiv.) per kg API']]],Table_Process_Details[Unique Process Inputs],0))</f>
        <v>0.16189299468705942</v>
      </c>
      <c r="FM27" s="22">
        <f ca="1">INDEX(Table_Process_Details[Total '[GWP (kg CO2 equiv.) per kg API'] of Unique Inputs (WATER)], MATCH(Table_Process_Details[[#This Row],[Unique Inputs Sorted by '[GWP (kg CO2 equiv.) per kg API']]],Table_Process_Details[Unique Process Inputs],0))</f>
        <v>0</v>
      </c>
      <c r="FN27" s="22">
        <f ca="1">INDEX(Table_Process_Details[Total '[GWP (kg CO2 equiv.) per kg API'] of Unique Inputs (ENZ&amp;PLNT)], MATCH(Table_Process_Details[[#This Row],[Unique Inputs Sorted by '[GWP (kg CO2 equiv.) per kg API']]],Table_Process_Details[Unique Process Inputs],0))</f>
        <v>0</v>
      </c>
      <c r="FO27" s="22">
        <f ca="1">INDEX(Table_Process_Details[Total '[GWP (kg CO2 equiv.) per kg API'] of Unique Inputs (OTHER)], MATCH(Table_Process_Details[[#This Row],[Unique Inputs Sorted by '[GWP (kg CO2 equiv.) per kg API']]],Table_Process_Details[Unique Process Inputs],0))</f>
        <v>0</v>
      </c>
      <c r="FP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3.922535803076812E-6</v>
      </c>
      <c r="FQ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3.922535803076812E-6</v>
      </c>
      <c r="FR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7" s="22">
        <f ca="1">SUMIFS(Table_Process_Details[RV Acidification (kg SO2 equiv.) per kg API],Table_Process_Details[Display Name],Table_Process_Details[[#This Row],[Unique Process Inputs]],Table_Process_Details[Input or Output],"Input")</f>
        <v>2.0061452317611653E-2</v>
      </c>
      <c r="FX27" s="1">
        <f ca="1">SUMIFS(Table_Process_Details[RV Acidification (kg SO2 equiv.) per kg API (REAGENT)],Table_Process_Details[Display Name],Table_Process_Details[[#This Row],[Unique Process Inputs]],Table_Process_Details[Input or Output],"Input")</f>
        <v>0</v>
      </c>
      <c r="FY27" s="1">
        <f ca="1">SUMIFS(Table_Process_Details[RV Acidification (kg SO2 equiv.) per kg API (METAL)],Table_Process_Details[Display Name],Table_Process_Details[[#This Row],[Unique Process Inputs]],Table_Process_Details[Input or Output],"Input")</f>
        <v>0</v>
      </c>
      <c r="FZ27" s="1">
        <f ca="1">SUMIFS(Table_Process_Details[RV Acidification (kg SO2 equiv.) per kg API (SOLVENT)],Table_Process_Details[Display Name],Table_Process_Details[[#This Row],[Unique Process Inputs]],Table_Process_Details[Input or Output],"Input")</f>
        <v>2.0061452317611653E-2</v>
      </c>
      <c r="GA27" s="1">
        <f ca="1">SUMIFS(Table_Process_Details[RV Acidification (kg SO2 equiv.) per kg API (WATER)],Table_Process_Details[Display Name],Table_Process_Details[[#This Row],[Unique Process Inputs]],Table_Process_Details[Input or Output],"Input")</f>
        <v>0</v>
      </c>
      <c r="GB27" s="1">
        <f ca="1">SUMIFS(Table_Process_Details[RV Acidification (kg SO2 equiv.) per kg API (ENZ&amp;PLNT)],Table_Process_Details[Display Name],Table_Process_Details[[#This Row],[Unique Process Inputs]],Table_Process_Details[Input or Output],"Input")</f>
        <v>0</v>
      </c>
      <c r="GC27" s="1">
        <f ca="1">SUMIFS(Table_Process_Details[RV Acidification (kg SO2 equiv.) per kg API (OTHER)],Table_Process_Details[Display Name],Table_Process_Details[[#This Row],[Unique Process Inputs]],Table_Process_Details[Input or Output],"Input")</f>
        <v>0</v>
      </c>
      <c r="GD27"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N (organic)</v>
      </c>
      <c r="GE27" s="22">
        <f ca="1">IF(LARGE(Table_Process_Details[Total '[Acidification (kg SO2 equiv.) per kg API'] of Unique Inputs],Table_Process_Details[[#This Row],[Table Row]])=0,NA(),LARGE(Table_Process_Details[Total '[Acidification (kg SO2 equiv.) per kg API'] of Unique Inputs],Table_Process_Details[[#This Row],[Table Row]]))</f>
        <v>7.8450716061536231E-4</v>
      </c>
      <c r="GF27" s="22">
        <f ca="1">SUM(OFFSET(Table_Process_Details['[Acidification (kg SO2 equiv.) per kg API'] of Unique Inputs Sorted by '[Acidification (kg SO2 equiv.) per kg API']],0,0,Table_Process_Details[[#This Row],[Table Row]]))</f>
        <v>0.65300379296709143</v>
      </c>
      <c r="GG27"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7" s="22">
        <f ca="1">INDEX(Table_Process_Details[Total '[Acidification (kg SO2 equiv.) per kg API'] of Unique Inputs (REAGENT)], MATCH(Table_Process_Details[[#This Row],[Unique Inputs Sorted by '[Acidification (kg SO2 equiv.) per kg API']]],Table_Process_Details[Unique Process Inputs],0))</f>
        <v>7.8450716061536231E-4</v>
      </c>
      <c r="GI27" s="22">
        <f ca="1">INDEX(Table_Process_Details[Total '[Acidification (kg SO2 equiv.) per kg API'] of Unique Inputs (METAL)], MATCH(Table_Process_Details[[#This Row],[Unique Inputs Sorted by '[Acidification (kg SO2 equiv.) per kg API']]],Table_Process_Details[Unique Process Inputs],0))</f>
        <v>0</v>
      </c>
      <c r="GJ27" s="22">
        <f ca="1">INDEX(Table_Process_Details[Total '[Acidification (kg SO2 equiv.) per kg API'] of Unique Inputs (SOLVENT)], MATCH(Table_Process_Details[[#This Row],[Unique Inputs Sorted by '[Acidification (kg SO2 equiv.) per kg API']]],Table_Process_Details[Unique Process Inputs],0))</f>
        <v>0</v>
      </c>
      <c r="GK27" s="22">
        <f ca="1">INDEX(Table_Process_Details[Total '[Acidification (kg SO2 equiv.) per kg API'] of Unique Inputs (WATER)], MATCH(Table_Process_Details[[#This Row],[Unique Inputs Sorted by '[Acidification (kg SO2 equiv.) per kg API']]],Table_Process_Details[Unique Process Inputs],0))</f>
        <v>0</v>
      </c>
      <c r="GL27" s="22">
        <f ca="1">INDEX(Table_Process_Details[Total '[Acidification (kg SO2 equiv.) per kg API'] of Unique Inputs (ENZ&amp;PLNT)], MATCH(Table_Process_Details[[#This Row],[Unique Inputs Sorted by '[Acidification (kg SO2 equiv.) per kg API']]],Table_Process_Details[Unique Process Inputs],0))</f>
        <v>0</v>
      </c>
      <c r="GM27" s="22">
        <f ca="1">INDEX(Table_Process_Details[Total '[Acidification (kg SO2 equiv.) per kg API'] of Unique Inputs (OTHER)], MATCH(Table_Process_Details[[#This Row],[Unique Inputs Sorted by '[Acidification (kg SO2 equiv.) per kg API']]],Table_Process_Details[Unique Process Inputs],0))</f>
        <v>0</v>
      </c>
      <c r="GN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3.1408116216878934E-6</v>
      </c>
      <c r="GO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3.1408116216878934E-6</v>
      </c>
      <c r="GP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7" s="22">
        <f ca="1">SUMIFS(Table_Process_Details[RV Eutrophication (kg phosphate equiv.) per kg API],Table_Process_Details[Display Name],Table_Process_Details[[#This Row],[Unique Process Inputs]],Table_Process_Details[Input or Output],"Input")</f>
        <v>6.5639566079228181E-3</v>
      </c>
      <c r="GV27" s="1">
        <f ca="1">SUMIFS(Table_Process_Details[RV Eutrophication (kg phosphate equiv.) per kg API (REAGENT)],Table_Process_Details[Display Name],Table_Process_Details[[#This Row],[Unique Process Inputs]],Table_Process_Details[Input or Output],"Input")</f>
        <v>0</v>
      </c>
      <c r="GW27" s="1">
        <f ca="1">SUMIFS(Table_Process_Details[RV Eutrophication (kg phosphate equiv.) per kg API (METAL)],Table_Process_Details[Display Name],Table_Process_Details[[#This Row],[Unique Process Inputs]],Table_Process_Details[Input or Output],"Input")</f>
        <v>0</v>
      </c>
      <c r="GX27" s="1">
        <f ca="1">SUMIFS(Table_Process_Details[RV Eutrophication (kg phosphate equiv.) per kg API (SOLVENT)],Table_Process_Details[Display Name],Table_Process_Details[[#This Row],[Unique Process Inputs]],Table_Process_Details[Input or Output],"Input")</f>
        <v>6.5639566079228181E-3</v>
      </c>
      <c r="GY27" s="1">
        <f ca="1">SUMIFS(Table_Process_Details[RV Eutrophication (kg phosphate equiv.) per kg API (WATER)],Table_Process_Details[Display Name],Table_Process_Details[[#This Row],[Unique Process Inputs]],Table_Process_Details[Input or Output],"Input")</f>
        <v>0</v>
      </c>
      <c r="GZ27" s="1">
        <f ca="1">SUMIFS(Table_Process_Details[RV Eutrophication (kg phosphate equiv.) per kg API (ENZ&amp;PLNT)],Table_Process_Details[Display Name],Table_Process_Details[[#This Row],[Unique Process Inputs]],Table_Process_Details[Input or Output],"Input")</f>
        <v>0</v>
      </c>
      <c r="HA27" s="1">
        <f ca="1">SUMIFS(Table_Process_Details[RV Eutrophication (kg phosphate equiv.) per kg API (OTHER)],Table_Process_Details[Display Name],Table_Process_Details[[#This Row],[Unique Process Inputs]],Table_Process_Details[Input or Output],"Input")</f>
        <v>0</v>
      </c>
      <c r="HB27"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15 wt% reagent C (inorganic) in water</v>
      </c>
      <c r="HC27" s="22">
        <f ca="1">IF(LARGE(Table_Process_Details[Total '[Eutrophication (kg posphate equiv.) per kg API'] of Unique Inputs],Table_Process_Details[[#This Row],[Table Row]])=0,NA(),LARGE(Table_Process_Details[Total '[Eutrophication (kg posphate equiv.) per kg API'] of Unique Inputs],Table_Process_Details[[#This Row],[Table Row]]))</f>
        <v>1.1963749982678449E-4</v>
      </c>
      <c r="HD27" s="22">
        <f ca="1">SUM(OFFSET(Table_Process_Details['[Eutrophication (kg posphate equiv.) per kg API'] of Unique Inputs Sorted by '[Eutrophication (kg posphate equiv.) per kg API']],0,0,Table_Process_Details[[#This Row],[Table Row]]))</f>
        <v>1.3754445384568623</v>
      </c>
      <c r="HE27"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7" s="1">
        <f ca="1">INDEX(Table_Process_Details[Total '[Eutrophication (kg posphate equiv.) per kg API'] of Unique Inputs (REAGENT)], MATCH(Table_Process_Details[[#This Row],[Unique Inputs Sorted by '[Eutrophication (kg posphate equiv.) per kg API']]],Table_Process_Details[Unique Process Inputs],0))</f>
        <v>1.1743372293553076E-4</v>
      </c>
      <c r="HG27" s="1">
        <f ca="1">INDEX(Table_Process_Details[Total '[Eutrophication (kg posphate equiv.) per kg API'] of Unique Inputs (METAL)], MATCH(Table_Process_Details[[#This Row],[Unique Inputs Sorted by '[Eutrophication (kg posphate equiv.) per kg API']]],Table_Process_Details[Unique Process Inputs],0))</f>
        <v>0</v>
      </c>
      <c r="HH27" s="1">
        <f ca="1">INDEX(Table_Process_Details[Total '[Eutrophication (kg posphate equiv.) per kg API'] of Unique Inputs (SOLVENT)], MATCH(Table_Process_Details[[#This Row],[Unique Inputs Sorted by '[Eutrophication (kg posphate equiv.) per kg API']]],Table_Process_Details[Unique Process Inputs],0))</f>
        <v>0</v>
      </c>
      <c r="HI27" s="1">
        <f ca="1">INDEX(Table_Process_Details[Total '[Eutrophication (kg posphate equiv.) per kg API'] of Unique Inputs (WATER)], MATCH(Table_Process_Details[[#This Row],[Unique Inputs Sorted by '[Eutrophication (kg posphate equiv.) per kg API']]],Table_Process_Details[Unique Process Inputs],0))</f>
        <v>2.2037768912537305E-6</v>
      </c>
      <c r="HJ27" s="1">
        <f ca="1">INDEX(Table_Process_Details[Total '[Eutrophication (kg posphate equiv.) per kg API'] of Unique Inputs (ENZ&amp;PLNT)], MATCH(Table_Process_Details[[#This Row],[Unique Inputs Sorted by '[Eutrophication (kg posphate equiv.) per kg API']]],Table_Process_Details[Unique Process Inputs],0))</f>
        <v>0</v>
      </c>
      <c r="HK27" s="1">
        <f ca="1">INDEX(Table_Process_Details[Total '[Eutrophication (kg posphate equiv.) per kg API'] of Unique Inputs (OTHER)], MATCH(Table_Process_Details[[#This Row],[Unique Inputs Sorted by '[Eutrophication (kg posphate equiv.) per kg API']]],Table_Process_Details[Unique Process Inputs],0))</f>
        <v>0</v>
      </c>
      <c r="HL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5.1360894142072483E-3</v>
      </c>
      <c r="HM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5.1360894142072483E-3</v>
      </c>
      <c r="HN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7" s="1">
        <f ca="1">SUMIFS(Table_Process_Details[RV Water (kg) per kg API],Table_Process_Details[Display Name],Table_Process_Details[[#This Row],[Unique Process Inputs]],Table_Process_Details[Input or Output],"Input")</f>
        <v>29.658127235736981</v>
      </c>
      <c r="HT27" s="1">
        <f ca="1">SUMIFS(Table_Process_Details[RV Water (kg) per kg API (REAGENT)],Table_Process_Details[Display Name],Table_Process_Details[[#This Row],[Unique Process Inputs]],Table_Process_Details[Input or Output],"Input")</f>
        <v>0</v>
      </c>
      <c r="HU27" s="1">
        <f ca="1">SUMIFS(Table_Process_Details[RV Water (kg) per kg API (METAL)],Table_Process_Details[Display Name],Table_Process_Details[[#This Row],[Unique Process Inputs]],Table_Process_Details[Input or Output],"Input")</f>
        <v>0</v>
      </c>
      <c r="HV27" s="1">
        <f ca="1">SUMIFS(Table_Process_Details[RV Water (kg) per kg API (SOLVENT)],Table_Process_Details[Display Name],Table_Process_Details[[#This Row],[Unique Process Inputs]],Table_Process_Details[Input or Output],"Input")</f>
        <v>29.658127235736981</v>
      </c>
      <c r="HW27" s="1">
        <f ca="1">SUMIFS(Table_Process_Details[RV Water (kg) per kg API (WATER)],Table_Process_Details[Display Name],Table_Process_Details[[#This Row],[Unique Process Inputs]],Table_Process_Details[Input or Output],"Input")</f>
        <v>0</v>
      </c>
      <c r="HX27" s="1">
        <f ca="1">SUMIFS(Table_Process_Details[RV Water (kg) per kg API (ENZ&amp;PLNT)],Table_Process_Details[Display Name],Table_Process_Details[[#This Row],[Unique Process Inputs]],Table_Process_Details[Input or Output],"Input")</f>
        <v>0</v>
      </c>
      <c r="HY27" s="1">
        <f ca="1">SUMIFS(Table_Process_Details[RV Water (kg) per kg API (OTHER)],Table_Process_Details[Display Name],Table_Process_Details[[#This Row],[Unique Process Inputs]],Table_Process_Details[Input or Output],"Input")</f>
        <v>0</v>
      </c>
      <c r="HZ27" s="22" t="str">
        <f ca="1">INDEX(Table_Process_Details[Unique Process Inputs],MATCH(Table_Process_Details[[#This Row],['[Water (kg) per kg API'] of Unique Inputs Sorted by '[Water (kg) per kg API']]],Table_Process_Details[Total '[Water (kg) per kg API'] of Unique Inputs],0))</f>
        <v>15 wt% reagent C (inorganic) in water</v>
      </c>
      <c r="IA27" s="22">
        <f ca="1">IF(LARGE(Table_Process_Details[Total '[Water (kg) per kg API'] of Unique Inputs],Table_Process_Details[[#This Row],[Table Row]])=0,NA(),LARGE(Table_Process_Details[Total '[Water (kg) per kg API'] of Unique Inputs],Table_Process_Details[[#This Row],[Table Row]]))</f>
        <v>1.3169702552278411</v>
      </c>
      <c r="IB27" s="1">
        <f ca="1">SUM(OFFSET(Table_Process_Details['[Water (kg) per kg API'] of Unique Inputs Sorted by '[Water (kg) per kg API']],0,0,Table_Process_Details[[#This Row],[Table Row]]))</f>
        <v>886.65165320649567</v>
      </c>
      <c r="IC27" s="1" t="str">
        <f ca="1">"("&amp;TEXT(Table_Process_Details[[#This Row],['[Water (kg) per kg API'] of Unique Inputs Sorted by '[Water (kg) per kg API']]]/SUMIF(Table_Process_Details['[Water (kg) per kg API'] of Unique Inputs Sorted by '[Water (kg) per kg API']],"&lt;&gt;#N/A"),"0%")&amp;")"</f>
        <v>(0%)</v>
      </c>
      <c r="ID27" s="1">
        <f ca="1">INDEX(Table_Process_Details[Total '[Water (kg) per kg API'] of Unique Inputs (REAGENT)], MATCH(Table_Process_Details[[#This Row],[Unique Inputs Sorted by '[Water (kg) per kg API']]],Table_Process_Details[Unique Process Inputs],0))</f>
        <v>0.11596244614960989</v>
      </c>
      <c r="IE27" s="1">
        <f ca="1">INDEX(Table_Process_Details[Total '[Water (kg) per kg API'] of Unique Inputs (METAL)], MATCH(Table_Process_Details[[#This Row],[Unique Inputs Sorted by '[Water (kg) per kg API']]],Table_Process_Details[Unique Process Inputs],0))</f>
        <v>0</v>
      </c>
      <c r="IF27" s="1">
        <f ca="1">INDEX(Table_Process_Details[Total '[Water (kg) per kg API'] of Unique Inputs (SOLVENT)], MATCH(Table_Process_Details[[#This Row],[Unique Inputs Sorted by '[Water (kg) per kg API']]],Table_Process_Details[Unique Process Inputs],0))</f>
        <v>0</v>
      </c>
      <c r="IG27" s="1">
        <f ca="1">INDEX(Table_Process_Details[Total '[Water (kg) per kg API'] of Unique Inputs (WATER)], MATCH(Table_Process_Details[[#This Row],[Unique Inputs Sorted by '[Water (kg) per kg API']]],Table_Process_Details[Unique Process Inputs],0))</f>
        <v>1.2010078090782312</v>
      </c>
      <c r="IH27" s="1">
        <f ca="1">INDEX(Table_Process_Details[Total '[Water (kg) per kg API'] of Unique Inputs (ENZ&amp;PLNT)], MATCH(Table_Process_Details[[#This Row],[Unique Inputs Sorted by '[Water (kg) per kg API']]],Table_Process_Details[Unique Process Inputs],0))</f>
        <v>0</v>
      </c>
      <c r="II27" s="1">
        <f ca="1">INDEX(Table_Process_Details[Total '[Water (kg) per kg API'] of Unique Inputs (OTHER)], MATCH(Table_Process_Details[[#This Row],[Unique Inputs Sorted by '[Water (kg) per kg API']]],Table_Process_Details[Unique Process Inputs],0))</f>
        <v>0</v>
      </c>
    </row>
    <row r="28" spans="1:243" customFormat="1" x14ac:dyDescent="0.25">
      <c r="A28" s="22" t="str">
        <f t="shared" si="0"/>
        <v>1) Synthesis of Intermediate (1)</v>
      </c>
      <c r="B28" s="21" t="s">
        <v>4</v>
      </c>
      <c r="C28" s="21" t="s">
        <v>170</v>
      </c>
      <c r="D28" s="22" t="str">
        <f>A7</f>
        <v>1a) Virtual solution prep for (1): 5 wt% reagent A (organic) in acetonitrile</v>
      </c>
      <c r="E28" s="22" t="str">
        <f>E7</f>
        <v>5 wt% reagent A (organic) in acetonitrile</v>
      </c>
      <c r="F28" s="26">
        <v>8</v>
      </c>
      <c r="G28" s="26"/>
      <c r="H28" s="26"/>
      <c r="I28" s="26"/>
      <c r="J28" s="26" t="str">
        <f>INDEX(Process_Steps[Reference],MATCH(Table_Process_Details[[#This Row],[Step Name]],Process_Steps[Name],0))</f>
        <v>Reference Document  for Step 1</v>
      </c>
      <c r="K28" s="27" t="str">
        <f>INDEX(Process_Steps[Real or Virtual?],MATCH(Table_Process_Details[[#This Row],[Step Name]],Process_Steps[Name],0))</f>
        <v>Real</v>
      </c>
      <c r="L2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2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28" s="26">
        <f>INDEX(Table_Process_Details[Physical Mass (kg)],MATCH(1,INDEX(((Table_Process_Details[Step Name]=Table_Process_Details[[#This Row],[Step Name]])*(Table_Process_Details[Input or Output]="Output")),0),0))</f>
        <v>51.020408163265309</v>
      </c>
      <c r="O28" s="29">
        <f ca="1">INDEX(Process_Steps[Step Scale Factor for 1kg Packaged API],MATCH(Table_Process_Details[[#This Row],[Step Name]],Process_Steps[Name],0))</f>
        <v>6.9901025556863543E-3</v>
      </c>
      <c r="P2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v>
      </c>
      <c r="Q2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v>
      </c>
      <c r="R28" s="26">
        <f ca="1">_xlfn.SWITCH(Run_Reset_PNG,"Reset",Table_Process_Details[[#This Row],[X Init]],"Run",Table_Process_Details[[#This Row],[X Moved]],"Freeze",Table_Process_Details[[#This Row],[X Mover]])</f>
        <v>1.6276396429526658</v>
      </c>
      <c r="S28" s="26">
        <f ca="1">_xlfn.SWITCH(Run_Reset_PNG,"Reset",Table_Process_Details[[#This Row],[Y Init]],"Run",Table_Process_Details[[#This Row],[Y Moved]],"Freeze",Table_Process_Details[[#This Row],[Y Mover]])</f>
        <v>28.489643278804142</v>
      </c>
      <c r="T28" s="26" cm="1">
        <f t="array" aca="1" ref="T2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0.63434210389002776</v>
      </c>
      <c r="U28" s="26" cm="1">
        <f t="array" aca="1" ref="U2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10.616031591489785</v>
      </c>
      <c r="V28" s="26" cm="1">
        <f t="array" aca="1" ref="V28" ca="1">SUM(--(SQRT((Table_Process_Details[[#This Row],[X Mover]]-Table_Process_Details[X Mover])^2+(Table_Process_Details[[#This Row],[Y Mover]]-Table_Process_Details[Y Mover])^2)&lt;Collision_Distance))</f>
        <v>17</v>
      </c>
      <c r="W28" s="26" cm="1">
        <f t="array" aca="1" ref="W2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-0.10091383229979092</v>
      </c>
      <c r="X28" s="26" cm="1">
        <f t="array" aca="1" ref="X2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-1.0072075189446612</v>
      </c>
      <c r="Y28" s="26" cm="1">
        <f t="array" aca="1" ref="Y2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28" s="26">
        <f>0</f>
        <v>0</v>
      </c>
      <c r="AA28" s="26">
        <f>0</f>
        <v>0</v>
      </c>
      <c r="AB2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-0.81381982147633292</v>
      </c>
      <c r="AC28" s="26" cm="1">
        <f t="array" aca="1" ref="AC2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-14.244821639402071</v>
      </c>
      <c r="AD28" s="26">
        <f>MIN(1,COUNTA(Table_Process_Details[[#This Row],[target x]]),COUNTA(Table_Process_Details[[#This Row],[target y]]))*COUNTA(Table_Process_Details[Step Name])</f>
        <v>98</v>
      </c>
      <c r="AE2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1.6061926843154504</v>
      </c>
      <c r="AF2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28.465156643038991</v>
      </c>
      <c r="AG2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28" s="26" cm="1">
        <f t="array" aca="1" ref="AH28" ca="1">INDEX(Table_Process_Details[X Mover],MATCH(1,INDEX((Table_Process_Details[Input or Output]="Output")*(Table_Process_Details[Step Name]=Table_Process_Details[[#This Row],[Step Name]])*(Table_Process_Details[[#This Row],[Input or Output]]="Input"),0),0))</f>
        <v>0.78891624628593393</v>
      </c>
      <c r="AI28" s="26" cm="1">
        <f t="array" aca="1" ref="AI28" ca="1">INDEX(Table_Process_Details[Y Mover],MATCH(1,INDEX((Table_Process_Details[Input or Output]="Output")*(Table_Process_Details[Step Name]=Table_Process_Details[[#This Row],[Step Name]])*(Table_Process_Details[[#This Row],[Input or Output]]="Input"),0),0))</f>
        <v>21.555431875630404</v>
      </c>
      <c r="AJ28" s="26">
        <f ca="1">SQRT((Table_Process_Details[[#This Row],[X End (To Node Center)]]-Table_Process_Details[[#This Row],[X Guide]])^2+(Table_Process_Details[[#This Row],[Y End (to Node Center)]]-Table_Process_Details[[#This Row],[Y Guide]])^2)</f>
        <v>6.9847508702902834</v>
      </c>
      <c r="AK28" s="26" cm="1">
        <f t="array" aca="1" ref="AK28" ca="1">INDEX(Table_Process_Details[X Mover],MATCH(1,INDEX((Table_Process_Details[Step Name]=Table_Process_Details[[#This Row],[LCA Data Source Subclass]])*(Table_Process_Details[Input or Output]="Output"),0)*(Table_Process_Details[[#This Row],[Input or Output]]="Input"),0))</f>
        <v>2.3275130569467728</v>
      </c>
      <c r="AL28" s="26" cm="1">
        <f t="array" aca="1" ref="AL28" ca="1">INDEX(Table_Process_Details[X Mover],MATCH(1,INDEX(((Table_Process_Details[Table Row]=Table_Process_Details[[#This Row],[Table Row]])*(1)),0)*(Table_Process_Details[[#This Row],[Input or Output]]="Input"),0))</f>
        <v>1.6276396429526658</v>
      </c>
      <c r="AM28" s="26" cm="1">
        <f t="array" aca="1" ref="AM28" ca="1">(Table_Process_Details[[#This Row],[X End (To Node Center)]]*Table_Process_Details[[#This Row],[r0]]-Table_Process_Details[[#This Row],[X End (To Node Center)]]*Arrow_Offset+Table_Process_Details[[#This Row],[X Guide]]*Arrow_Offset)/Table_Process_Details[[#This Row],[r0]]</f>
        <v>0.88497961773521505</v>
      </c>
      <c r="AN28" s="26">
        <f ca="1">IF(NOT(Table_Process_Details[[#This Row],[Display As]]="None"),Table_Process_Details[[#This Row],[X Start Prefilter]],NA())</f>
        <v>2.3275130569467728</v>
      </c>
      <c r="AO28" s="26">
        <f ca="1">IF(NOT(Table_Process_Details[[#This Row],[Display As]]="None"),Table_Process_Details[[#This Row],[X Guide Prefilter]],NA())</f>
        <v>1.6276396429526658</v>
      </c>
      <c r="AP28" s="26">
        <f ca="1">IF(NOT(Table_Process_Details[[#This Row],[Display As]]="None"),Table_Process_Details[[#This Row],[X End (to Stop Radius) Prefilter]],NA())</f>
        <v>0.88497961773521505</v>
      </c>
      <c r="AQ28" s="26" t="e">
        <f>NA()</f>
        <v>#N/A</v>
      </c>
      <c r="AR28" s="26" cm="1">
        <f t="array" aca="1" ref="AR28" ca="1">INDEX(Table_Process_Details[Y Mover],MATCH(1,INDEX((Table_Process_Details[Step Name]=Table_Process_Details[[#This Row],[LCA Data Source Subclass]])*(Table_Process_Details[Input or Output]="Output"),0)*(Table_Process_Details[[#This Row],[Input or Output]]="Input"),0))</f>
        <v>33.401144815982704</v>
      </c>
      <c r="AS28" s="26" cm="1">
        <f t="array" aca="1" ref="AS28" ca="1">INDEX(Table_Process_Details[Y Mover],MATCH(1,INDEX(((Table_Process_Details[Table Row]=Table_Process_Details[[#This Row],[Table Row]])*(1)),0)*(Table_Process_Details[[#This Row],[Input or Output]]="Input"),0))</f>
        <v>28.489643278804142</v>
      </c>
      <c r="AT28" s="26" cm="1">
        <f t="array" aca="1" ref="AT28" ca="1">(Table_Process_Details[[#This Row],[Y Guide]]*Arrow_Offset-Table_Process_Details[[#This Row],[Y End (to Node Center)]]*Arrow_Offset+Table_Process_Details[[#This Row],[Y End (to Node Center)]]*Table_Process_Details[[#This Row],[r0]])/Table_Process_Details[[#This Row],[r0]]</f>
        <v>22.349643326483257</v>
      </c>
      <c r="AU28" s="26">
        <f ca="1">IF(NOT(Table_Process_Details[[#This Row],[Display As]]="None"),Table_Process_Details[[#This Row],[Y Start Prefilter]],NA())</f>
        <v>33.401144815982704</v>
      </c>
      <c r="AV28" s="26">
        <f ca="1">IF(NOT(Table_Process_Details[[#This Row],[Display As]]="None"),Table_Process_Details[[#This Row],[Y Guide Prefilter]],NA())</f>
        <v>28.489643278804142</v>
      </c>
      <c r="AW28" s="26">
        <f ca="1">IF(NOT(Table_Process_Details[[#This Row],[Display As]]="None"),Table_Process_Details[[#This Row],[Y End (to Stop Radius) Prefilter]],NA())</f>
        <v>22.349643326483257</v>
      </c>
      <c r="AX28" s="26" t="e">
        <f>NA()</f>
        <v>#N/A</v>
      </c>
      <c r="AY28" s="26" t="e">
        <f>IF(Table_Process_Details[[#This Row],[Display As]]="Real Step",Table_Process_Details[[#This Row],[X Mover]],NA())</f>
        <v>#N/A</v>
      </c>
      <c r="AZ28" s="26" t="e">
        <f>IF(Table_Process_Details[[#This Row],[Display As]]="Real Step",Table_Process_Details[[#This Row],[Y Mover]],NA())</f>
        <v>#N/A</v>
      </c>
      <c r="BA28" s="26" t="e">
        <f>IF(Table_Process_Details[[#This Row],[Display As]]="Raw Material",Table_Process_Details[[#This Row],[X Mover]],NA())</f>
        <v>#N/A</v>
      </c>
      <c r="BB28" s="26" t="e">
        <f>IF(Table_Process_Details[[#This Row],[Display As]]="Raw Material",Table_Process_Details[[#This Row],[Y Mover]],NA())</f>
        <v>#N/A</v>
      </c>
      <c r="BC28" s="26" t="e">
        <f>IF(OR(Table_Process_Details[[#This Row],[Display As]]="Real Step",Table_Process_Details[[#This Row],[Display As]]="Raw Material"),Table_Process_Details[[#This Row],[X Mover]],NA())</f>
        <v>#N/A</v>
      </c>
      <c r="BD28" s="26" t="e">
        <f>IF(OR(Table_Process_Details[[#This Row],[Display As]]="Real Step",Table_Process_Details[[#This Row],[Display As]]="Raw Material"),Table_Process_Details[[#This Row],[Y Mover]],NA())</f>
        <v>#N/A</v>
      </c>
      <c r="BE28" s="22">
        <f>ROW()-ROW(Table_Process_Details[[#Headers],[Table Row]])</f>
        <v>24</v>
      </c>
      <c r="BF28" s="23" t="str" cm="1">
        <f t="array" aca="1" ref="BF28" ca="1">INDEX(Table_Process_Details[Display Name],MATCH(0,IF(Table_Process_Details[Input or Output]="Input",INDEX(COUNTIF(OFFSET(Table_Process_Details[[#Headers],[Unique Process Inputs]],0,0,Table_Process_Details[[#This Row],[Table Row]],1),Table_Process_Details[Display Name]),),""),0))</f>
        <v>reagent E (inorganic)</v>
      </c>
      <c r="BG28" s="23">
        <f ca="1">Table_Process_Details[[#This Row],[Physical Mass (kg)]]*Table_Process_Details[[#This Row],[Step Scale Factor for 1kg Packaged API]]</f>
        <v>5.5920820445490835E-2</v>
      </c>
      <c r="BH2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0.99999999999474565</v>
      </c>
      <c r="BI28" s="23">
        <f ca="1">MATCH(Table_Process_Details[[#This Row],[LCA Data Source Class]],INDIRECT(Table_Process_Details[[#This Row],[Input or Output]]),0)</f>
        <v>1</v>
      </c>
      <c r="BJ28" s="23">
        <f ca="1">MATCH(Table_Process_Details[[#This Row],[LCA Data Source Subclass]],INDIRECT(Table_Process_Details[[#This Row],[LCA Data Source Class]]&amp;"[Name]"),0)</f>
        <v>1</v>
      </c>
      <c r="BK28" s="23">
        <f ca="1">IFERROR(INDEX(INDIRECT(Table_Process_Details[[#This Row],[LCA Data Source Class]]&amp;"[Mass Net (kg)]"),MATCH(Table_Process_Details[[#This Row],[LCA Data Source Subclass]],INDIRECT(Table_Process_Details[[#This Row],[LCA Data Source Class]]&amp;"[Name]"),0)),0)</f>
        <v>0</v>
      </c>
      <c r="BL28" s="23">
        <f ca="1">IFERROR(INDEX(INDIRECT(Table_Process_Details[[#This Row],[LCA Data Source Class]]&amp;"[Energy (MJ)]"),MATCH(Table_Process_Details[[#This Row],[LCA Data Source Subclass]],INDIRECT(Table_Process_Details[[#This Row],[LCA Data Source Class]]&amp;"[Name]"),0)),0)</f>
        <v>0</v>
      </c>
      <c r="BM28" s="23">
        <f ca="1">IFERROR(INDEX(INDIRECT(Table_Process_Details[[#This Row],[LCA Data Source Class]]&amp;"[GWP (kg CO2 equiv.)]"),MATCH(Table_Process_Details[[#This Row],[LCA Data Source Subclass]],INDIRECT(Table_Process_Details[[#This Row],[LCA Data Source Class]]&amp;"[Name]"),0)),0)</f>
        <v>0</v>
      </c>
      <c r="BN28" s="23">
        <f ca="1">IFERROR(INDEX(INDIRECT(Table_Process_Details[[#This Row],[LCA Data Source Class]]&amp;"[Acidification (kg SO2 equiv.)]"),MATCH(Table_Process_Details[[#This Row],[LCA Data Source Subclass]],INDIRECT(Table_Process_Details[[#This Row],[LCA Data Source Class]]&amp;"[Name]"),0)),0)</f>
        <v>0</v>
      </c>
      <c r="BO28" s="23">
        <f ca="1">IFERROR(INDEX(INDIRECT(Table_Process_Details[[#This Row],[LCA Data Source Class]]&amp;"[Eutrophication (kg posphate equiv.)]"),MATCH(Table_Process_Details[[#This Row],[LCA Data Source Subclass]],INDIRECT(Table_Process_Details[[#This Row],[LCA Data Source Class]]&amp;"[Name]"),0)),0)</f>
        <v>0</v>
      </c>
      <c r="BP28" s="23">
        <f ca="1">IFERROR(INDEX(INDIRECT(Table_Process_Details[[#This Row],[LCA Data Source Class]]&amp;"[Water (kg)]"),MATCH(Table_Process_Details[[#This Row],[LCA Data Source Subclass]],INDIRECT(Table_Process_Details[[#This Row],[LCA Data Source Class]]&amp;"[Name]"),0)),0)</f>
        <v>0</v>
      </c>
      <c r="BQ28" s="27">
        <f ca="1">(Table_Process_Details[[#This Row],[Input or Output]]="Input")*(Table_Process_Details[[#This Row],[LCA Data Source Class]]&lt;&gt;"Process_Steps")*Table_Process_Details[[#This Row],[Scaled Physical Mass per kg API for All Inputs &amp; Outputs]]</f>
        <v>0</v>
      </c>
      <c r="BR28" s="27">
        <f ca="1">(Table_Process_Details[[#This Row],[Material Class]]="REAGENT")*Table_Process_Details[[#This Row],[Physical Mass per kg API]]</f>
        <v>0</v>
      </c>
      <c r="BS28" s="27">
        <f ca="1">(Table_Process_Details[[#This Row],[Material Class]]="METAL")*Table_Process_Details[[#This Row],[Physical Mass per kg API]]</f>
        <v>0</v>
      </c>
      <c r="BT28" s="27">
        <f ca="1">(Table_Process_Details[[#This Row],[Material Class]]="SOLVENT")*Table_Process_Details[[#This Row],[Physical Mass per kg API]]</f>
        <v>0</v>
      </c>
      <c r="BU28" s="27">
        <f ca="1">(Table_Process_Details[[#This Row],[Material Class]]="WATER")*Table_Process_Details[[#This Row],[Physical Mass per kg API]]</f>
        <v>0</v>
      </c>
      <c r="BV28" s="27">
        <f ca="1">(Table_Process_Details[[#This Row],[Material Class]]="ENZ&amp;PLNT")*Table_Process_Details[[#This Row],[Physical Mass per kg API]]</f>
        <v>0</v>
      </c>
      <c r="BW28" s="27">
        <f ca="1">(Table_Process_Details[[#This Row],[Material Class]]="OTHER")*Table_Process_Details[[#This Row],[Physical Mass per kg API]]</f>
        <v>0</v>
      </c>
      <c r="BX2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5.5920820445490835E-2</v>
      </c>
      <c r="BY2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2.796041022274542E-3</v>
      </c>
      <c r="BZ2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5.3124779423216292E-2</v>
      </c>
      <c r="CB2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2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8" s="1">
        <f ca="1">SUMIFS(Table_Process_Details[RV Physical Mass per kg API],Table_Process_Details[Display Name],Table_Process_Details[[#This Row],[Unique Process Inputs]],Table_Process_Details[Input or Output],"Input")</f>
        <v>0</v>
      </c>
      <c r="CF28" s="1">
        <f ca="1">SUMIFS(Table_Process_Details[RV Physical Mass per kg API (REAGENT)],Table_Process_Details[Display Name],Table_Process_Details[[#This Row],[Unique Process Inputs]],Table_Process_Details[Input or Output],"Input")</f>
        <v>0</v>
      </c>
      <c r="CG28" s="1">
        <f ca="1">SUMIFS(Table_Process_Details[RV Physical Mass per kg API (METAL)],Table_Process_Details[Display Name],Table_Process_Details[[#This Row],[Unique Process Inputs]],Table_Process_Details[Input or Output],"Input")</f>
        <v>0</v>
      </c>
      <c r="CH28" s="1">
        <f ca="1">SUMIFS(Table_Process_Details[RV Physical Mass per kg API (SOLVENT)],Table_Process_Details[Display Name],Table_Process_Details[[#This Row],[Unique Process Inputs]],Table_Process_Details[Input or Output],"Input")</f>
        <v>0</v>
      </c>
      <c r="CI28" s="1">
        <f ca="1">SUMIFS(Table_Process_Details[RV Physical Mass per kg API (WATER)],Table_Process_Details[Display Name],Table_Process_Details[[#This Row],[Unique Process Inputs]],Table_Process_Details[Input or Output],"Input")</f>
        <v>0</v>
      </c>
      <c r="CJ28" s="1">
        <f ca="1">SUMIFS(Table_Process_Details[RV Physical Mass per kg API (ENZ&amp;PLNT)],Table_Process_Details[Display Name],Table_Process_Details[[#This Row],[Unique Process Inputs]],Table_Process_Details[Input or Output],"Input")</f>
        <v>0</v>
      </c>
      <c r="CK28" s="1">
        <f ca="1">SUMIFS(Table_Process_Details[RV Physical Mass per kg API (OTHER)],Table_Process_Details[Display Name],Table_Process_Details[[#This Row],[Unique Process Inputs]],Table_Process_Details[Input or Output],"Input")</f>
        <v>0</v>
      </c>
      <c r="CL28" s="22" t="str">
        <f ca="1">INDEX(Table_Process_Details[Unique Process Inputs],MATCH(Table_Process_Details[[#This Row],['[Physical Mass per kg API'] of Unique Inputs Sorted by '[Physical Mass per kg API']]],Table_Process_Details[Total '[Physical Mass per kg API'] of Unique Inputs],0))</f>
        <v>reagent O (organic)</v>
      </c>
      <c r="CM28" s="22">
        <f ca="1">IF(LARGE(Table_Process_Details[Total '[Physical Mass per kg API'] of Unique Inputs],Table_Process_Details[[#This Row],[Table Row]])=0,NA(),LARGE(Table_Process_Details[Total '[Physical Mass per kg API'] of Unique Inputs],Table_Process_Details[[#This Row],[Table Row]]))</f>
        <v>0.13980205111372709</v>
      </c>
      <c r="CN28" s="22">
        <f ca="1">SUM(OFFSET(Table_Process_Details['[Physical Mass per kg API'] of Unique Inputs Sorted by '[Physical Mass per kg API']],0,0,Table_Process_Details[[#This Row],[Table Row]]))</f>
        <v>147.15377842239724</v>
      </c>
      <c r="CO28" s="22" t="str">
        <f ca="1">"("&amp;TEXT(Table_Process_Details[[#This Row],['[Physical Mass per kg API'] of Unique Inputs Sorted by '[Physical Mass per kg API']]]/SUMIF(Table_Process_Details['[Physical Mass per kg API'] of Unique Inputs Sorted by '[Physical Mass per kg API']],"&lt;&gt;#N/A"),"0%")&amp;")"</f>
        <v>(0%)</v>
      </c>
      <c r="CP28" s="22">
        <f ca="1">INDEX(Table_Process_Details[Total '[Physical Mass per kg API'] of Unique Inputs (REAGENT)],MATCH(Table_Process_Details[[#This Row],[Unique Inputs Sorted by '[Physical Mass per kg API']]],Table_Process_Details[Unique Process Inputs],0))</f>
        <v>0.13980205111372709</v>
      </c>
      <c r="CQ28" s="22">
        <f ca="1">INDEX(Table_Process_Details[Total '[Physical Mass per kg API'] of Unique Inputs (METAL)],MATCH(Table_Process_Details[[#This Row],[Unique Inputs Sorted by '[Physical Mass per kg API']]],Table_Process_Details[Unique Process Inputs],0))</f>
        <v>0</v>
      </c>
      <c r="CR28" s="22">
        <f ca="1">INDEX(Table_Process_Details[Total '[Physical Mass per kg API'] of Unique Inputs (SOLVENT)],MATCH(Table_Process_Details[[#This Row],[Unique Inputs Sorted by '[Physical Mass per kg API']]],Table_Process_Details[Unique Process Inputs],0))</f>
        <v>0</v>
      </c>
      <c r="CS28" s="22">
        <f ca="1">INDEX(Table_Process_Details[Total '[Physical Mass per kg API'] of Unique Inputs (WATER)],MATCH(Table_Process_Details[[#This Row],[Unique Inputs Sorted by '[Physical Mass per kg API']]],Table_Process_Details[Unique Process Inputs],0))</f>
        <v>0</v>
      </c>
      <c r="CT28" s="22">
        <f ca="1">INDEX(Table_Process_Details[Total '[Physical Mass per kg API'] of Unique Inputs (ENZ&amp;PLNT)],MATCH(Table_Process_Details[[#This Row],[Unique Inputs Sorted by '[Physical Mass per kg API']]],Table_Process_Details[Unique Process Inputs],0))</f>
        <v>0</v>
      </c>
      <c r="CU28" s="22">
        <f ca="1">INDEX(Table_Process_Details[Total '[Physical Mass per kg API'] of Unique Inputs (OTHER)],MATCH(Table_Process_Details[[#This Row],[Unique Inputs Sorted by '[Physical Mass per kg API']]],Table_Process_Details[Unique Process Inputs],0))</f>
        <v>0</v>
      </c>
      <c r="CV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0.1139373270902652</v>
      </c>
      <c r="CW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5.8328793829254153E-3</v>
      </c>
      <c r="CX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0.10810444770733978</v>
      </c>
      <c r="CZ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8" s="22">
        <f ca="1">SUMIFS(Table_Process_Details[RV Mass Net (kg) per kg API],Table_Process_Details[Display Name],Table_Process_Details[[#This Row],[Unique Process Inputs]],Table_Process_Details[Input or Output],"Input")</f>
        <v>0</v>
      </c>
      <c r="DD28" s="22">
        <f ca="1">SUMIFS(Table_Process_Details[RV Mass Net (kg) per kg API (REAGENT)],Table_Process_Details[Display Name],Table_Process_Details[[#This Row],[Unique Process Inputs]],Table_Process_Details[Input or Output],"Input")</f>
        <v>0</v>
      </c>
      <c r="DE28" s="22">
        <f ca="1">SUMIFS(Table_Process_Details[RV Mass Net (kg) per kg API (METAL)],Table_Process_Details[Display Name],Table_Process_Details[[#This Row],[Unique Process Inputs]],Table_Process_Details[Input or Output],"Input")</f>
        <v>0</v>
      </c>
      <c r="DF28" s="22">
        <f ca="1">SUMIFS(Table_Process_Details[RV Mass Net (kg) per kg API (SOLVENT)],Table_Process_Details[Display Name],Table_Process_Details[[#This Row],[Unique Process Inputs]],Table_Process_Details[Input or Output],"Input")</f>
        <v>0</v>
      </c>
      <c r="DG28" s="22">
        <f ca="1">SUMIFS(Table_Process_Details[RV Mass Net (kg) per kg API (WATER)],Table_Process_Details[Display Name],Table_Process_Details[[#This Row],[Unique Process Inputs]],Table_Process_Details[Input or Output],"Input")</f>
        <v>0</v>
      </c>
      <c r="DH28" s="22">
        <f ca="1">SUMIFS(Table_Process_Details[RV Mass Net (kg) per kg API (ENZ&amp;PLNT)],Table_Process_Details[Display Name],Table_Process_Details[[#This Row],[Unique Process Inputs]],Table_Process_Details[Input or Output],"Input")</f>
        <v>0</v>
      </c>
      <c r="DI28" s="22">
        <f ca="1">SUMIFS(Table_Process_Details[RV Mass Net (kg) per kg API (OTHER)],Table_Process_Details[Display Name],Table_Process_Details[[#This Row],[Unique Process Inputs]],Table_Process_Details[Input or Output],"Input")</f>
        <v>0</v>
      </c>
      <c r="DJ28" s="22" t="str">
        <f ca="1">INDEX(Table_Process_Details[Unique Process Inputs],MATCH(Table_Process_Details[[#This Row],['[Mass Net (kg) per kg API'] of Unique Inputs Sorted by '[Mass Net (kg) per kg API']]],Table_Process_Details[Total '[Mass Net (kg) per kg API'] of Unique Inputs],0))</f>
        <v>5 wt% reagent A (organic) in acetonitrile</v>
      </c>
      <c r="DK28" s="22">
        <f ca="1">IF(LARGE(Table_Process_Details[Total '[Mass Net (kg) per kg API'] of Unique Inputs],Table_Process_Details[[#This Row],[Table Row]])=0,NA(),LARGE(Table_Process_Details[Total '[Mass Net (kg) per kg API'] of Unique Inputs],Table_Process_Details[[#This Row],[Table Row]]))</f>
        <v>0.1139373270902652</v>
      </c>
      <c r="DL28" s="22">
        <f ca="1">SUM(OFFSET(Table_Process_Details['[Mass Net (kg) per kg API'] of Unique Inputs Sorted by '[Mass Net (kg) per kg API']],0,0,Table_Process_Details[[#This Row],[Table Row]]))</f>
        <v>126.91862330690827</v>
      </c>
      <c r="DM28" s="22" t="str">
        <f ca="1">"("&amp;TEXT(Table_Process_Details[[#This Row],['[Mass Net (kg) per kg API'] of Unique Inputs Sorted by '[Mass Net (kg) per kg API']]]/SUMIF(Table_Process_Details['[Mass Net (kg) per kg API'] of Unique Inputs Sorted by '[Mass Net (kg) per kg API']],"&lt;&gt;#N/A"),"0%")&amp;")"</f>
        <v>(0%)</v>
      </c>
      <c r="DN28" s="22">
        <f ca="1">INDEX(Table_Process_Details[Total '[Mass Net (kg) per kg API'] of Unique Inputs (REAGENT)], MATCH(Table_Process_Details[[#This Row],[Unique Inputs Sorted by '[Mass Net (kg) per kg API']]],Table_Process_Details[Unique Process Inputs],0))</f>
        <v>5.8328793829254153E-3</v>
      </c>
      <c r="DO28" s="22">
        <f ca="1">INDEX(Table_Process_Details[Total '[Mass Net (kg) per kg API'] of Unique Inputs (METAL)], MATCH(Table_Process_Details[[#This Row],[Unique Inputs Sorted by '[Mass Net (kg) per kg API']]],Table_Process_Details[Unique Process Inputs],0))</f>
        <v>0</v>
      </c>
      <c r="DP28" s="22">
        <f ca="1">INDEX(Table_Process_Details[Total '[Mass Net (kg) per kg API'] of Unique Inputs (SOLVENT)], MATCH(Table_Process_Details[[#This Row],[Unique Inputs Sorted by '[Mass Net (kg) per kg API']]],Table_Process_Details[Unique Process Inputs],0))</f>
        <v>0.10810444770733978</v>
      </c>
      <c r="DQ28" s="22">
        <f ca="1">INDEX(Table_Process_Details[Total '[Mass Net (kg) per kg API'] of Unique Inputs (WATER)], MATCH(Table_Process_Details[[#This Row],[Unique Inputs Sorted by '[Mass Net (kg) per kg API']]],Table_Process_Details[Unique Process Inputs],0))</f>
        <v>0</v>
      </c>
      <c r="DR28" s="22">
        <f ca="1">INDEX(Table_Process_Details[Total '[Mass Net (kg) per kg API'] of Unique Inputs (ENZ&amp;PLNT)], MATCH(Table_Process_Details[[#This Row],[Unique Inputs Sorted by '[Mass Net (kg) per kg API']]],Table_Process_Details[Unique Process Inputs],0))</f>
        <v>0</v>
      </c>
      <c r="DS28" s="22">
        <f ca="1">INDEX(Table_Process_Details[Total '[Mass Net (kg) per kg API'] of Unique Inputs (OTHER)], MATCH(Table_Process_Details[[#This Row],[Unique Inputs Sorted by '[Mass Net (kg) per kg API']]],Table_Process_Details[Unique Process Inputs],0))</f>
        <v>0</v>
      </c>
      <c r="DT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4.8137200206601536</v>
      </c>
      <c r="DU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0.20933201018814515</v>
      </c>
      <c r="DV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4.6043880104720083</v>
      </c>
      <c r="DX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8" s="1">
        <f ca="1">SUMIFS(Table_Process_Details[RV Energy (MJ) per kg API],Table_Process_Details[Display Name],Table_Process_Details[[#This Row],[Unique Process Inputs]],Table_Process_Details[Input or Output],"Input")</f>
        <v>0</v>
      </c>
      <c r="EB28" s="1">
        <f ca="1">SUMIFS(Table_Process_Details[RV Energy (MJ) per kg API (REAGENT)],Table_Process_Details[Display Name],Table_Process_Details[[#This Row],[Unique Process Inputs]],Table_Process_Details[Input or Output],"Input")</f>
        <v>0</v>
      </c>
      <c r="EC28" s="1">
        <f ca="1">SUMIFS(Table_Process_Details[RV Energy (MJ) per kg API (METAL)],Table_Process_Details[Display Name],Table_Process_Details[[#This Row],[Unique Process Inputs]],Table_Process_Details[Input or Output],"Input")</f>
        <v>0</v>
      </c>
      <c r="ED28" s="1">
        <f ca="1">SUMIFS(Table_Process_Details[RV Energy (MJ) per kg API (SOLVENT)],Table_Process_Details[Display Name],Table_Process_Details[[#This Row],[Unique Process Inputs]],Table_Process_Details[Input or Output],"Input")</f>
        <v>0</v>
      </c>
      <c r="EE28" s="1">
        <f ca="1">SUMIFS(Table_Process_Details[RV Energy (MJ) per kg API (WATER)],Table_Process_Details[Display Name],Table_Process_Details[[#This Row],[Unique Process Inputs]],Table_Process_Details[Input or Output],"Input")</f>
        <v>0</v>
      </c>
      <c r="EF28" s="1">
        <f ca="1">SUMIFS(Table_Process_Details[RV Energy (MJ) per kg API (ENZ&amp;PLNT)],Table_Process_Details[Display Name],Table_Process_Details[[#This Row],[Unique Process Inputs]],Table_Process_Details[Input or Output],"Input")</f>
        <v>0</v>
      </c>
      <c r="EG28" s="1">
        <f ca="1">SUMIFS(Table_Process_Details[RV Energy (MJ) per kg API (OTHER)],Table_Process_Details[Display Name],Table_Process_Details[[#This Row],[Unique Process Inputs]],Table_Process_Details[Input or Output],"Input")</f>
        <v>0</v>
      </c>
      <c r="EH28" s="1" t="str">
        <f ca="1">INDEX(Table_Process_Details[Unique Process Inputs],MATCH(Table_Process_Details[[#This Row],['[Energy (MJ) per kg API'] of Unique Inputs Sorted by '[Energy (MJ) per kg API']]],Table_Process_Details[Total '[Energy (MJ) per kg API'] of Unique Inputs],0))</f>
        <v>10 wt% reagent B (inorganic) in water</v>
      </c>
      <c r="EI28" s="22">
        <f ca="1">IF(LARGE(Table_Process_Details[Total '[Energy (MJ) per kg API'] of Unique Inputs],Table_Process_Details[[#This Row],[Table Row]])=0,NA(),LARGE(Table_Process_Details[Total '[Energy (MJ) per kg API'] of Unique Inputs],Table_Process_Details[[#This Row],[Table Row]]))</f>
        <v>1.2080601378623936</v>
      </c>
      <c r="EJ28" s="22">
        <f ca="1">SUM(OFFSET(Table_Process_Details['[Energy (MJ) per kg API'] of Unique Inputs Sorted by '[Energy (MJ) per kg API']],0,0,Table_Process_Details[[#This Row],[Table Row]]))</f>
        <v>5063.0988205125677</v>
      </c>
      <c r="EK28" s="22" t="str">
        <f ca="1">"("&amp;TEXT(Table_Process_Details[[#This Row],['[Energy (MJ) per kg API'] of Unique Inputs Sorted by '[Energy (MJ) per kg API']]]/SUMIF(Table_Process_Details['[Energy (MJ) per kg API'] of Unique Inputs Sorted by '[Energy (MJ) per kg API']],"&lt;&gt;#N/A"),"0%")&amp;")"</f>
        <v>(0%)</v>
      </c>
      <c r="EL28" s="22">
        <f ca="1">INDEX(Table_Process_Details[Total '[Energy (MJ) per kg API'] of Unique Inputs (REAGENT)], MATCH(Table_Process_Details[[#This Row],[Unique Inputs Sorted by '[Energy (MJ) per kg API']]],Table_Process_Details[Unique Process Inputs],0))</f>
        <v>1.1888766426711352</v>
      </c>
      <c r="EM28" s="22">
        <f ca="1">INDEX(Table_Process_Details[Total '[Energy (MJ) per kg API'] of Unique Inputs (METAL)], MATCH(Table_Process_Details[[#This Row],[Unique Inputs Sorted by '[Energy (MJ) per kg API']]],Table_Process_Details[Unique Process Inputs],0))</f>
        <v>0</v>
      </c>
      <c r="EN28" s="22">
        <f ca="1">INDEX(Table_Process_Details[Total '[Energy (MJ) per kg API'] of Unique Inputs (SOLVENT)], MATCH(Table_Process_Details[[#This Row],[Unique Inputs Sorted by '[Energy (MJ) per kg API']]],Table_Process_Details[Unique Process Inputs],0))</f>
        <v>0</v>
      </c>
      <c r="EO28" s="22">
        <f ca="1">INDEX(Table_Process_Details[Total '[Energy (MJ) per kg API'] of Unique Inputs (WATER)], MATCH(Table_Process_Details[[#This Row],[Unique Inputs Sorted by '[Energy (MJ) per kg API']]],Table_Process_Details[Unique Process Inputs],0))</f>
        <v>1.9183495191258417E-2</v>
      </c>
      <c r="EP28" s="22">
        <f ca="1">INDEX(Table_Process_Details[Total '[Energy (MJ) per kg API'] of Unique Inputs (ENZ&amp;PLNT)], MATCH(Table_Process_Details[[#This Row],[Unique Inputs Sorted by '[Energy (MJ) per kg API']]],Table_Process_Details[Unique Process Inputs],0))</f>
        <v>0</v>
      </c>
      <c r="EQ28" s="22">
        <f ca="1">INDEX(Table_Process_Details[Total '[Energy (MJ) per kg API'] of Unique Inputs (OTHER)], MATCH(Table_Process_Details[[#This Row],[Unique Inputs Sorted by '[Energy (MJ) per kg API']]],Table_Process_Details[Unique Process Inputs],0))</f>
        <v>0</v>
      </c>
      <c r="ER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0.16923093468809744</v>
      </c>
      <c r="ES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7.3379400010380128E-3</v>
      </c>
      <c r="ET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0.16189299468705942</v>
      </c>
      <c r="EV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8" s="22">
        <f ca="1">SUMIFS(Table_Process_Details[RV GWP (kg CO2 equiv.) per kg API],Table_Process_Details[Display Name],Table_Process_Details[[#This Row],[Unique Process Inputs]],Table_Process_Details[Input or Output],"Input")</f>
        <v>0</v>
      </c>
      <c r="EZ28" s="1">
        <f ca="1">SUMIFS(Table_Process_Details[RV GWP (kg CO2 equiv.) per kg API (REAGENT)],Table_Process_Details[Display Name],Table_Process_Details[[#This Row],[Unique Process Inputs]],Table_Process_Details[Input or Output],"Input")</f>
        <v>0</v>
      </c>
      <c r="FA28" s="1">
        <f ca="1">SUMIFS(Table_Process_Details[RV GWP (kg CO2 equiv.) per kg API (METAL)],Table_Process_Details[Display Name],Table_Process_Details[[#This Row],[Unique Process Inputs]],Table_Process_Details[Input or Output],"Input")</f>
        <v>0</v>
      </c>
      <c r="FB28" s="1">
        <f ca="1">SUMIFS(Table_Process_Details[RV GWP (kg CO2 equiv.) per kg API (SOLVENT)],Table_Process_Details[Display Name],Table_Process_Details[[#This Row],[Unique Process Inputs]],Table_Process_Details[Input or Output],"Input")</f>
        <v>0</v>
      </c>
      <c r="FC28" s="1">
        <f ca="1">SUMIFS(Table_Process_Details[RV GWP (kg CO2 equiv.) per kg API (WATER)],Table_Process_Details[Display Name],Table_Process_Details[[#This Row],[Unique Process Inputs]],Table_Process_Details[Input or Output],"Input")</f>
        <v>0</v>
      </c>
      <c r="FD28" s="1">
        <f ca="1">SUMIFS(Table_Process_Details[RV GWP (kg CO2 equiv.) per kg API (ENZ&amp;PLNT)],Table_Process_Details[Display Name],Table_Process_Details[[#This Row],[Unique Process Inputs]],Table_Process_Details[Input or Output],"Input")</f>
        <v>0</v>
      </c>
      <c r="FE28" s="1">
        <f ca="1">SUMIFS(Table_Process_Details[RV GWP (kg CO2 equiv.) per kg API (OTHER)],Table_Process_Details[Display Name],Table_Process_Details[[#This Row],[Unique Process Inputs]],Table_Process_Details[Input or Output],"Input")</f>
        <v>0</v>
      </c>
      <c r="FF28" s="22" t="str">
        <f ca="1">INDEX(Table_Process_Details[Unique Process Inputs],MATCH(Table_Process_Details[[#This Row],['[GWP (kg CO2 equiv.) per kg API'] of Unique Inputs Sorted by '[GWP (kg CO2 equiv.) per kg API']]],Table_Process_Details[Total '[GWP (kg CO2 equiv.) per kg API'] of Unique Inputs],0))</f>
        <v>10 wt% reagent B (inorganic) in water</v>
      </c>
      <c r="FG28" s="22">
        <f ca="1">IF(LARGE(Table_Process_Details[Total '[GWP (kg CO2 equiv.) per kg API'] of Unique Inputs],Table_Process_Details[[#This Row],[Table Row]])=0,NA(),LARGE(Table_Process_Details[Total '[GWP (kg CO2 equiv.) per kg API'] of Unique Inputs],Table_Process_Details[[#This Row],[Table Row]]))</f>
        <v>0.15596782955838298</v>
      </c>
      <c r="FH28" s="22">
        <f ca="1">SUM(OFFSET(Table_Process_Details['[GWP (kg CO2 equiv.) per kg API'] of Unique Inputs Sorted by '[GWP (kg CO2 equiv.) per kg API']],0,0,Table_Process_Details[[#This Row],[Table Row]]))</f>
        <v>156.35931070578829</v>
      </c>
      <c r="FI28" s="22" t="str">
        <f ca="1">"("&amp;TEXT(Table_Process_Details[[#This Row],['[GWP (kg CO2 equiv.) per kg API'] of Unique Inputs Sorted by '[GWP (kg CO2 equiv.) per kg API']]]/SUMIF(Table_Process_Details['[GWP (kg CO2 equiv.) per kg API'] of Unique Inputs Sorted by '[GWP (kg CO2 equiv.) per kg API']],"&lt;&gt;#N/A"),"0%")&amp;")"</f>
        <v>(0%)</v>
      </c>
      <c r="FJ28" s="22">
        <f ca="1">INDEX(Table_Process_Details[Total '[GWP (kg CO2 equiv.) per kg API'] of Unique Inputs (REAGENT)], MATCH(Table_Process_Details[[#This Row],[Unique Inputs Sorted by '[GWP (kg CO2 equiv.) per kg API']]],Table_Process_Details[Unique Process Inputs],0))</f>
        <v>0.15494540929036602</v>
      </c>
      <c r="FK28" s="22">
        <f ca="1">INDEX(Table_Process_Details[Total '[GWP (kg CO2 equiv.) per kg API'] of Unique Inputs (METAL)], MATCH(Table_Process_Details[[#This Row],[Unique Inputs Sorted by '[GWP (kg CO2 equiv.) per kg API']]],Table_Process_Details[Unique Process Inputs],0))</f>
        <v>0</v>
      </c>
      <c r="FL28" s="22">
        <f ca="1">INDEX(Table_Process_Details[Total '[GWP (kg CO2 equiv.) per kg API'] of Unique Inputs (SOLVENT)], MATCH(Table_Process_Details[[#This Row],[Unique Inputs Sorted by '[GWP (kg CO2 equiv.) per kg API']]],Table_Process_Details[Unique Process Inputs],0))</f>
        <v>0</v>
      </c>
      <c r="FM28" s="22">
        <f ca="1">INDEX(Table_Process_Details[Total '[GWP (kg CO2 equiv.) per kg API'] of Unique Inputs (WATER)], MATCH(Table_Process_Details[[#This Row],[Unique Inputs Sorted by '[GWP (kg CO2 equiv.) per kg API']]],Table_Process_Details[Unique Process Inputs],0))</f>
        <v>1.0224202680169875E-3</v>
      </c>
      <c r="FN28" s="22">
        <f ca="1">INDEX(Table_Process_Details[Total '[GWP (kg CO2 equiv.) per kg API'] of Unique Inputs (ENZ&amp;PLNT)], MATCH(Table_Process_Details[[#This Row],[Unique Inputs Sorted by '[GWP (kg CO2 equiv.) per kg API']]],Table_Process_Details[Unique Process Inputs],0))</f>
        <v>0</v>
      </c>
      <c r="FO28" s="22">
        <f ca="1">INDEX(Table_Process_Details[Total '[GWP (kg CO2 equiv.) per kg API'] of Unique Inputs (OTHER)], MATCH(Table_Process_Details[[#This Row],[Unique Inputs Sorted by '[GWP (kg CO2 equiv.) per kg API']]],Table_Process_Details[Unique Process Inputs],0))</f>
        <v>0</v>
      </c>
      <c r="FP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7.8017787737896663E-4</v>
      </c>
      <c r="FQ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3.1380286424614496E-5</v>
      </c>
      <c r="FR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7.4879759095435212E-4</v>
      </c>
      <c r="FT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8" s="22">
        <f ca="1">SUMIFS(Table_Process_Details[RV Acidification (kg SO2 equiv.) per kg API],Table_Process_Details[Display Name],Table_Process_Details[[#This Row],[Unique Process Inputs]],Table_Process_Details[Input or Output],"Input")</f>
        <v>0</v>
      </c>
      <c r="FX28" s="1">
        <f ca="1">SUMIFS(Table_Process_Details[RV Acidification (kg SO2 equiv.) per kg API (REAGENT)],Table_Process_Details[Display Name],Table_Process_Details[[#This Row],[Unique Process Inputs]],Table_Process_Details[Input or Output],"Input")</f>
        <v>0</v>
      </c>
      <c r="FY28" s="1">
        <f ca="1">SUMIFS(Table_Process_Details[RV Acidification (kg SO2 equiv.) per kg API (METAL)],Table_Process_Details[Display Name],Table_Process_Details[[#This Row],[Unique Process Inputs]],Table_Process_Details[Input or Output],"Input")</f>
        <v>0</v>
      </c>
      <c r="FZ28" s="1">
        <f ca="1">SUMIFS(Table_Process_Details[RV Acidification (kg SO2 equiv.) per kg API (SOLVENT)],Table_Process_Details[Display Name],Table_Process_Details[[#This Row],[Unique Process Inputs]],Table_Process_Details[Input or Output],"Input")</f>
        <v>0</v>
      </c>
      <c r="GA28" s="1">
        <f ca="1">SUMIFS(Table_Process_Details[RV Acidification (kg SO2 equiv.) per kg API (WATER)],Table_Process_Details[Display Name],Table_Process_Details[[#This Row],[Unique Process Inputs]],Table_Process_Details[Input or Output],"Input")</f>
        <v>0</v>
      </c>
      <c r="GB28" s="1">
        <f ca="1">SUMIFS(Table_Process_Details[RV Acidification (kg SO2 equiv.) per kg API (ENZ&amp;PLNT)],Table_Process_Details[Display Name],Table_Process_Details[[#This Row],[Unique Process Inputs]],Table_Process_Details[Input or Output],"Input")</f>
        <v>0</v>
      </c>
      <c r="GC28" s="1">
        <f ca="1">SUMIFS(Table_Process_Details[RV Acidification (kg SO2 equiv.) per kg API (OTHER)],Table_Process_Details[Display Name],Table_Process_Details[[#This Row],[Unique Process Inputs]],Table_Process_Details[Input or Output],"Input")</f>
        <v>0</v>
      </c>
      <c r="GD28"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5 wt% reagent A (organic) in acetonitrile</v>
      </c>
      <c r="GE28" s="22">
        <f ca="1">IF(LARGE(Table_Process_Details[Total '[Acidification (kg SO2 equiv.) per kg API'] of Unique Inputs],Table_Process_Details[[#This Row],[Table Row]])=0,NA(),LARGE(Table_Process_Details[Total '[Acidification (kg SO2 equiv.) per kg API'] of Unique Inputs],Table_Process_Details[[#This Row],[Table Row]]))</f>
        <v>7.8017787737896663E-4</v>
      </c>
      <c r="GF28" s="22">
        <f ca="1">SUM(OFFSET(Table_Process_Details['[Acidification (kg SO2 equiv.) per kg API'] of Unique Inputs Sorted by '[Acidification (kg SO2 equiv.) per kg API']],0,0,Table_Process_Details[[#This Row],[Table Row]]))</f>
        <v>0.65378397084447037</v>
      </c>
      <c r="GG28"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8" s="22">
        <f ca="1">INDEX(Table_Process_Details[Total '[Acidification (kg SO2 equiv.) per kg API'] of Unique Inputs (REAGENT)], MATCH(Table_Process_Details[[#This Row],[Unique Inputs Sorted by '[Acidification (kg SO2 equiv.) per kg API']]],Table_Process_Details[Unique Process Inputs],0))</f>
        <v>3.1380286424614496E-5</v>
      </c>
      <c r="GI28" s="22">
        <f ca="1">INDEX(Table_Process_Details[Total '[Acidification (kg SO2 equiv.) per kg API'] of Unique Inputs (METAL)], MATCH(Table_Process_Details[[#This Row],[Unique Inputs Sorted by '[Acidification (kg SO2 equiv.) per kg API']]],Table_Process_Details[Unique Process Inputs],0))</f>
        <v>0</v>
      </c>
      <c r="GJ28" s="22">
        <f ca="1">INDEX(Table_Process_Details[Total '[Acidification (kg SO2 equiv.) per kg API'] of Unique Inputs (SOLVENT)], MATCH(Table_Process_Details[[#This Row],[Unique Inputs Sorted by '[Acidification (kg SO2 equiv.) per kg API']]],Table_Process_Details[Unique Process Inputs],0))</f>
        <v>7.4879759095435212E-4</v>
      </c>
      <c r="GK28" s="22">
        <f ca="1">INDEX(Table_Process_Details[Total '[Acidification (kg SO2 equiv.) per kg API'] of Unique Inputs (WATER)], MATCH(Table_Process_Details[[#This Row],[Unique Inputs Sorted by '[Acidification (kg SO2 equiv.) per kg API']]],Table_Process_Details[Unique Process Inputs],0))</f>
        <v>0</v>
      </c>
      <c r="GL28" s="22">
        <f ca="1">INDEX(Table_Process_Details[Total '[Acidification (kg SO2 equiv.) per kg API'] of Unique Inputs (ENZ&amp;PLNT)], MATCH(Table_Process_Details[[#This Row],[Unique Inputs Sorted by '[Acidification (kg SO2 equiv.) per kg API']]],Table_Process_Details[Unique Process Inputs],0))</f>
        <v>0</v>
      </c>
      <c r="GM28" s="22">
        <f ca="1">INDEX(Table_Process_Details[Total '[Acidification (kg SO2 equiv.) per kg API'] of Unique Inputs (OTHER)], MATCH(Table_Process_Details[[#This Row],[Unique Inputs Sorted by '[Acidification (kg SO2 equiv.) per kg API']]],Table_Process_Details[Unique Process Inputs],0))</f>
        <v>0</v>
      </c>
      <c r="GN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4.6634932286889266E-4</v>
      </c>
      <c r="GO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2.5126492973503151E-5</v>
      </c>
      <c r="GP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4.4122282989538951E-4</v>
      </c>
      <c r="GR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8" s="22">
        <f ca="1">SUMIFS(Table_Process_Details[RV Eutrophication (kg phosphate equiv.) per kg API],Table_Process_Details[Display Name],Table_Process_Details[[#This Row],[Unique Process Inputs]],Table_Process_Details[Input or Output],"Input")</f>
        <v>0</v>
      </c>
      <c r="GV28" s="1">
        <f ca="1">SUMIFS(Table_Process_Details[RV Eutrophication (kg phosphate equiv.) per kg API (REAGENT)],Table_Process_Details[Display Name],Table_Process_Details[[#This Row],[Unique Process Inputs]],Table_Process_Details[Input or Output],"Input")</f>
        <v>0</v>
      </c>
      <c r="GW28" s="1">
        <f ca="1">SUMIFS(Table_Process_Details[RV Eutrophication (kg phosphate equiv.) per kg API (METAL)],Table_Process_Details[Display Name],Table_Process_Details[[#This Row],[Unique Process Inputs]],Table_Process_Details[Input or Output],"Input")</f>
        <v>0</v>
      </c>
      <c r="GX28" s="1">
        <f ca="1">SUMIFS(Table_Process_Details[RV Eutrophication (kg phosphate equiv.) per kg API (SOLVENT)],Table_Process_Details[Display Name],Table_Process_Details[[#This Row],[Unique Process Inputs]],Table_Process_Details[Input or Output],"Input")</f>
        <v>0</v>
      </c>
      <c r="GY28" s="1">
        <f ca="1">SUMIFS(Table_Process_Details[RV Eutrophication (kg phosphate equiv.) per kg API (WATER)],Table_Process_Details[Display Name],Table_Process_Details[[#This Row],[Unique Process Inputs]],Table_Process_Details[Input or Output],"Input")</f>
        <v>0</v>
      </c>
      <c r="GZ28" s="1">
        <f ca="1">SUMIFS(Table_Process_Details[RV Eutrophication (kg phosphate equiv.) per kg API (ENZ&amp;PLNT)],Table_Process_Details[Display Name],Table_Process_Details[[#This Row],[Unique Process Inputs]],Table_Process_Details[Input or Output],"Input")</f>
        <v>0</v>
      </c>
      <c r="HA28" s="1">
        <f ca="1">SUMIFS(Table_Process_Details[RV Eutrophication (kg phosphate equiv.) per kg API (OTHER)],Table_Process_Details[Display Name],Table_Process_Details[[#This Row],[Unique Process Inputs]],Table_Process_Details[Input or Output],"Input")</f>
        <v>0</v>
      </c>
      <c r="HB28"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water</v>
      </c>
      <c r="HC28" s="22">
        <f ca="1">IF(LARGE(Table_Process_Details[Total '[Eutrophication (kg posphate equiv.) per kg API'] of Unique Inputs],Table_Process_Details[[#This Row],[Table Row]])=0,NA(),LARGE(Table_Process_Details[Total '[Eutrophication (kg posphate equiv.) per kg API'] of Unique Inputs],Table_Process_Details[[#This Row],[Table Row]]))</f>
        <v>9.3252518217436323E-5</v>
      </c>
      <c r="HD28" s="22">
        <f ca="1">SUM(OFFSET(Table_Process_Details['[Eutrophication (kg posphate equiv.) per kg API'] of Unique Inputs Sorted by '[Eutrophication (kg posphate equiv.) per kg API']],0,0,Table_Process_Details[[#This Row],[Table Row]]))</f>
        <v>1.3755377909750797</v>
      </c>
      <c r="HE28"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8" s="1">
        <f ca="1">INDEX(Table_Process_Details[Total '[Eutrophication (kg posphate equiv.) per kg API'] of Unique Inputs (REAGENT)], MATCH(Table_Process_Details[[#This Row],[Unique Inputs Sorted by '[Eutrophication (kg posphate equiv.) per kg API']]],Table_Process_Details[Unique Process Inputs],0))</f>
        <v>0</v>
      </c>
      <c r="HG28" s="1">
        <f ca="1">INDEX(Table_Process_Details[Total '[Eutrophication (kg posphate equiv.) per kg API'] of Unique Inputs (METAL)], MATCH(Table_Process_Details[[#This Row],[Unique Inputs Sorted by '[Eutrophication (kg posphate equiv.) per kg API']]],Table_Process_Details[Unique Process Inputs],0))</f>
        <v>0</v>
      </c>
      <c r="HH28" s="1">
        <f ca="1">INDEX(Table_Process_Details[Total '[Eutrophication (kg posphate equiv.) per kg API'] of Unique Inputs (SOLVENT)], MATCH(Table_Process_Details[[#This Row],[Unique Inputs Sorted by '[Eutrophication (kg posphate equiv.) per kg API']]],Table_Process_Details[Unique Process Inputs],0))</f>
        <v>0</v>
      </c>
      <c r="HI28" s="1">
        <f ca="1">INDEX(Table_Process_Details[Total '[Eutrophication (kg posphate equiv.) per kg API'] of Unique Inputs (WATER)], MATCH(Table_Process_Details[[#This Row],[Unique Inputs Sorted by '[Eutrophication (kg posphate equiv.) per kg API']]],Table_Process_Details[Unique Process Inputs],0))</f>
        <v>9.3252518217436323E-5</v>
      </c>
      <c r="HJ28" s="1">
        <f ca="1">INDEX(Table_Process_Details[Total '[Eutrophication (kg posphate equiv.) per kg API'] of Unique Inputs (ENZ&amp;PLNT)], MATCH(Table_Process_Details[[#This Row],[Unique Inputs Sorted by '[Eutrophication (kg posphate equiv.) per kg API']]],Table_Process_Details[Unique Process Inputs],0))</f>
        <v>0</v>
      </c>
      <c r="HK28" s="1">
        <f ca="1">INDEX(Table_Process_Details[Total '[Eutrophication (kg posphate equiv.) per kg API'] of Unique Inputs (OTHER)], MATCH(Table_Process_Details[[#This Row],[Unique Inputs Sorted by '[Eutrophication (kg posphate equiv.) per kg API']]],Table_Process_Details[Unique Process Inputs],0))</f>
        <v>0</v>
      </c>
      <c r="HL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0.67551279990262048</v>
      </c>
      <c r="HM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4.1088715313657986E-2</v>
      </c>
      <c r="HN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0.63442408458896249</v>
      </c>
      <c r="HP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8" s="1">
        <f ca="1">SUMIFS(Table_Process_Details[RV Water (kg) per kg API],Table_Process_Details[Display Name],Table_Process_Details[[#This Row],[Unique Process Inputs]],Table_Process_Details[Input or Output],"Input")</f>
        <v>0</v>
      </c>
      <c r="HT28" s="1">
        <f ca="1">SUMIFS(Table_Process_Details[RV Water (kg) per kg API (REAGENT)],Table_Process_Details[Display Name],Table_Process_Details[[#This Row],[Unique Process Inputs]],Table_Process_Details[Input or Output],"Input")</f>
        <v>0</v>
      </c>
      <c r="HU28" s="1">
        <f ca="1">SUMIFS(Table_Process_Details[RV Water (kg) per kg API (METAL)],Table_Process_Details[Display Name],Table_Process_Details[[#This Row],[Unique Process Inputs]],Table_Process_Details[Input or Output],"Input")</f>
        <v>0</v>
      </c>
      <c r="HV28" s="1">
        <f ca="1">SUMIFS(Table_Process_Details[RV Water (kg) per kg API (SOLVENT)],Table_Process_Details[Display Name],Table_Process_Details[[#This Row],[Unique Process Inputs]],Table_Process_Details[Input or Output],"Input")</f>
        <v>0</v>
      </c>
      <c r="HW28" s="1">
        <f ca="1">SUMIFS(Table_Process_Details[RV Water (kg) per kg API (WATER)],Table_Process_Details[Display Name],Table_Process_Details[[#This Row],[Unique Process Inputs]],Table_Process_Details[Input or Output],"Input")</f>
        <v>0</v>
      </c>
      <c r="HX28" s="1">
        <f ca="1">SUMIFS(Table_Process_Details[RV Water (kg) per kg API (ENZ&amp;PLNT)],Table_Process_Details[Display Name],Table_Process_Details[[#This Row],[Unique Process Inputs]],Table_Process_Details[Input or Output],"Input")</f>
        <v>0</v>
      </c>
      <c r="HY28" s="1">
        <f ca="1">SUMIFS(Table_Process_Details[RV Water (kg) per kg API (OTHER)],Table_Process_Details[Display Name],Table_Process_Details[[#This Row],[Unique Process Inputs]],Table_Process_Details[Input or Output],"Input")</f>
        <v>0</v>
      </c>
      <c r="HZ28" s="22" t="str">
        <f ca="1">INDEX(Table_Process_Details[Unique Process Inputs],MATCH(Table_Process_Details[[#This Row],['[Water (kg) per kg API'] of Unique Inputs Sorted by '[Water (kg) per kg API']]],Table_Process_Details[Total '[Water (kg) per kg API'] of Unique Inputs],0))</f>
        <v>reagent N (organic)</v>
      </c>
      <c r="IA28" s="22">
        <f ca="1">IF(LARGE(Table_Process_Details[Total '[Water (kg) per kg API'] of Unique Inputs],Table_Process_Details[[#This Row],[Table Row]])=0,NA(),LARGE(Table_Process_Details[Total '[Water (kg) per kg API'] of Unique Inputs],Table_Process_Details[[#This Row],[Table Row]]))</f>
        <v>1.0272178828414495</v>
      </c>
      <c r="IB28" s="1">
        <f ca="1">SUM(OFFSET(Table_Process_Details['[Water (kg) per kg API'] of Unique Inputs Sorted by '[Water (kg) per kg API']],0,0,Table_Process_Details[[#This Row],[Table Row]]))</f>
        <v>887.67887108933712</v>
      </c>
      <c r="IC28" s="1" t="str">
        <f ca="1">"("&amp;TEXT(Table_Process_Details[[#This Row],['[Water (kg) per kg API'] of Unique Inputs Sorted by '[Water (kg) per kg API']]]/SUMIF(Table_Process_Details['[Water (kg) per kg API'] of Unique Inputs Sorted by '[Water (kg) per kg API']],"&lt;&gt;#N/A"),"0%")&amp;")"</f>
        <v>(0%)</v>
      </c>
      <c r="ID28" s="1">
        <f ca="1">INDEX(Table_Process_Details[Total '[Water (kg) per kg API'] of Unique Inputs (REAGENT)], MATCH(Table_Process_Details[[#This Row],[Unique Inputs Sorted by '[Water (kg) per kg API']]],Table_Process_Details[Unique Process Inputs],0))</f>
        <v>1.0272178828414495</v>
      </c>
      <c r="IE28" s="1">
        <f ca="1">INDEX(Table_Process_Details[Total '[Water (kg) per kg API'] of Unique Inputs (METAL)], MATCH(Table_Process_Details[[#This Row],[Unique Inputs Sorted by '[Water (kg) per kg API']]],Table_Process_Details[Unique Process Inputs],0))</f>
        <v>0</v>
      </c>
      <c r="IF28" s="1">
        <f ca="1">INDEX(Table_Process_Details[Total '[Water (kg) per kg API'] of Unique Inputs (SOLVENT)], MATCH(Table_Process_Details[[#This Row],[Unique Inputs Sorted by '[Water (kg) per kg API']]],Table_Process_Details[Unique Process Inputs],0))</f>
        <v>0</v>
      </c>
      <c r="IG28" s="1">
        <f ca="1">INDEX(Table_Process_Details[Total '[Water (kg) per kg API'] of Unique Inputs (WATER)], MATCH(Table_Process_Details[[#This Row],[Unique Inputs Sorted by '[Water (kg) per kg API']]],Table_Process_Details[Unique Process Inputs],0))</f>
        <v>0</v>
      </c>
      <c r="IH28" s="1">
        <f ca="1">INDEX(Table_Process_Details[Total '[Water (kg) per kg API'] of Unique Inputs (ENZ&amp;PLNT)], MATCH(Table_Process_Details[[#This Row],[Unique Inputs Sorted by '[Water (kg) per kg API']]],Table_Process_Details[Unique Process Inputs],0))</f>
        <v>0</v>
      </c>
      <c r="II28" s="1">
        <f ca="1">INDEX(Table_Process_Details[Total '[Water (kg) per kg API'] of Unique Inputs (OTHER)], MATCH(Table_Process_Details[[#This Row],[Unique Inputs Sorted by '[Water (kg) per kg API']]],Table_Process_Details[Unique Process Inputs],0))</f>
        <v>0</v>
      </c>
    </row>
    <row r="29" spans="1:243" customFormat="1" x14ac:dyDescent="0.25">
      <c r="A29" s="22" t="str">
        <f t="shared" si="0"/>
        <v>1) Synthesis of Intermediate (1)</v>
      </c>
      <c r="B29" s="21" t="s">
        <v>4</v>
      </c>
      <c r="C29" s="21" t="s">
        <v>170</v>
      </c>
      <c r="D29" s="22" t="str">
        <f>A10</f>
        <v>1b) Virtual solution prep for (1): 10 wt% reagent B (inorganic) in water</v>
      </c>
      <c r="E29" s="22" t="str">
        <f>E10</f>
        <v>10 wt% reagent B (inorganic) in water</v>
      </c>
      <c r="F29" s="26">
        <v>160</v>
      </c>
      <c r="G29" s="26"/>
      <c r="H29" s="26"/>
      <c r="I29" s="26"/>
      <c r="J29" s="26" t="str">
        <f>INDEX(Process_Steps[Reference],MATCH(Table_Process_Details[[#This Row],[Step Name]],Process_Steps[Name],0))</f>
        <v>Reference Document  for Step 1</v>
      </c>
      <c r="K29" s="27" t="str">
        <f>INDEX(Process_Steps[Real or Virtual?],MATCH(Table_Process_Details[[#This Row],[Step Name]],Process_Steps[Name],0))</f>
        <v>Real</v>
      </c>
      <c r="L2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2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29" s="26">
        <f>INDEX(Table_Process_Details[Physical Mass (kg)],MATCH(1,INDEX(((Table_Process_Details[Step Name]=Table_Process_Details[[#This Row],[Step Name]])*(Table_Process_Details[Input or Output]="Output")),0),0))</f>
        <v>51.020408163265309</v>
      </c>
      <c r="O29" s="29">
        <f ca="1">INDEX(Process_Steps[Step Scale Factor for 1kg Packaged API],MATCH(Table_Process_Details[[#This Row],[Step Name]],Process_Steps[Name],0))</f>
        <v>6.9901025556863543E-3</v>
      </c>
      <c r="P2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4.5</v>
      </c>
      <c r="Q2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16.5</v>
      </c>
      <c r="R29" s="26">
        <f ca="1">_xlfn.SWITCH(Run_Reset_PNG,"Reset",Table_Process_Details[[#This Row],[X Init]],"Run",Table_Process_Details[[#This Row],[X Moved]],"Freeze",Table_Process_Details[[#This Row],[X Mover]])</f>
        <v>-6.1913643958266302</v>
      </c>
      <c r="S29" s="26">
        <f ca="1">_xlfn.SWITCH(Run_Reset_PNG,"Reset",Table_Process_Details[[#This Row],[Y Init]],"Run",Table_Process_Details[[#This Row],[Y Moved]],"Freeze",Table_Process_Details[[#This Row],[Y Mover]])</f>
        <v>20.015582634271116</v>
      </c>
      <c r="T29" s="26" cm="1">
        <f t="array" aca="1" ref="T2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-11.39759808960835</v>
      </c>
      <c r="U29" s="26" cm="1">
        <f t="array" aca="1" ref="U2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-0.46553461976988042</v>
      </c>
      <c r="V29" s="26" cm="1">
        <f t="array" aca="1" ref="V29" ca="1">SUM(--(SQRT((Table_Process_Details[[#This Row],[X Mover]]-Table_Process_Details[X Mover])^2+(Table_Process_Details[[#This Row],[Y Mover]]-Table_Process_Details[Y Mover])^2)&lt;Collision_Distance))</f>
        <v>20</v>
      </c>
      <c r="W29" s="26" cm="1">
        <f t="array" aca="1" ref="W2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1.0054458386451957</v>
      </c>
      <c r="X29" s="26" cm="1">
        <f t="array" aca="1" ref="X2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0.22271681229025464</v>
      </c>
      <c r="Y29" s="26" cm="1">
        <f t="array" aca="1" ref="Y2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29" s="26">
        <f>0</f>
        <v>0</v>
      </c>
      <c r="AA29" s="26">
        <f>0</f>
        <v>0</v>
      </c>
      <c r="AB2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3.0956821979133151</v>
      </c>
      <c r="AC29" s="26" cm="1">
        <f t="array" aca="1" ref="AC2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-10.007791317135558</v>
      </c>
      <c r="AD29" s="26">
        <f>MIN(1,COUNTA(Table_Process_Details[[#This Row],[target x]]),COUNTA(Table_Process_Details[[#This Row],[target y]]))*COUNTA(Table_Process_Details[Step Name])</f>
        <v>98</v>
      </c>
      <c r="AE2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-6.2269327871281916</v>
      </c>
      <c r="AF2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20.001543989865137</v>
      </c>
      <c r="AG2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29" s="26" cm="1">
        <f t="array" aca="1" ref="AH29" ca="1">INDEX(Table_Process_Details[X Mover],MATCH(1,INDEX((Table_Process_Details[Input or Output]="Output")*(Table_Process_Details[Step Name]=Table_Process_Details[[#This Row],[Step Name]])*(Table_Process_Details[[#This Row],[Input or Output]]="Input"),0),0))</f>
        <v>0.78891624628593393</v>
      </c>
      <c r="AI29" s="26" cm="1">
        <f t="array" aca="1" ref="AI29" ca="1">INDEX(Table_Process_Details[Y Mover],MATCH(1,INDEX((Table_Process_Details[Input or Output]="Output")*(Table_Process_Details[Step Name]=Table_Process_Details[[#This Row],[Step Name]])*(Table_Process_Details[[#This Row],[Input or Output]]="Input"),0),0))</f>
        <v>21.555431875630404</v>
      </c>
      <c r="AJ29" s="26">
        <f ca="1">SQRT((Table_Process_Details[[#This Row],[X End (To Node Center)]]-Table_Process_Details[[#This Row],[X Guide]])^2+(Table_Process_Details[[#This Row],[Y End (to Node Center)]]-Table_Process_Details[[#This Row],[Y Guide]])^2)</f>
        <v>7.1481083881518037</v>
      </c>
      <c r="AK29" s="26" cm="1">
        <f t="array" aca="1" ref="AK29" ca="1">INDEX(Table_Process_Details[X Mover],MATCH(1,INDEX((Table_Process_Details[Step Name]=Table_Process_Details[[#This Row],[LCA Data Source Subclass]])*(Table_Process_Details[Input or Output]="Output"),0)*(Table_Process_Details[[#This Row],[Input or Output]]="Input"),0))</f>
        <v>-11.161305606405291</v>
      </c>
      <c r="AL29" s="26" cm="1">
        <f t="array" aca="1" ref="AL29" ca="1">INDEX(Table_Process_Details[X Mover],MATCH(1,INDEX(((Table_Process_Details[Table Row]=Table_Process_Details[[#This Row],[Table Row]])*(1)),0)*(Table_Process_Details[[#This Row],[Input or Output]]="Input"),0))</f>
        <v>-6.1913643958266302</v>
      </c>
      <c r="AM29" s="26" cm="1">
        <f t="array" aca="1" ref="AM29" ca="1">(Table_Process_Details[[#This Row],[X End (To Node Center)]]*Table_Process_Details[[#This Row],[r0]]-Table_Process_Details[[#This Row],[X End (To Node Center)]]*Arrow_Offset+Table_Process_Details[[#This Row],[X Guide]]*Arrow_Offset)/Table_Process_Details[[#This Row],[r0]]</f>
        <v>7.6991451370390165E-3</v>
      </c>
      <c r="AN29" s="26">
        <f ca="1">IF(NOT(Table_Process_Details[[#This Row],[Display As]]="None"),Table_Process_Details[[#This Row],[X Start Prefilter]],NA())</f>
        <v>-11.161305606405291</v>
      </c>
      <c r="AO29" s="26">
        <f ca="1">IF(NOT(Table_Process_Details[[#This Row],[Display As]]="None"),Table_Process_Details[[#This Row],[X Guide Prefilter]],NA())</f>
        <v>-6.1913643958266302</v>
      </c>
      <c r="AP29" s="26">
        <f ca="1">IF(NOT(Table_Process_Details[[#This Row],[Display As]]="None"),Table_Process_Details[[#This Row],[X End (to Stop Radius) Prefilter]],NA())</f>
        <v>7.6991451370390165E-3</v>
      </c>
      <c r="AQ29" s="26" t="e">
        <f>NA()</f>
        <v>#N/A</v>
      </c>
      <c r="AR29" s="26" cm="1">
        <f t="array" aca="1" ref="AR29" ca="1">INDEX(Table_Process_Details[Y Mover],MATCH(1,INDEX((Table_Process_Details[Step Name]=Table_Process_Details[[#This Row],[LCA Data Source Subclass]])*(Table_Process_Details[Input or Output]="Output"),0)*(Table_Process_Details[[#This Row],[Input or Output]]="Input"),0))</f>
        <v>18.923675503501165</v>
      </c>
      <c r="AS29" s="26" cm="1">
        <f t="array" aca="1" ref="AS29" ca="1">INDEX(Table_Process_Details[Y Mover],MATCH(1,INDEX(((Table_Process_Details[Table Row]=Table_Process_Details[[#This Row],[Table Row]])*(1)),0)*(Table_Process_Details[[#This Row],[Input or Output]]="Input"),0))</f>
        <v>20.015582634271116</v>
      </c>
      <c r="AT29" s="26" cm="1">
        <f t="array" aca="1" ref="AT29" ca="1">(Table_Process_Details[[#This Row],[Y Guide]]*Arrow_Offset-Table_Process_Details[[#This Row],[Y End (to Node Center)]]*Arrow_Offset+Table_Process_Details[[#This Row],[Y End (to Node Center)]]*Table_Process_Details[[#This Row],[r0]])/Table_Process_Details[[#This Row],[r0]]</f>
        <v>21.383095457910532</v>
      </c>
      <c r="AU29" s="26">
        <f ca="1">IF(NOT(Table_Process_Details[[#This Row],[Display As]]="None"),Table_Process_Details[[#This Row],[Y Start Prefilter]],NA())</f>
        <v>18.923675503501165</v>
      </c>
      <c r="AV29" s="26">
        <f ca="1">IF(NOT(Table_Process_Details[[#This Row],[Display As]]="None"),Table_Process_Details[[#This Row],[Y Guide Prefilter]],NA())</f>
        <v>20.015582634271116</v>
      </c>
      <c r="AW29" s="26">
        <f ca="1">IF(NOT(Table_Process_Details[[#This Row],[Display As]]="None"),Table_Process_Details[[#This Row],[Y End (to Stop Radius) Prefilter]],NA())</f>
        <v>21.383095457910532</v>
      </c>
      <c r="AX29" s="26" t="e">
        <f>NA()</f>
        <v>#N/A</v>
      </c>
      <c r="AY29" s="26" t="e">
        <f>IF(Table_Process_Details[[#This Row],[Display As]]="Real Step",Table_Process_Details[[#This Row],[X Mover]],NA())</f>
        <v>#N/A</v>
      </c>
      <c r="AZ29" s="26" t="e">
        <f>IF(Table_Process_Details[[#This Row],[Display As]]="Real Step",Table_Process_Details[[#This Row],[Y Mover]],NA())</f>
        <v>#N/A</v>
      </c>
      <c r="BA29" s="26" t="e">
        <f>IF(Table_Process_Details[[#This Row],[Display As]]="Raw Material",Table_Process_Details[[#This Row],[X Mover]],NA())</f>
        <v>#N/A</v>
      </c>
      <c r="BB29" s="26" t="e">
        <f>IF(Table_Process_Details[[#This Row],[Display As]]="Raw Material",Table_Process_Details[[#This Row],[Y Mover]],NA())</f>
        <v>#N/A</v>
      </c>
      <c r="BC29" s="26" t="e">
        <f>IF(OR(Table_Process_Details[[#This Row],[Display As]]="Real Step",Table_Process_Details[[#This Row],[Display As]]="Raw Material"),Table_Process_Details[[#This Row],[X Mover]],NA())</f>
        <v>#N/A</v>
      </c>
      <c r="BD29" s="26" t="e">
        <f>IF(OR(Table_Process_Details[[#This Row],[Display As]]="Real Step",Table_Process_Details[[#This Row],[Display As]]="Raw Material"),Table_Process_Details[[#This Row],[Y Mover]],NA())</f>
        <v>#N/A</v>
      </c>
      <c r="BE29" s="22">
        <f>ROW()-ROW(Table_Process_Details[[#Headers],[Table Row]])</f>
        <v>25</v>
      </c>
      <c r="BF29" s="23" t="str" cm="1">
        <f t="array" aca="1" ref="BF29" ca="1">INDEX(Table_Process_Details[Display Name],MATCH(0,IF(Table_Process_Details[Input or Output]="Input",INDEX(COUNTIF(OFFSET(Table_Process_Details[[#Headers],[Unique Process Inputs]],0,0,Table_Process_Details[[#This Row],[Table Row]],1),Table_Process_Details[Display Name]),),""),0))</f>
        <v>reagent F (inorganic)</v>
      </c>
      <c r="BG29" s="23">
        <f ca="1">Table_Process_Details[[#This Row],[Physical Mass (kg)]]*Table_Process_Details[[#This Row],[Step Scale Factor for 1kg Packaged API]]</f>
        <v>1.1184164089098168</v>
      </c>
      <c r="BH2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0.99999999999474554</v>
      </c>
      <c r="BI29" s="23">
        <f ca="1">MATCH(Table_Process_Details[[#This Row],[LCA Data Source Class]],INDIRECT(Table_Process_Details[[#This Row],[Input or Output]]),0)</f>
        <v>1</v>
      </c>
      <c r="BJ29" s="23">
        <f ca="1">MATCH(Table_Process_Details[[#This Row],[LCA Data Source Subclass]],INDIRECT(Table_Process_Details[[#This Row],[LCA Data Source Class]]&amp;"[Name]"),0)</f>
        <v>2</v>
      </c>
      <c r="BK29" s="23">
        <f ca="1">IFERROR(INDEX(INDIRECT(Table_Process_Details[[#This Row],[LCA Data Source Class]]&amp;"[Mass Net (kg)]"),MATCH(Table_Process_Details[[#This Row],[LCA Data Source Subclass]],INDIRECT(Table_Process_Details[[#This Row],[LCA Data Source Class]]&amp;"[Name]"),0)),0)</f>
        <v>0</v>
      </c>
      <c r="BL29" s="23">
        <f ca="1">IFERROR(INDEX(INDIRECT(Table_Process_Details[[#This Row],[LCA Data Source Class]]&amp;"[Energy (MJ)]"),MATCH(Table_Process_Details[[#This Row],[LCA Data Source Subclass]],INDIRECT(Table_Process_Details[[#This Row],[LCA Data Source Class]]&amp;"[Name]"),0)),0)</f>
        <v>0</v>
      </c>
      <c r="BM29" s="23">
        <f ca="1">IFERROR(INDEX(INDIRECT(Table_Process_Details[[#This Row],[LCA Data Source Class]]&amp;"[GWP (kg CO2 equiv.)]"),MATCH(Table_Process_Details[[#This Row],[LCA Data Source Subclass]],INDIRECT(Table_Process_Details[[#This Row],[LCA Data Source Class]]&amp;"[Name]"),0)),0)</f>
        <v>0</v>
      </c>
      <c r="BN29" s="23">
        <f ca="1">IFERROR(INDEX(INDIRECT(Table_Process_Details[[#This Row],[LCA Data Source Class]]&amp;"[Acidification (kg SO2 equiv.)]"),MATCH(Table_Process_Details[[#This Row],[LCA Data Source Subclass]],INDIRECT(Table_Process_Details[[#This Row],[LCA Data Source Class]]&amp;"[Name]"),0)),0)</f>
        <v>0</v>
      </c>
      <c r="BO29" s="23">
        <f ca="1">IFERROR(INDEX(INDIRECT(Table_Process_Details[[#This Row],[LCA Data Source Class]]&amp;"[Eutrophication (kg posphate equiv.)]"),MATCH(Table_Process_Details[[#This Row],[LCA Data Source Subclass]],INDIRECT(Table_Process_Details[[#This Row],[LCA Data Source Class]]&amp;"[Name]"),0)),0)</f>
        <v>0</v>
      </c>
      <c r="BP29" s="23">
        <f ca="1">IFERROR(INDEX(INDIRECT(Table_Process_Details[[#This Row],[LCA Data Source Class]]&amp;"[Water (kg)]"),MATCH(Table_Process_Details[[#This Row],[LCA Data Source Subclass]],INDIRECT(Table_Process_Details[[#This Row],[LCA Data Source Class]]&amp;"[Name]"),0)),0)</f>
        <v>0</v>
      </c>
      <c r="BQ29" s="27">
        <f ca="1">(Table_Process_Details[[#This Row],[Input or Output]]="Input")*(Table_Process_Details[[#This Row],[LCA Data Source Class]]&lt;&gt;"Process_Steps")*Table_Process_Details[[#This Row],[Scaled Physical Mass per kg API for All Inputs &amp; Outputs]]</f>
        <v>0</v>
      </c>
      <c r="BR29" s="27">
        <f ca="1">(Table_Process_Details[[#This Row],[Material Class]]="REAGENT")*Table_Process_Details[[#This Row],[Physical Mass per kg API]]</f>
        <v>0</v>
      </c>
      <c r="BS29" s="27">
        <f ca="1">(Table_Process_Details[[#This Row],[Material Class]]="METAL")*Table_Process_Details[[#This Row],[Physical Mass per kg API]]</f>
        <v>0</v>
      </c>
      <c r="BT29" s="27">
        <f ca="1">(Table_Process_Details[[#This Row],[Material Class]]="SOLVENT")*Table_Process_Details[[#This Row],[Physical Mass per kg API]]</f>
        <v>0</v>
      </c>
      <c r="BU29" s="27">
        <f ca="1">(Table_Process_Details[[#This Row],[Material Class]]="WATER")*Table_Process_Details[[#This Row],[Physical Mass per kg API]]</f>
        <v>0</v>
      </c>
      <c r="BV29" s="27">
        <f ca="1">(Table_Process_Details[[#This Row],[Material Class]]="ENZ&amp;PLNT")*Table_Process_Details[[#This Row],[Physical Mass per kg API]]</f>
        <v>0</v>
      </c>
      <c r="BW29" s="27">
        <f ca="1">(Table_Process_Details[[#This Row],[Material Class]]="OTHER")*Table_Process_Details[[#This Row],[Physical Mass per kg API]]</f>
        <v>0</v>
      </c>
      <c r="BX2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1.1184164089098165</v>
      </c>
      <c r="BY2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0.11184164089098167</v>
      </c>
      <c r="BZ2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2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2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1.0065747680188348</v>
      </c>
      <c r="CC2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2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29" s="1">
        <f ca="1">SUMIFS(Table_Process_Details[RV Physical Mass per kg API],Table_Process_Details[Display Name],Table_Process_Details[[#This Row],[Unique Process Inputs]],Table_Process_Details[Input or Output],"Input")</f>
        <v>0</v>
      </c>
      <c r="CF29" s="1">
        <f ca="1">SUMIFS(Table_Process_Details[RV Physical Mass per kg API (REAGENT)],Table_Process_Details[Display Name],Table_Process_Details[[#This Row],[Unique Process Inputs]],Table_Process_Details[Input or Output],"Input")</f>
        <v>0</v>
      </c>
      <c r="CG29" s="1">
        <f ca="1">SUMIFS(Table_Process_Details[RV Physical Mass per kg API (METAL)],Table_Process_Details[Display Name],Table_Process_Details[[#This Row],[Unique Process Inputs]],Table_Process_Details[Input or Output],"Input")</f>
        <v>0</v>
      </c>
      <c r="CH29" s="1">
        <f ca="1">SUMIFS(Table_Process_Details[RV Physical Mass per kg API (SOLVENT)],Table_Process_Details[Display Name],Table_Process_Details[[#This Row],[Unique Process Inputs]],Table_Process_Details[Input or Output],"Input")</f>
        <v>0</v>
      </c>
      <c r="CI29" s="1">
        <f ca="1">SUMIFS(Table_Process_Details[RV Physical Mass per kg API (WATER)],Table_Process_Details[Display Name],Table_Process_Details[[#This Row],[Unique Process Inputs]],Table_Process_Details[Input or Output],"Input")</f>
        <v>0</v>
      </c>
      <c r="CJ29" s="1">
        <f ca="1">SUMIFS(Table_Process_Details[RV Physical Mass per kg API (ENZ&amp;PLNT)],Table_Process_Details[Display Name],Table_Process_Details[[#This Row],[Unique Process Inputs]],Table_Process_Details[Input or Output],"Input")</f>
        <v>0</v>
      </c>
      <c r="CK29" s="1">
        <f ca="1">SUMIFS(Table_Process_Details[RV Physical Mass per kg API (OTHER)],Table_Process_Details[Display Name],Table_Process_Details[[#This Row],[Unique Process Inputs]],Table_Process_Details[Input or Output],"Input")</f>
        <v>0</v>
      </c>
      <c r="CL29" s="22" t="str">
        <f ca="1">INDEX(Table_Process_Details[Unique Process Inputs],MATCH(Table_Process_Details[[#This Row],['[Physical Mass per kg API'] of Unique Inputs Sorted by '[Physical Mass per kg API']]],Table_Process_Details[Total '[Physical Mass per kg API'] of Unique Inputs],0))</f>
        <v>reagent S (organic)</v>
      </c>
      <c r="CM29" s="22">
        <f ca="1">IF(LARGE(Table_Process_Details[Total '[Physical Mass per kg API'] of Unique Inputs],Table_Process_Details[[#This Row],[Table Row]])=0,NA(),LARGE(Table_Process_Details[Total '[Physical Mass per kg API'] of Unique Inputs],Table_Process_Details[[#This Row],[Table Row]]))</f>
        <v>0.13980205111364838</v>
      </c>
      <c r="CN29" s="22">
        <f ca="1">SUM(OFFSET(Table_Process_Details['[Physical Mass per kg API'] of Unique Inputs Sorted by '[Physical Mass per kg API']],0,0,Table_Process_Details[[#This Row],[Table Row]]))</f>
        <v>147.2935804735109</v>
      </c>
      <c r="CO29" s="22" t="str">
        <f ca="1">"("&amp;TEXT(Table_Process_Details[[#This Row],['[Physical Mass per kg API'] of Unique Inputs Sorted by '[Physical Mass per kg API']]]/SUMIF(Table_Process_Details['[Physical Mass per kg API'] of Unique Inputs Sorted by '[Physical Mass per kg API']],"&lt;&gt;#N/A"),"0%")&amp;")"</f>
        <v>(0%)</v>
      </c>
      <c r="CP29" s="22">
        <f ca="1">INDEX(Table_Process_Details[Total '[Physical Mass per kg API'] of Unique Inputs (REAGENT)],MATCH(Table_Process_Details[[#This Row],[Unique Inputs Sorted by '[Physical Mass per kg API']]],Table_Process_Details[Unique Process Inputs],0))</f>
        <v>0.13980205111364838</v>
      </c>
      <c r="CQ29" s="22">
        <f ca="1">INDEX(Table_Process_Details[Total '[Physical Mass per kg API'] of Unique Inputs (METAL)],MATCH(Table_Process_Details[[#This Row],[Unique Inputs Sorted by '[Physical Mass per kg API']]],Table_Process_Details[Unique Process Inputs],0))</f>
        <v>0</v>
      </c>
      <c r="CR29" s="22">
        <f ca="1">INDEX(Table_Process_Details[Total '[Physical Mass per kg API'] of Unique Inputs (SOLVENT)],MATCH(Table_Process_Details[[#This Row],[Unique Inputs Sorted by '[Physical Mass per kg API']]],Table_Process_Details[Unique Process Inputs],0))</f>
        <v>0</v>
      </c>
      <c r="CS29" s="22">
        <f ca="1">INDEX(Table_Process_Details[Total '[Physical Mass per kg API'] of Unique Inputs (WATER)],MATCH(Table_Process_Details[[#This Row],[Unique Inputs Sorted by '[Physical Mass per kg API']]],Table_Process_Details[Unique Process Inputs],0))</f>
        <v>0</v>
      </c>
      <c r="CT29" s="22">
        <f ca="1">INDEX(Table_Process_Details[Total '[Physical Mass per kg API'] of Unique Inputs (ENZ&amp;PLNT)],MATCH(Table_Process_Details[[#This Row],[Unique Inputs Sorted by '[Physical Mass per kg API']]],Table_Process_Details[Unique Process Inputs],0))</f>
        <v>0</v>
      </c>
      <c r="CU29" s="22">
        <f ca="1">INDEX(Table_Process_Details[Total '[Physical Mass per kg API'] of Unique Inputs (OTHER)],MATCH(Table_Process_Details[[#This Row],[Unique Inputs Sorted by '[Physical Mass per kg API']]],Table_Process_Details[Unique Process Inputs],0))</f>
        <v>0</v>
      </c>
      <c r="CV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0.15140812523327021</v>
      </c>
      <c r="CW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0.14986779879391543</v>
      </c>
      <c r="CX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1.5403264393547727E-3</v>
      </c>
      <c r="DA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2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29" s="22">
        <f ca="1">SUMIFS(Table_Process_Details[RV Mass Net (kg) per kg API],Table_Process_Details[Display Name],Table_Process_Details[[#This Row],[Unique Process Inputs]],Table_Process_Details[Input or Output],"Input")</f>
        <v>0</v>
      </c>
      <c r="DD29" s="22">
        <f ca="1">SUMIFS(Table_Process_Details[RV Mass Net (kg) per kg API (REAGENT)],Table_Process_Details[Display Name],Table_Process_Details[[#This Row],[Unique Process Inputs]],Table_Process_Details[Input or Output],"Input")</f>
        <v>0</v>
      </c>
      <c r="DE29" s="22">
        <f ca="1">SUMIFS(Table_Process_Details[RV Mass Net (kg) per kg API (METAL)],Table_Process_Details[Display Name],Table_Process_Details[[#This Row],[Unique Process Inputs]],Table_Process_Details[Input or Output],"Input")</f>
        <v>0</v>
      </c>
      <c r="DF29" s="22">
        <f ca="1">SUMIFS(Table_Process_Details[RV Mass Net (kg) per kg API (SOLVENT)],Table_Process_Details[Display Name],Table_Process_Details[[#This Row],[Unique Process Inputs]],Table_Process_Details[Input or Output],"Input")</f>
        <v>0</v>
      </c>
      <c r="DG29" s="22">
        <f ca="1">SUMIFS(Table_Process_Details[RV Mass Net (kg) per kg API (WATER)],Table_Process_Details[Display Name],Table_Process_Details[[#This Row],[Unique Process Inputs]],Table_Process_Details[Input or Output],"Input")</f>
        <v>0</v>
      </c>
      <c r="DH29" s="22">
        <f ca="1">SUMIFS(Table_Process_Details[RV Mass Net (kg) per kg API (ENZ&amp;PLNT)],Table_Process_Details[Display Name],Table_Process_Details[[#This Row],[Unique Process Inputs]],Table_Process_Details[Input or Output],"Input")</f>
        <v>0</v>
      </c>
      <c r="DI29" s="22">
        <f ca="1">SUMIFS(Table_Process_Details[RV Mass Net (kg) per kg API (OTHER)],Table_Process_Details[Display Name],Table_Process_Details[[#This Row],[Unique Process Inputs]],Table_Process_Details[Input or Output],"Input")</f>
        <v>0</v>
      </c>
      <c r="DJ29" s="22" t="str">
        <f ca="1">INDEX(Table_Process_Details[Unique Process Inputs],MATCH(Table_Process_Details[[#This Row],['[Mass Net (kg) per kg API'] of Unique Inputs Sorted by '[Mass Net (kg) per kg API']]],Table_Process_Details[Total '[Mass Net (kg) per kg API'] of Unique Inputs],0))</f>
        <v>water</v>
      </c>
      <c r="DK29" s="22">
        <f ca="1">IF(LARGE(Table_Process_Details[Total '[Mass Net (kg) per kg API'] of Unique Inputs],Table_Process_Details[[#This Row],[Table Row]])=0,NA(),LARGE(Table_Process_Details[Total '[Mass Net (kg) per kg API'] of Unique Inputs],Table_Process_Details[[#This Row],[Table Row]]))</f>
        <v>6.1557663890206053E-2</v>
      </c>
      <c r="DL29" s="22">
        <f ca="1">SUM(OFFSET(Table_Process_Details['[Mass Net (kg) per kg API'] of Unique Inputs Sorted by '[Mass Net (kg) per kg API']],0,0,Table_Process_Details[[#This Row],[Table Row]]))</f>
        <v>126.98018097079849</v>
      </c>
      <c r="DM29" s="22" t="str">
        <f ca="1">"("&amp;TEXT(Table_Process_Details[[#This Row],['[Mass Net (kg) per kg API'] of Unique Inputs Sorted by '[Mass Net (kg) per kg API']]]/SUMIF(Table_Process_Details['[Mass Net (kg) per kg API'] of Unique Inputs Sorted by '[Mass Net (kg) per kg API']],"&lt;&gt;#N/A"),"0%")&amp;")"</f>
        <v>(0%)</v>
      </c>
      <c r="DN29" s="22">
        <f ca="1">INDEX(Table_Process_Details[Total '[Mass Net (kg) per kg API'] of Unique Inputs (REAGENT)], MATCH(Table_Process_Details[[#This Row],[Unique Inputs Sorted by '[Mass Net (kg) per kg API']]],Table_Process_Details[Unique Process Inputs],0))</f>
        <v>0</v>
      </c>
      <c r="DO29" s="22">
        <f ca="1">INDEX(Table_Process_Details[Total '[Mass Net (kg) per kg API'] of Unique Inputs (METAL)], MATCH(Table_Process_Details[[#This Row],[Unique Inputs Sorted by '[Mass Net (kg) per kg API']]],Table_Process_Details[Unique Process Inputs],0))</f>
        <v>0</v>
      </c>
      <c r="DP29" s="22">
        <f ca="1">INDEX(Table_Process_Details[Total '[Mass Net (kg) per kg API'] of Unique Inputs (SOLVENT)], MATCH(Table_Process_Details[[#This Row],[Unique Inputs Sorted by '[Mass Net (kg) per kg API']]],Table_Process_Details[Unique Process Inputs],0))</f>
        <v>0</v>
      </c>
      <c r="DQ29" s="22">
        <f ca="1">INDEX(Table_Process_Details[Total '[Mass Net (kg) per kg API'] of Unique Inputs (WATER)], MATCH(Table_Process_Details[[#This Row],[Unique Inputs Sorted by '[Mass Net (kg) per kg API']]],Table_Process_Details[Unique Process Inputs],0))</f>
        <v>6.1557663890206053E-2</v>
      </c>
      <c r="DR29" s="22">
        <f ca="1">INDEX(Table_Process_Details[Total '[Mass Net (kg) per kg API'] of Unique Inputs (ENZ&amp;PLNT)], MATCH(Table_Process_Details[[#This Row],[Unique Inputs Sorted by '[Mass Net (kg) per kg API']]],Table_Process_Details[Unique Process Inputs],0))</f>
        <v>0</v>
      </c>
      <c r="DS29" s="22">
        <f ca="1">INDEX(Table_Process_Details[Total '[Mass Net (kg) per kg API'] of Unique Inputs (OTHER)], MATCH(Table_Process_Details[[#This Row],[Unique Inputs Sorted by '[Mass Net (kg) per kg API']]],Table_Process_Details[Unique Process Inputs],0))</f>
        <v>0</v>
      </c>
      <c r="DT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1.2080601378623936</v>
      </c>
      <c r="DU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1.1888766426711352</v>
      </c>
      <c r="DV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1.9183495191258417E-2</v>
      </c>
      <c r="DY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2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29" s="1">
        <f ca="1">SUMIFS(Table_Process_Details[RV Energy (MJ) per kg API],Table_Process_Details[Display Name],Table_Process_Details[[#This Row],[Unique Process Inputs]],Table_Process_Details[Input or Output],"Input")</f>
        <v>0</v>
      </c>
      <c r="EB29" s="1">
        <f ca="1">SUMIFS(Table_Process_Details[RV Energy (MJ) per kg API (REAGENT)],Table_Process_Details[Display Name],Table_Process_Details[[#This Row],[Unique Process Inputs]],Table_Process_Details[Input or Output],"Input")</f>
        <v>0</v>
      </c>
      <c r="EC29" s="1">
        <f ca="1">SUMIFS(Table_Process_Details[RV Energy (MJ) per kg API (METAL)],Table_Process_Details[Display Name],Table_Process_Details[[#This Row],[Unique Process Inputs]],Table_Process_Details[Input or Output],"Input")</f>
        <v>0</v>
      </c>
      <c r="ED29" s="1">
        <f ca="1">SUMIFS(Table_Process_Details[RV Energy (MJ) per kg API (SOLVENT)],Table_Process_Details[Display Name],Table_Process_Details[[#This Row],[Unique Process Inputs]],Table_Process_Details[Input or Output],"Input")</f>
        <v>0</v>
      </c>
      <c r="EE29" s="1">
        <f ca="1">SUMIFS(Table_Process_Details[RV Energy (MJ) per kg API (WATER)],Table_Process_Details[Display Name],Table_Process_Details[[#This Row],[Unique Process Inputs]],Table_Process_Details[Input or Output],"Input")</f>
        <v>0</v>
      </c>
      <c r="EF29" s="1">
        <f ca="1">SUMIFS(Table_Process_Details[RV Energy (MJ) per kg API (ENZ&amp;PLNT)],Table_Process_Details[Display Name],Table_Process_Details[[#This Row],[Unique Process Inputs]],Table_Process_Details[Input or Output],"Input")</f>
        <v>0</v>
      </c>
      <c r="EG29" s="1">
        <f ca="1">SUMIFS(Table_Process_Details[RV Energy (MJ) per kg API (OTHER)],Table_Process_Details[Display Name],Table_Process_Details[[#This Row],[Unique Process Inputs]],Table_Process_Details[Input or Output],"Input")</f>
        <v>0</v>
      </c>
      <c r="EH29" s="1" t="str">
        <f ca="1">INDEX(Table_Process_Details[Unique Process Inputs],MATCH(Table_Process_Details[[#This Row],['[Energy (MJ) per kg API'] of Unique Inputs Sorted by '[Energy (MJ) per kg API']]],Table_Process_Details[Total '[Energy (MJ) per kg API'] of Unique Inputs],0))</f>
        <v>water</v>
      </c>
      <c r="EI29" s="22">
        <f ca="1">IF(LARGE(Table_Process_Details[Total '[Energy (MJ) per kg API'] of Unique Inputs],Table_Process_Details[[#This Row],[Table Row]])=0,NA(),LARGE(Table_Process_Details[Total '[Energy (MJ) per kg API'] of Unique Inputs],Table_Process_Details[[#This Row],[Table Row]]))</f>
        <v>0.76664992501039797</v>
      </c>
      <c r="EJ29" s="22">
        <f ca="1">SUM(OFFSET(Table_Process_Details['[Energy (MJ) per kg API'] of Unique Inputs Sorted by '[Energy (MJ) per kg API']],0,0,Table_Process_Details[[#This Row],[Table Row]]))</f>
        <v>5063.8654704375786</v>
      </c>
      <c r="EK29" s="22" t="str">
        <f ca="1">"("&amp;TEXT(Table_Process_Details[[#This Row],['[Energy (MJ) per kg API'] of Unique Inputs Sorted by '[Energy (MJ) per kg API']]]/SUMIF(Table_Process_Details['[Energy (MJ) per kg API'] of Unique Inputs Sorted by '[Energy (MJ) per kg API']],"&lt;&gt;#N/A"),"0%")&amp;")"</f>
        <v>(0%)</v>
      </c>
      <c r="EL29" s="22">
        <f ca="1">INDEX(Table_Process_Details[Total '[Energy (MJ) per kg API'] of Unique Inputs (REAGENT)], MATCH(Table_Process_Details[[#This Row],[Unique Inputs Sorted by '[Energy (MJ) per kg API']]],Table_Process_Details[Unique Process Inputs],0))</f>
        <v>0</v>
      </c>
      <c r="EM29" s="22">
        <f ca="1">INDEX(Table_Process_Details[Total '[Energy (MJ) per kg API'] of Unique Inputs (METAL)], MATCH(Table_Process_Details[[#This Row],[Unique Inputs Sorted by '[Energy (MJ) per kg API']]],Table_Process_Details[Unique Process Inputs],0))</f>
        <v>0</v>
      </c>
      <c r="EN29" s="22">
        <f ca="1">INDEX(Table_Process_Details[Total '[Energy (MJ) per kg API'] of Unique Inputs (SOLVENT)], MATCH(Table_Process_Details[[#This Row],[Unique Inputs Sorted by '[Energy (MJ) per kg API']]],Table_Process_Details[Unique Process Inputs],0))</f>
        <v>0</v>
      </c>
      <c r="EO29" s="22">
        <f ca="1">INDEX(Table_Process_Details[Total '[Energy (MJ) per kg API'] of Unique Inputs (WATER)], MATCH(Table_Process_Details[[#This Row],[Unique Inputs Sorted by '[Energy (MJ) per kg API']]],Table_Process_Details[Unique Process Inputs],0))</f>
        <v>0.76664992501039797</v>
      </c>
      <c r="EP29" s="22">
        <f ca="1">INDEX(Table_Process_Details[Total '[Energy (MJ) per kg API'] of Unique Inputs (ENZ&amp;PLNT)], MATCH(Table_Process_Details[[#This Row],[Unique Inputs Sorted by '[Energy (MJ) per kg API']]],Table_Process_Details[Unique Process Inputs],0))</f>
        <v>0</v>
      </c>
      <c r="EQ29" s="22">
        <f ca="1">INDEX(Table_Process_Details[Total '[Energy (MJ) per kg API'] of Unique Inputs (OTHER)], MATCH(Table_Process_Details[[#This Row],[Unique Inputs Sorted by '[Energy (MJ) per kg API']]],Table_Process_Details[Unique Process Inputs],0))</f>
        <v>0</v>
      </c>
      <c r="ER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0.15596782955838298</v>
      </c>
      <c r="ES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0.15494540929036602</v>
      </c>
      <c r="ET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1.0224202680169875E-3</v>
      </c>
      <c r="EW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2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29" s="22">
        <f ca="1">SUMIFS(Table_Process_Details[RV GWP (kg CO2 equiv.) per kg API],Table_Process_Details[Display Name],Table_Process_Details[[#This Row],[Unique Process Inputs]],Table_Process_Details[Input or Output],"Input")</f>
        <v>0</v>
      </c>
      <c r="EZ29" s="1">
        <f ca="1">SUMIFS(Table_Process_Details[RV GWP (kg CO2 equiv.) per kg API (REAGENT)],Table_Process_Details[Display Name],Table_Process_Details[[#This Row],[Unique Process Inputs]],Table_Process_Details[Input or Output],"Input")</f>
        <v>0</v>
      </c>
      <c r="FA29" s="1">
        <f ca="1">SUMIFS(Table_Process_Details[RV GWP (kg CO2 equiv.) per kg API (METAL)],Table_Process_Details[Display Name],Table_Process_Details[[#This Row],[Unique Process Inputs]],Table_Process_Details[Input or Output],"Input")</f>
        <v>0</v>
      </c>
      <c r="FB29" s="1">
        <f ca="1">SUMIFS(Table_Process_Details[RV GWP (kg CO2 equiv.) per kg API (SOLVENT)],Table_Process_Details[Display Name],Table_Process_Details[[#This Row],[Unique Process Inputs]],Table_Process_Details[Input or Output],"Input")</f>
        <v>0</v>
      </c>
      <c r="FC29" s="1">
        <f ca="1">SUMIFS(Table_Process_Details[RV GWP (kg CO2 equiv.) per kg API (WATER)],Table_Process_Details[Display Name],Table_Process_Details[[#This Row],[Unique Process Inputs]],Table_Process_Details[Input or Output],"Input")</f>
        <v>0</v>
      </c>
      <c r="FD29" s="1">
        <f ca="1">SUMIFS(Table_Process_Details[RV GWP (kg CO2 equiv.) per kg API (ENZ&amp;PLNT)],Table_Process_Details[Display Name],Table_Process_Details[[#This Row],[Unique Process Inputs]],Table_Process_Details[Input or Output],"Input")</f>
        <v>0</v>
      </c>
      <c r="FE29" s="1">
        <f ca="1">SUMIFS(Table_Process_Details[RV GWP (kg CO2 equiv.) per kg API (OTHER)],Table_Process_Details[Display Name],Table_Process_Details[[#This Row],[Unique Process Inputs]],Table_Process_Details[Input or Output],"Input")</f>
        <v>0</v>
      </c>
      <c r="FF29" s="22" t="str">
        <f ca="1">INDEX(Table_Process_Details[Unique Process Inputs],MATCH(Table_Process_Details[[#This Row],['[GWP (kg CO2 equiv.) per kg API'] of Unique Inputs Sorted by '[GWP (kg CO2 equiv.) per kg API']]],Table_Process_Details[Total '[GWP (kg CO2 equiv.) per kg API'] of Unique Inputs],0))</f>
        <v>25 wt% reagent E (inorganic) in water</v>
      </c>
      <c r="FG29" s="22">
        <f ca="1">IF(LARGE(Table_Process_Details[Total '[GWP (kg CO2 equiv.) per kg API'] of Unique Inputs],Table_Process_Details[[#This Row],[Table Row]])=0,NA(),LARGE(Table_Process_Details[Total '[GWP (kg CO2 equiv.) per kg API'] of Unique Inputs],Table_Process_Details[[#This Row],[Table Row]]))</f>
        <v>4.8526942514463822E-2</v>
      </c>
      <c r="FH29" s="22">
        <f ca="1">SUM(OFFSET(Table_Process_Details['[GWP (kg CO2 equiv.) per kg API'] of Unique Inputs Sorted by '[GWP (kg CO2 equiv.) per kg API']],0,0,Table_Process_Details[[#This Row],[Table Row]]))</f>
        <v>156.40783764830275</v>
      </c>
      <c r="FI29" s="22" t="str">
        <f ca="1">"("&amp;TEXT(Table_Process_Details[[#This Row],['[GWP (kg CO2 equiv.) per kg API'] of Unique Inputs Sorted by '[GWP (kg CO2 equiv.) per kg API']]]/SUMIF(Table_Process_Details['[GWP (kg CO2 equiv.) per kg API'] of Unique Inputs Sorted by '[GWP (kg CO2 equiv.) per kg API']],"&lt;&gt;#N/A"),"0%")&amp;")"</f>
        <v>(0%)</v>
      </c>
      <c r="FJ29" s="22">
        <f ca="1">INDEX(Table_Process_Details[Total '[GWP (kg CO2 equiv.) per kg API'] of Unique Inputs (REAGENT)], MATCH(Table_Process_Details[[#This Row],[Unique Inputs Sorted by '[GWP (kg CO2 equiv.) per kg API']]],Table_Process_Details[Unique Process Inputs],0))</f>
        <v>4.8420440403212112E-2</v>
      </c>
      <c r="FK29" s="22">
        <f ca="1">INDEX(Table_Process_Details[Total '[GWP (kg CO2 equiv.) per kg API'] of Unique Inputs (METAL)], MATCH(Table_Process_Details[[#This Row],[Unique Inputs Sorted by '[GWP (kg CO2 equiv.) per kg API']]],Table_Process_Details[Unique Process Inputs],0))</f>
        <v>0</v>
      </c>
      <c r="FL29" s="22">
        <f ca="1">INDEX(Table_Process_Details[Total '[GWP (kg CO2 equiv.) per kg API'] of Unique Inputs (SOLVENT)], MATCH(Table_Process_Details[[#This Row],[Unique Inputs Sorted by '[GWP (kg CO2 equiv.) per kg API']]],Table_Process_Details[Unique Process Inputs],0))</f>
        <v>0</v>
      </c>
      <c r="FM29" s="22">
        <f ca="1">INDEX(Table_Process_Details[Total '[GWP (kg CO2 equiv.) per kg API'] of Unique Inputs (WATER)], MATCH(Table_Process_Details[[#This Row],[Unique Inputs Sorted by '[GWP (kg CO2 equiv.) per kg API']]],Table_Process_Details[Unique Process Inputs],0))</f>
        <v>1.0650211125170959E-4</v>
      </c>
      <c r="FN29" s="22">
        <f ca="1">INDEX(Table_Process_Details[Total '[GWP (kg CO2 equiv.) per kg API'] of Unique Inputs (ENZ&amp;PLNT)], MATCH(Table_Process_Details[[#This Row],[Unique Inputs Sorted by '[GWP (kg CO2 equiv.) per kg API']]],Table_Process_Details[Unique Process Inputs],0))</f>
        <v>0</v>
      </c>
      <c r="FO29" s="22">
        <f ca="1">INDEX(Table_Process_Details[Total '[GWP (kg CO2 equiv.) per kg API'] of Unique Inputs (OTHER)], MATCH(Table_Process_Details[[#This Row],[Unique Inputs Sorted by '[GWP (kg CO2 equiv.) per kg API']]],Table_Process_Details[Unique Process Inputs],0))</f>
        <v>0</v>
      </c>
      <c r="FP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1.5585158286670305E-3</v>
      </c>
      <c r="FQ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1.5545988083846452E-3</v>
      </c>
      <c r="FR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3.9170202823853742E-6</v>
      </c>
      <c r="FU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2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29" s="22">
        <f ca="1">SUMIFS(Table_Process_Details[RV Acidification (kg SO2 equiv.) per kg API],Table_Process_Details[Display Name],Table_Process_Details[[#This Row],[Unique Process Inputs]],Table_Process_Details[Input or Output],"Input")</f>
        <v>0</v>
      </c>
      <c r="FX29" s="1">
        <f ca="1">SUMIFS(Table_Process_Details[RV Acidification (kg SO2 equiv.) per kg API (REAGENT)],Table_Process_Details[Display Name],Table_Process_Details[[#This Row],[Unique Process Inputs]],Table_Process_Details[Input or Output],"Input")</f>
        <v>0</v>
      </c>
      <c r="FY29" s="1">
        <f ca="1">SUMIFS(Table_Process_Details[RV Acidification (kg SO2 equiv.) per kg API (METAL)],Table_Process_Details[Display Name],Table_Process_Details[[#This Row],[Unique Process Inputs]],Table_Process_Details[Input or Output],"Input")</f>
        <v>0</v>
      </c>
      <c r="FZ29" s="1">
        <f ca="1">SUMIFS(Table_Process_Details[RV Acidification (kg SO2 equiv.) per kg API (SOLVENT)],Table_Process_Details[Display Name],Table_Process_Details[[#This Row],[Unique Process Inputs]],Table_Process_Details[Input or Output],"Input")</f>
        <v>0</v>
      </c>
      <c r="GA29" s="1">
        <f ca="1">SUMIFS(Table_Process_Details[RV Acidification (kg SO2 equiv.) per kg API (WATER)],Table_Process_Details[Display Name],Table_Process_Details[[#This Row],[Unique Process Inputs]],Table_Process_Details[Input or Output],"Input")</f>
        <v>0</v>
      </c>
      <c r="GB29" s="1">
        <f ca="1">SUMIFS(Table_Process_Details[RV Acidification (kg SO2 equiv.) per kg API (ENZ&amp;PLNT)],Table_Process_Details[Display Name],Table_Process_Details[[#This Row],[Unique Process Inputs]],Table_Process_Details[Input or Output],"Input")</f>
        <v>0</v>
      </c>
      <c r="GC29" s="1">
        <f ca="1">SUMIFS(Table_Process_Details[RV Acidification (kg SO2 equiv.) per kg API (OTHER)],Table_Process_Details[Display Name],Table_Process_Details[[#This Row],[Unique Process Inputs]],Table_Process_Details[Input or Output],"Input")</f>
        <v>0</v>
      </c>
      <c r="GD29"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nickel salt</v>
      </c>
      <c r="GE29" s="22">
        <f ca="1">IF(LARGE(Table_Process_Details[Total '[Acidification (kg SO2 equiv.) per kg API'] of Unique Inputs],Table_Process_Details[[#This Row],[Table Row]])=0,NA(),LARGE(Table_Process_Details[Total '[Acidification (kg SO2 equiv.) per kg API'] of Unique Inputs],Table_Process_Details[[#This Row],[Table Row]]))</f>
        <v>5.6372937748189655E-4</v>
      </c>
      <c r="GF29" s="22">
        <f ca="1">SUM(OFFSET(Table_Process_Details['[Acidification (kg SO2 equiv.) per kg API'] of Unique Inputs Sorted by '[Acidification (kg SO2 equiv.) per kg API']],0,0,Table_Process_Details[[#This Row],[Table Row]]))</f>
        <v>0.65434770022195232</v>
      </c>
      <c r="GG29"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29" s="22">
        <f ca="1">INDEX(Table_Process_Details[Total '[Acidification (kg SO2 equiv.) per kg API'] of Unique Inputs (REAGENT)], MATCH(Table_Process_Details[[#This Row],[Unique Inputs Sorted by '[Acidification (kg SO2 equiv.) per kg API']]],Table_Process_Details[Unique Process Inputs],0))</f>
        <v>1.2245563743656227E-4</v>
      </c>
      <c r="GI29" s="22">
        <f ca="1">INDEX(Table_Process_Details[Total '[Acidification (kg SO2 equiv.) per kg API'] of Unique Inputs (METAL)], MATCH(Table_Process_Details[[#This Row],[Unique Inputs Sorted by '[Acidification (kg SO2 equiv.) per kg API']]],Table_Process_Details[Unique Process Inputs],0))</f>
        <v>4.4127374004533426E-4</v>
      </c>
      <c r="GJ29" s="22">
        <f ca="1">INDEX(Table_Process_Details[Total '[Acidification (kg SO2 equiv.) per kg API'] of Unique Inputs (SOLVENT)], MATCH(Table_Process_Details[[#This Row],[Unique Inputs Sorted by '[Acidification (kg SO2 equiv.) per kg API']]],Table_Process_Details[Unique Process Inputs],0))</f>
        <v>0</v>
      </c>
      <c r="GK29" s="22">
        <f ca="1">INDEX(Table_Process_Details[Total '[Acidification (kg SO2 equiv.) per kg API'] of Unique Inputs (WATER)], MATCH(Table_Process_Details[[#This Row],[Unique Inputs Sorted by '[Acidification (kg SO2 equiv.) per kg API']]],Table_Process_Details[Unique Process Inputs],0))</f>
        <v>0</v>
      </c>
      <c r="GL29" s="22">
        <f ca="1">INDEX(Table_Process_Details[Total '[Acidification (kg SO2 equiv.) per kg API'] of Unique Inputs (ENZ&amp;PLNT)], MATCH(Table_Process_Details[[#This Row],[Unique Inputs Sorted by '[Acidification (kg SO2 equiv.) per kg API']]],Table_Process_Details[Unique Process Inputs],0))</f>
        <v>0</v>
      </c>
      <c r="GM29" s="22">
        <f ca="1">INDEX(Table_Process_Details[Total '[Acidification (kg SO2 equiv.) per kg API'] of Unique Inputs (OTHER)], MATCH(Table_Process_Details[[#This Row],[Unique Inputs Sorted by '[Acidification (kg SO2 equiv.) per kg API']]],Table_Process_Details[Unique Process Inputs],0))</f>
        <v>0</v>
      </c>
      <c r="GN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8.0622559449720533E-5</v>
      </c>
      <c r="GO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7.8289148623687164E-5</v>
      </c>
      <c r="GP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2.3334108260333617E-6</v>
      </c>
      <c r="GS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2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29" s="22">
        <f ca="1">SUMIFS(Table_Process_Details[RV Eutrophication (kg phosphate equiv.) per kg API],Table_Process_Details[Display Name],Table_Process_Details[[#This Row],[Unique Process Inputs]],Table_Process_Details[Input or Output],"Input")</f>
        <v>0</v>
      </c>
      <c r="GV29" s="1">
        <f ca="1">SUMIFS(Table_Process_Details[RV Eutrophication (kg phosphate equiv.) per kg API (REAGENT)],Table_Process_Details[Display Name],Table_Process_Details[[#This Row],[Unique Process Inputs]],Table_Process_Details[Input or Output],"Input")</f>
        <v>0</v>
      </c>
      <c r="GW29" s="1">
        <f ca="1">SUMIFS(Table_Process_Details[RV Eutrophication (kg phosphate equiv.) per kg API (METAL)],Table_Process_Details[Display Name],Table_Process_Details[[#This Row],[Unique Process Inputs]],Table_Process_Details[Input or Output],"Input")</f>
        <v>0</v>
      </c>
      <c r="GX29" s="1">
        <f ca="1">SUMIFS(Table_Process_Details[RV Eutrophication (kg phosphate equiv.) per kg API (SOLVENT)],Table_Process_Details[Display Name],Table_Process_Details[[#This Row],[Unique Process Inputs]],Table_Process_Details[Input or Output],"Input")</f>
        <v>0</v>
      </c>
      <c r="GY29" s="1">
        <f ca="1">SUMIFS(Table_Process_Details[RV Eutrophication (kg phosphate equiv.) per kg API (WATER)],Table_Process_Details[Display Name],Table_Process_Details[[#This Row],[Unique Process Inputs]],Table_Process_Details[Input or Output],"Input")</f>
        <v>0</v>
      </c>
      <c r="GZ29" s="1">
        <f ca="1">SUMIFS(Table_Process_Details[RV Eutrophication (kg phosphate equiv.) per kg API (ENZ&amp;PLNT)],Table_Process_Details[Display Name],Table_Process_Details[[#This Row],[Unique Process Inputs]],Table_Process_Details[Input or Output],"Input")</f>
        <v>0</v>
      </c>
      <c r="HA29" s="1">
        <f ca="1">SUMIFS(Table_Process_Details[RV Eutrophication (kg phosphate equiv.) per kg API (OTHER)],Table_Process_Details[Display Name],Table_Process_Details[[#This Row],[Unique Process Inputs]],Table_Process_Details[Input or Output],"Input")</f>
        <v>0</v>
      </c>
      <c r="HB29"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10 wt% reagent B (inorganic) in water</v>
      </c>
      <c r="HC29" s="22">
        <f ca="1">IF(LARGE(Table_Process_Details[Total '[Eutrophication (kg posphate equiv.) per kg API'] of Unique Inputs],Table_Process_Details[[#This Row],[Table Row]])=0,NA(),LARGE(Table_Process_Details[Total '[Eutrophication (kg posphate equiv.) per kg API'] of Unique Inputs],Table_Process_Details[[#This Row],[Table Row]]))</f>
        <v>8.0622559449720533E-5</v>
      </c>
      <c r="HD29" s="22">
        <f ca="1">SUM(OFFSET(Table_Process_Details['[Eutrophication (kg posphate equiv.) per kg API'] of Unique Inputs Sorted by '[Eutrophication (kg posphate equiv.) per kg API']],0,0,Table_Process_Details[[#This Row],[Table Row]]))</f>
        <v>1.3756184135345293</v>
      </c>
      <c r="HE29"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29" s="1">
        <f ca="1">INDEX(Table_Process_Details[Total '[Eutrophication (kg posphate equiv.) per kg API'] of Unique Inputs (REAGENT)], MATCH(Table_Process_Details[[#This Row],[Unique Inputs Sorted by '[Eutrophication (kg posphate equiv.) per kg API']]],Table_Process_Details[Unique Process Inputs],0))</f>
        <v>7.8289148623687164E-5</v>
      </c>
      <c r="HG29" s="1">
        <f ca="1">INDEX(Table_Process_Details[Total '[Eutrophication (kg posphate equiv.) per kg API'] of Unique Inputs (METAL)], MATCH(Table_Process_Details[[#This Row],[Unique Inputs Sorted by '[Eutrophication (kg posphate equiv.) per kg API']]],Table_Process_Details[Unique Process Inputs],0))</f>
        <v>0</v>
      </c>
      <c r="HH29" s="1">
        <f ca="1">INDEX(Table_Process_Details[Total '[Eutrophication (kg posphate equiv.) per kg API'] of Unique Inputs (SOLVENT)], MATCH(Table_Process_Details[[#This Row],[Unique Inputs Sorted by '[Eutrophication (kg posphate equiv.) per kg API']]],Table_Process_Details[Unique Process Inputs],0))</f>
        <v>0</v>
      </c>
      <c r="HI29" s="1">
        <f ca="1">INDEX(Table_Process_Details[Total '[Eutrophication (kg posphate equiv.) per kg API'] of Unique Inputs (WATER)], MATCH(Table_Process_Details[[#This Row],[Unique Inputs Sorted by '[Eutrophication (kg posphate equiv.) per kg API']]],Table_Process_Details[Unique Process Inputs],0))</f>
        <v>2.3334108260333617E-6</v>
      </c>
      <c r="HJ29" s="1">
        <f ca="1">INDEX(Table_Process_Details[Total '[Eutrophication (kg posphate equiv.) per kg API'] of Unique Inputs (ENZ&amp;PLNT)], MATCH(Table_Process_Details[[#This Row],[Unique Inputs Sorted by '[Eutrophication (kg posphate equiv.) per kg API']]],Table_Process_Details[Unique Process Inputs],0))</f>
        <v>0</v>
      </c>
      <c r="HK29" s="1">
        <f ca="1">INDEX(Table_Process_Details[Total '[Eutrophication (kg posphate equiv.) per kg API'] of Unique Inputs (OTHER)], MATCH(Table_Process_Details[[#This Row],[Unique Inputs Sorted by '[Eutrophication (kg posphate equiv.) per kg API']]],Table_Process_Details[Unique Process Inputs],0))</f>
        <v>0</v>
      </c>
      <c r="HL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1.3489636246923771</v>
      </c>
      <c r="HM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7.7308297433073256E-2</v>
      </c>
      <c r="HN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1.2716553272593039</v>
      </c>
      <c r="HQ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2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29" s="1">
        <f ca="1">SUMIFS(Table_Process_Details[RV Water (kg) per kg API],Table_Process_Details[Display Name],Table_Process_Details[[#This Row],[Unique Process Inputs]],Table_Process_Details[Input or Output],"Input")</f>
        <v>0</v>
      </c>
      <c r="HT29" s="1">
        <f ca="1">SUMIFS(Table_Process_Details[RV Water (kg) per kg API (REAGENT)],Table_Process_Details[Display Name],Table_Process_Details[[#This Row],[Unique Process Inputs]],Table_Process_Details[Input or Output],"Input")</f>
        <v>0</v>
      </c>
      <c r="HU29" s="1">
        <f ca="1">SUMIFS(Table_Process_Details[RV Water (kg) per kg API (METAL)],Table_Process_Details[Display Name],Table_Process_Details[[#This Row],[Unique Process Inputs]],Table_Process_Details[Input or Output],"Input")</f>
        <v>0</v>
      </c>
      <c r="HV29" s="1">
        <f ca="1">SUMIFS(Table_Process_Details[RV Water (kg) per kg API (SOLVENT)],Table_Process_Details[Display Name],Table_Process_Details[[#This Row],[Unique Process Inputs]],Table_Process_Details[Input or Output],"Input")</f>
        <v>0</v>
      </c>
      <c r="HW29" s="1">
        <f ca="1">SUMIFS(Table_Process_Details[RV Water (kg) per kg API (WATER)],Table_Process_Details[Display Name],Table_Process_Details[[#This Row],[Unique Process Inputs]],Table_Process_Details[Input or Output],"Input")</f>
        <v>0</v>
      </c>
      <c r="HX29" s="1">
        <f ca="1">SUMIFS(Table_Process_Details[RV Water (kg) per kg API (ENZ&amp;PLNT)],Table_Process_Details[Display Name],Table_Process_Details[[#This Row],[Unique Process Inputs]],Table_Process_Details[Input or Output],"Input")</f>
        <v>0</v>
      </c>
      <c r="HY29" s="1">
        <f ca="1">SUMIFS(Table_Process_Details[RV Water (kg) per kg API (OTHER)],Table_Process_Details[Display Name],Table_Process_Details[[#This Row],[Unique Process Inputs]],Table_Process_Details[Input or Output],"Input")</f>
        <v>0</v>
      </c>
      <c r="HZ29" s="22" t="str">
        <f ca="1">INDEX(Table_Process_Details[Unique Process Inputs],MATCH(Table_Process_Details[[#This Row],['[Water (kg) per kg API'] of Unique Inputs Sorted by '[Water (kg) per kg API']]],Table_Process_Details[Total '[Water (kg) per kg API'] of Unique Inputs],0))</f>
        <v>0.2 M reagent H (inorganic) in water</v>
      </c>
      <c r="IA29" s="22">
        <f ca="1">IF(LARGE(Table_Process_Details[Total '[Water (kg) per kg API'] of Unique Inputs],Table_Process_Details[[#This Row],[Table Row]])=0,NA(),LARGE(Table_Process_Details[Total '[Water (kg) per kg API'] of Unique Inputs],Table_Process_Details[[#This Row],[Table Row]]))</f>
        <v>0.8822941430262955</v>
      </c>
      <c r="IB29" s="1">
        <f ca="1">SUM(OFFSET(Table_Process_Details['[Water (kg) per kg API'] of Unique Inputs Sorted by '[Water (kg) per kg API']],0,0,Table_Process_Details[[#This Row],[Table Row]]))</f>
        <v>888.56116523236346</v>
      </c>
      <c r="IC29" s="1" t="str">
        <f ca="1">"("&amp;TEXT(Table_Process_Details[[#This Row],['[Water (kg) per kg API'] of Unique Inputs Sorted by '[Water (kg) per kg API']]]/SUMIF(Table_Process_Details['[Water (kg) per kg API'] of Unique Inputs Sorted by '[Water (kg) per kg API']],"&lt;&gt;#N/A"),"0%")&amp;")"</f>
        <v>(0%)</v>
      </c>
      <c r="ID29" s="1">
        <f ca="1">INDEX(Table_Process_Details[Total '[Water (kg) per kg API'] of Unique Inputs (REAGENT)], MATCH(Table_Process_Details[[#This Row],[Unique Inputs Sorted by '[Water (kg) per kg API']]],Table_Process_Details[Unique Process Inputs],0))</f>
        <v>9.6635371791287171E-4</v>
      </c>
      <c r="IE29" s="1">
        <f ca="1">INDEX(Table_Process_Details[Total '[Water (kg) per kg API'] of Unique Inputs (METAL)], MATCH(Table_Process_Details[[#This Row],[Unique Inputs Sorted by '[Water (kg) per kg API']]],Table_Process_Details[Unique Process Inputs],0))</f>
        <v>0</v>
      </c>
      <c r="IF29" s="1">
        <f ca="1">INDEX(Table_Process_Details[Total '[Water (kg) per kg API'] of Unique Inputs (SOLVENT)], MATCH(Table_Process_Details[[#This Row],[Unique Inputs Sorted by '[Water (kg) per kg API']]],Table_Process_Details[Unique Process Inputs],0))</f>
        <v>0</v>
      </c>
      <c r="IG29" s="1">
        <f ca="1">INDEX(Table_Process_Details[Total '[Water (kg) per kg API'] of Unique Inputs (WATER)], MATCH(Table_Process_Details[[#This Row],[Unique Inputs Sorted by '[Water (kg) per kg API']]],Table_Process_Details[Unique Process Inputs],0))</f>
        <v>0.88132778930838263</v>
      </c>
      <c r="IH29" s="1">
        <f ca="1">INDEX(Table_Process_Details[Total '[Water (kg) per kg API'] of Unique Inputs (ENZ&amp;PLNT)], MATCH(Table_Process_Details[[#This Row],[Unique Inputs Sorted by '[Water (kg) per kg API']]],Table_Process_Details[Unique Process Inputs],0))</f>
        <v>0</v>
      </c>
      <c r="II29" s="1">
        <f ca="1">INDEX(Table_Process_Details[Total '[Water (kg) per kg API'] of Unique Inputs (OTHER)], MATCH(Table_Process_Details[[#This Row],[Unique Inputs Sorted by '[Water (kg) per kg API']]],Table_Process_Details[Unique Process Inputs],0))</f>
        <v>0</v>
      </c>
    </row>
    <row r="30" spans="1:243" customFormat="1" x14ac:dyDescent="0.25">
      <c r="A30" s="22" t="str">
        <f t="shared" si="0"/>
        <v>1) Synthesis of Intermediate (1)</v>
      </c>
      <c r="B30" s="21" t="s">
        <v>4</v>
      </c>
      <c r="C30" s="21" t="s">
        <v>170</v>
      </c>
      <c r="D30" s="22" t="str">
        <f>A13</f>
        <v>1c) Virtual solution prep for (1): 15 wt% reagent C (inorganic) in water</v>
      </c>
      <c r="E30" s="22" t="str">
        <f>E13</f>
        <v>15 wt% reagent C (inorganic) in water</v>
      </c>
      <c r="F30" s="26">
        <v>160</v>
      </c>
      <c r="G30" s="26"/>
      <c r="H30" s="26"/>
      <c r="I30" s="26"/>
      <c r="J30" s="26" t="str">
        <f>INDEX(Process_Steps[Reference],MATCH(Table_Process_Details[[#This Row],[Step Name]],Process_Steps[Name],0))</f>
        <v>Reference Document  for Step 1</v>
      </c>
      <c r="K30" s="27" t="str">
        <f>INDEX(Process_Steps[Real or Virtual?],MATCH(Table_Process_Details[[#This Row],[Step Name]],Process_Steps[Name],0))</f>
        <v>Real</v>
      </c>
      <c r="L3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3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30" s="26">
        <f>INDEX(Table_Process_Details[Physical Mass (kg)],MATCH(1,INDEX(((Table_Process_Details[Step Name]=Table_Process_Details[[#This Row],[Step Name]])*(Table_Process_Details[Input or Output]="Output")),0),0))</f>
        <v>51.020408163265309</v>
      </c>
      <c r="O30" s="29">
        <f ca="1">INDEX(Process_Steps[Step Scale Factor for 1kg Packaged API],MATCH(Table_Process_Details[[#This Row],[Step Name]],Process_Steps[Name],0))</f>
        <v>6.9901025556863543E-3</v>
      </c>
      <c r="P3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v>
      </c>
      <c r="Q3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v>
      </c>
      <c r="R30" s="26">
        <f ca="1">_xlfn.SWITCH(Run_Reset_PNG,"Reset",Table_Process_Details[[#This Row],[X Init]],"Run",Table_Process_Details[[#This Row],[X Moved]],"Freeze",Table_Process_Details[[#This Row],[X Mover]])</f>
        <v>-2.7884620254029775</v>
      </c>
      <c r="S30" s="26">
        <f ca="1">_xlfn.SWITCH(Run_Reset_PNG,"Reset",Table_Process_Details[[#This Row],[Y Init]],"Run",Table_Process_Details[[#This Row],[Y Moved]],"Freeze",Table_Process_Details[[#This Row],[Y Mover]])</f>
        <v>16.274618745969242</v>
      </c>
      <c r="T30" s="26" cm="1">
        <f t="array" aca="1" ref="T3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-6.9131348364020564</v>
      </c>
      <c r="U30" s="26" cm="1">
        <f t="array" aca="1" ref="U3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-8.4193578800128606</v>
      </c>
      <c r="V30" s="26" cm="1">
        <f t="array" aca="1" ref="V30" ca="1">SUM(--(SQRT((Table_Process_Details[[#This Row],[X Mover]]-Table_Process_Details[X Mover])^2+(Table_Process_Details[[#This Row],[Y Mover]]-Table_Process_Details[Y Mover])^2)&lt;Collision_Distance))</f>
        <v>22</v>
      </c>
      <c r="W30" s="26" cm="1">
        <f t="array" aca="1" ref="W3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0.50980859103448783</v>
      </c>
      <c r="X30" s="26" cm="1">
        <f t="array" aca="1" ref="X3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0.89368239032883634</v>
      </c>
      <c r="Y30" s="26" cm="1">
        <f t="array" aca="1" ref="Y3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30" s="26">
        <f>0</f>
        <v>0</v>
      </c>
      <c r="AA30" s="26">
        <f>0</f>
        <v>0</v>
      </c>
      <c r="AB3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1.3942310127014887</v>
      </c>
      <c r="AC30" s="26" cm="1">
        <f t="array" aca="1" ref="AC3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-8.1373093729846211</v>
      </c>
      <c r="AD30" s="26">
        <f>MIN(1,COUNTA(Table_Process_Details[[#This Row],[target x]]),COUNTA(Table_Process_Details[[#This Row],[target y]]))*COUNTA(Table_Process_Details[Step Name])</f>
        <v>98</v>
      </c>
      <c r="AE3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-2.8335642844719904</v>
      </c>
      <c r="AF3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16.255728086566442</v>
      </c>
      <c r="AG3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30" s="26" cm="1">
        <f t="array" aca="1" ref="AH30" ca="1">INDEX(Table_Process_Details[X Mover],MATCH(1,INDEX((Table_Process_Details[Input or Output]="Output")*(Table_Process_Details[Step Name]=Table_Process_Details[[#This Row],[Step Name]])*(Table_Process_Details[[#This Row],[Input or Output]]="Input"),0),0))</f>
        <v>0.78891624628593393</v>
      </c>
      <c r="AI30" s="26" cm="1">
        <f t="array" aca="1" ref="AI30" ca="1">INDEX(Table_Process_Details[Y Mover],MATCH(1,INDEX((Table_Process_Details[Input or Output]="Output")*(Table_Process_Details[Step Name]=Table_Process_Details[[#This Row],[Step Name]])*(Table_Process_Details[[#This Row],[Input or Output]]="Input"),0),0))</f>
        <v>21.555431875630404</v>
      </c>
      <c r="AJ30" s="26">
        <f ca="1">SQRT((Table_Process_Details[[#This Row],[X End (To Node Center)]]-Table_Process_Details[[#This Row],[X Guide]])^2+(Table_Process_Details[[#This Row],[Y End (to Node Center)]]-Table_Process_Details[[#This Row],[Y Guide]])^2)</f>
        <v>6.3784498594214618</v>
      </c>
      <c r="AK30" s="26" cm="1">
        <f t="array" aca="1" ref="AK30" ca="1">INDEX(Table_Process_Details[X Mover],MATCH(1,INDEX((Table_Process_Details[Step Name]=Table_Process_Details[[#This Row],[LCA Data Source Subclass]])*(Table_Process_Details[Input or Output]="Output"),0)*(Table_Process_Details[[#This Row],[Input or Output]]="Input"),0))</f>
        <v>-5.6286105276860896</v>
      </c>
      <c r="AL30" s="26" cm="1">
        <f t="array" aca="1" ref="AL30" ca="1">INDEX(Table_Process_Details[X Mover],MATCH(1,INDEX(((Table_Process_Details[Table Row]=Table_Process_Details[[#This Row],[Table Row]])*(1)),0)*(Table_Process_Details[[#This Row],[Input or Output]]="Input"),0))</f>
        <v>-2.7884620254029775</v>
      </c>
      <c r="AM30" s="26" cm="1">
        <f t="array" aca="1" ref="AM30" ca="1">(Table_Process_Details[[#This Row],[X End (To Node Center)]]*Table_Process_Details[[#This Row],[r0]]-Table_Process_Details[[#This Row],[X End (To Node Center)]]*Arrow_Offset+Table_Process_Details[[#This Row],[X Guide]]*Arrow_Offset)/Table_Process_Details[[#This Row],[r0]]</f>
        <v>0.34023315236400281</v>
      </c>
      <c r="AN30" s="26">
        <f ca="1">IF(NOT(Table_Process_Details[[#This Row],[Display As]]="None"),Table_Process_Details[[#This Row],[X Start Prefilter]],NA())</f>
        <v>-5.6286105276860896</v>
      </c>
      <c r="AO30" s="26">
        <f ca="1">IF(NOT(Table_Process_Details[[#This Row],[Display As]]="None"),Table_Process_Details[[#This Row],[X Guide Prefilter]],NA())</f>
        <v>-2.7884620254029775</v>
      </c>
      <c r="AP30" s="26">
        <f ca="1">IF(NOT(Table_Process_Details[[#This Row],[Display As]]="None"),Table_Process_Details[[#This Row],[X End (to Stop Radius) Prefilter]],NA())</f>
        <v>0.34023315236400281</v>
      </c>
      <c r="AQ30" s="26" t="e">
        <f>NA()</f>
        <v>#N/A</v>
      </c>
      <c r="AR30" s="26" cm="1">
        <f t="array" aca="1" ref="AR30" ca="1">INDEX(Table_Process_Details[Y Mover],MATCH(1,INDEX((Table_Process_Details[Step Name]=Table_Process_Details[[#This Row],[LCA Data Source Subclass]])*(Table_Process_Details[Input or Output]="Output"),0)*(Table_Process_Details[[#This Row],[Input or Output]]="Input"),0))</f>
        <v>12.997984013490795</v>
      </c>
      <c r="AS30" s="26" cm="1">
        <f t="array" aca="1" ref="AS30" ca="1">INDEX(Table_Process_Details[Y Mover],MATCH(1,INDEX(((Table_Process_Details[Table Row]=Table_Process_Details[[#This Row],[Table Row]])*(1)),0)*(Table_Process_Details[[#This Row],[Input or Output]]="Input"),0))</f>
        <v>16.274618745969242</v>
      </c>
      <c r="AT30" s="26" cm="1">
        <f t="array" aca="1" ref="AT30" ca="1">(Table_Process_Details[[#This Row],[Y Guide]]*Arrow_Offset-Table_Process_Details[[#This Row],[Y End (to Node Center)]]*Arrow_Offset+Table_Process_Details[[#This Row],[Y End (to Node Center)]]*Table_Process_Details[[#This Row],[r0]])/Table_Process_Details[[#This Row],[r0]]</f>
        <v>20.893100024343873</v>
      </c>
      <c r="AU30" s="26">
        <f ca="1">IF(NOT(Table_Process_Details[[#This Row],[Display As]]="None"),Table_Process_Details[[#This Row],[Y Start Prefilter]],NA())</f>
        <v>12.997984013490795</v>
      </c>
      <c r="AV30" s="26">
        <f ca="1">IF(NOT(Table_Process_Details[[#This Row],[Display As]]="None"),Table_Process_Details[[#This Row],[Y Guide Prefilter]],NA())</f>
        <v>16.274618745969242</v>
      </c>
      <c r="AW30" s="26">
        <f ca="1">IF(NOT(Table_Process_Details[[#This Row],[Display As]]="None"),Table_Process_Details[[#This Row],[Y End (to Stop Radius) Prefilter]],NA())</f>
        <v>20.893100024343873</v>
      </c>
      <c r="AX30" s="26" t="e">
        <f>NA()</f>
        <v>#N/A</v>
      </c>
      <c r="AY30" s="26" t="e">
        <f>IF(Table_Process_Details[[#This Row],[Display As]]="Real Step",Table_Process_Details[[#This Row],[X Mover]],NA())</f>
        <v>#N/A</v>
      </c>
      <c r="AZ30" s="26" t="e">
        <f>IF(Table_Process_Details[[#This Row],[Display As]]="Real Step",Table_Process_Details[[#This Row],[Y Mover]],NA())</f>
        <v>#N/A</v>
      </c>
      <c r="BA30" s="26" t="e">
        <f>IF(Table_Process_Details[[#This Row],[Display As]]="Raw Material",Table_Process_Details[[#This Row],[X Mover]],NA())</f>
        <v>#N/A</v>
      </c>
      <c r="BB30" s="26" t="e">
        <f>IF(Table_Process_Details[[#This Row],[Display As]]="Raw Material",Table_Process_Details[[#This Row],[Y Mover]],NA())</f>
        <v>#N/A</v>
      </c>
      <c r="BC30" s="26" t="e">
        <f>IF(OR(Table_Process_Details[[#This Row],[Display As]]="Real Step",Table_Process_Details[[#This Row],[Display As]]="Raw Material"),Table_Process_Details[[#This Row],[X Mover]],NA())</f>
        <v>#N/A</v>
      </c>
      <c r="BD30" s="26" t="e">
        <f>IF(OR(Table_Process_Details[[#This Row],[Display As]]="Real Step",Table_Process_Details[[#This Row],[Display As]]="Raw Material"),Table_Process_Details[[#This Row],[Y Mover]],NA())</f>
        <v>#N/A</v>
      </c>
      <c r="BE30" s="22">
        <f>ROW()-ROW(Table_Process_Details[[#Headers],[Table Row]])</f>
        <v>26</v>
      </c>
      <c r="BF30" s="23" t="str" cm="1">
        <f t="array" aca="1" ref="BF30" ca="1">INDEX(Table_Process_Details[Display Name],MATCH(0,IF(Table_Process_Details[Input or Output]="Input",INDEX(COUNTIF(OFFSET(Table_Process_Details[[#Headers],[Unique Process Inputs]],0,0,Table_Process_Details[[#This Row],[Table Row]],1),Table_Process_Details[Display Name]),),""),0))</f>
        <v>reagent G (inorganic)</v>
      </c>
      <c r="BG30" s="23">
        <f ca="1">Table_Process_Details[[#This Row],[Physical Mass (kg)]]*Table_Process_Details[[#This Row],[Step Scale Factor for 1kg Packaged API]]</f>
        <v>1.1184164089098168</v>
      </c>
      <c r="BH3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0.99999999999474554</v>
      </c>
      <c r="BI30" s="23">
        <f ca="1">MATCH(Table_Process_Details[[#This Row],[LCA Data Source Class]],INDIRECT(Table_Process_Details[[#This Row],[Input or Output]]),0)</f>
        <v>1</v>
      </c>
      <c r="BJ30" s="23">
        <f ca="1">MATCH(Table_Process_Details[[#This Row],[LCA Data Source Subclass]],INDIRECT(Table_Process_Details[[#This Row],[LCA Data Source Class]]&amp;"[Name]"),0)</f>
        <v>3</v>
      </c>
      <c r="BK30" s="23">
        <f ca="1">IFERROR(INDEX(INDIRECT(Table_Process_Details[[#This Row],[LCA Data Source Class]]&amp;"[Mass Net (kg)]"),MATCH(Table_Process_Details[[#This Row],[LCA Data Source Subclass]],INDIRECT(Table_Process_Details[[#This Row],[LCA Data Source Class]]&amp;"[Name]"),0)),0)</f>
        <v>0</v>
      </c>
      <c r="BL30" s="23">
        <f ca="1">IFERROR(INDEX(INDIRECT(Table_Process_Details[[#This Row],[LCA Data Source Class]]&amp;"[Energy (MJ)]"),MATCH(Table_Process_Details[[#This Row],[LCA Data Source Subclass]],INDIRECT(Table_Process_Details[[#This Row],[LCA Data Source Class]]&amp;"[Name]"),0)),0)</f>
        <v>0</v>
      </c>
      <c r="BM30" s="23">
        <f ca="1">IFERROR(INDEX(INDIRECT(Table_Process_Details[[#This Row],[LCA Data Source Class]]&amp;"[GWP (kg CO2 equiv.)]"),MATCH(Table_Process_Details[[#This Row],[LCA Data Source Subclass]],INDIRECT(Table_Process_Details[[#This Row],[LCA Data Source Class]]&amp;"[Name]"),0)),0)</f>
        <v>0</v>
      </c>
      <c r="BN30" s="23">
        <f ca="1">IFERROR(INDEX(INDIRECT(Table_Process_Details[[#This Row],[LCA Data Source Class]]&amp;"[Acidification (kg SO2 equiv.)]"),MATCH(Table_Process_Details[[#This Row],[LCA Data Source Subclass]],INDIRECT(Table_Process_Details[[#This Row],[LCA Data Source Class]]&amp;"[Name]"),0)),0)</f>
        <v>0</v>
      </c>
      <c r="BO30" s="23">
        <f ca="1">IFERROR(INDEX(INDIRECT(Table_Process_Details[[#This Row],[LCA Data Source Class]]&amp;"[Eutrophication (kg posphate equiv.)]"),MATCH(Table_Process_Details[[#This Row],[LCA Data Source Subclass]],INDIRECT(Table_Process_Details[[#This Row],[LCA Data Source Class]]&amp;"[Name]"),0)),0)</f>
        <v>0</v>
      </c>
      <c r="BP30" s="23">
        <f ca="1">IFERROR(INDEX(INDIRECT(Table_Process_Details[[#This Row],[LCA Data Source Class]]&amp;"[Water (kg)]"),MATCH(Table_Process_Details[[#This Row],[LCA Data Source Subclass]],INDIRECT(Table_Process_Details[[#This Row],[LCA Data Source Class]]&amp;"[Name]"),0)),0)</f>
        <v>0</v>
      </c>
      <c r="BQ30" s="27">
        <f ca="1">(Table_Process_Details[[#This Row],[Input or Output]]="Input")*(Table_Process_Details[[#This Row],[LCA Data Source Class]]&lt;&gt;"Process_Steps")*Table_Process_Details[[#This Row],[Scaled Physical Mass per kg API for All Inputs &amp; Outputs]]</f>
        <v>0</v>
      </c>
      <c r="BR30" s="27">
        <f ca="1">(Table_Process_Details[[#This Row],[Material Class]]="REAGENT")*Table_Process_Details[[#This Row],[Physical Mass per kg API]]</f>
        <v>0</v>
      </c>
      <c r="BS30" s="27">
        <f ca="1">(Table_Process_Details[[#This Row],[Material Class]]="METAL")*Table_Process_Details[[#This Row],[Physical Mass per kg API]]</f>
        <v>0</v>
      </c>
      <c r="BT30" s="27">
        <f ca="1">(Table_Process_Details[[#This Row],[Material Class]]="SOLVENT")*Table_Process_Details[[#This Row],[Physical Mass per kg API]]</f>
        <v>0</v>
      </c>
      <c r="BU30" s="27">
        <f ca="1">(Table_Process_Details[[#This Row],[Material Class]]="WATER")*Table_Process_Details[[#This Row],[Physical Mass per kg API]]</f>
        <v>0</v>
      </c>
      <c r="BV30" s="27">
        <f ca="1">(Table_Process_Details[[#This Row],[Material Class]]="ENZ&amp;PLNT")*Table_Process_Details[[#This Row],[Physical Mass per kg API]]</f>
        <v>0</v>
      </c>
      <c r="BW30" s="27">
        <f ca="1">(Table_Process_Details[[#This Row],[Material Class]]="OTHER")*Table_Process_Details[[#This Row],[Physical Mass per kg API]]</f>
        <v>0</v>
      </c>
      <c r="BX3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1.1184164089098168</v>
      </c>
      <c r="BY3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0.16776246133647252</v>
      </c>
      <c r="BZ3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0.95065394757334409</v>
      </c>
      <c r="CC3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0" s="1">
        <f ca="1">SUMIFS(Table_Process_Details[RV Physical Mass per kg API],Table_Process_Details[Display Name],Table_Process_Details[[#This Row],[Unique Process Inputs]],Table_Process_Details[Input or Output],"Input")</f>
        <v>0</v>
      </c>
      <c r="CF30" s="1">
        <f ca="1">SUMIFS(Table_Process_Details[RV Physical Mass per kg API (REAGENT)],Table_Process_Details[Display Name],Table_Process_Details[[#This Row],[Unique Process Inputs]],Table_Process_Details[Input or Output],"Input")</f>
        <v>0</v>
      </c>
      <c r="CG30" s="1">
        <f ca="1">SUMIFS(Table_Process_Details[RV Physical Mass per kg API (METAL)],Table_Process_Details[Display Name],Table_Process_Details[[#This Row],[Unique Process Inputs]],Table_Process_Details[Input or Output],"Input")</f>
        <v>0</v>
      </c>
      <c r="CH30" s="1">
        <f ca="1">SUMIFS(Table_Process_Details[RV Physical Mass per kg API (SOLVENT)],Table_Process_Details[Display Name],Table_Process_Details[[#This Row],[Unique Process Inputs]],Table_Process_Details[Input or Output],"Input")</f>
        <v>0</v>
      </c>
      <c r="CI30" s="1">
        <f ca="1">SUMIFS(Table_Process_Details[RV Physical Mass per kg API (WATER)],Table_Process_Details[Display Name],Table_Process_Details[[#This Row],[Unique Process Inputs]],Table_Process_Details[Input or Output],"Input")</f>
        <v>0</v>
      </c>
      <c r="CJ30" s="1">
        <f ca="1">SUMIFS(Table_Process_Details[RV Physical Mass per kg API (ENZ&amp;PLNT)],Table_Process_Details[Display Name],Table_Process_Details[[#This Row],[Unique Process Inputs]],Table_Process_Details[Input or Output],"Input")</f>
        <v>0</v>
      </c>
      <c r="CK30" s="1">
        <f ca="1">SUMIFS(Table_Process_Details[RV Physical Mass per kg API (OTHER)],Table_Process_Details[Display Name],Table_Process_Details[[#This Row],[Unique Process Inputs]],Table_Process_Details[Input or Output],"Input")</f>
        <v>0</v>
      </c>
      <c r="CL30" s="22" t="str">
        <f ca="1">INDEX(Table_Process_Details[Unique Process Inputs],MATCH(Table_Process_Details[[#This Row],['[Physical Mass per kg API'] of Unique Inputs Sorted by '[Physical Mass per kg API']]],Table_Process_Details[Total '[Physical Mass per kg API'] of Unique Inputs],0))</f>
        <v>reagent S (organic)</v>
      </c>
      <c r="CM30" s="22">
        <f ca="1">IF(LARGE(Table_Process_Details[Total '[Physical Mass per kg API'] of Unique Inputs],Table_Process_Details[[#This Row],[Table Row]])=0,NA(),LARGE(Table_Process_Details[Total '[Physical Mass per kg API'] of Unique Inputs],Table_Process_Details[[#This Row],[Table Row]]))</f>
        <v>0.13980205111364838</v>
      </c>
      <c r="CN30" s="22">
        <f ca="1">SUM(OFFSET(Table_Process_Details['[Physical Mass per kg API'] of Unique Inputs Sorted by '[Physical Mass per kg API']],0,0,Table_Process_Details[[#This Row],[Table Row]]))</f>
        <v>147.43338252462456</v>
      </c>
      <c r="CO30" s="22" t="str">
        <f ca="1">"("&amp;TEXT(Table_Process_Details[[#This Row],['[Physical Mass per kg API'] of Unique Inputs Sorted by '[Physical Mass per kg API']]]/SUMIF(Table_Process_Details['[Physical Mass per kg API'] of Unique Inputs Sorted by '[Physical Mass per kg API']],"&lt;&gt;#N/A"),"0%")&amp;")"</f>
        <v>(0%)</v>
      </c>
      <c r="CP30" s="22">
        <f ca="1">INDEX(Table_Process_Details[Total '[Physical Mass per kg API'] of Unique Inputs (REAGENT)],MATCH(Table_Process_Details[[#This Row],[Unique Inputs Sorted by '[Physical Mass per kg API']]],Table_Process_Details[Unique Process Inputs],0))</f>
        <v>0.13980205111364838</v>
      </c>
      <c r="CQ30" s="22">
        <f ca="1">INDEX(Table_Process_Details[Total '[Physical Mass per kg API'] of Unique Inputs (METAL)],MATCH(Table_Process_Details[[#This Row],[Unique Inputs Sorted by '[Physical Mass per kg API']]],Table_Process_Details[Unique Process Inputs],0))</f>
        <v>0</v>
      </c>
      <c r="CR30" s="22">
        <f ca="1">INDEX(Table_Process_Details[Total '[Physical Mass per kg API'] of Unique Inputs (SOLVENT)],MATCH(Table_Process_Details[[#This Row],[Unique Inputs Sorted by '[Physical Mass per kg API']]],Table_Process_Details[Unique Process Inputs],0))</f>
        <v>0</v>
      </c>
      <c r="CS30" s="22">
        <f ca="1">INDEX(Table_Process_Details[Total '[Physical Mass per kg API'] of Unique Inputs (WATER)],MATCH(Table_Process_Details[[#This Row],[Unique Inputs Sorted by '[Physical Mass per kg API']]],Table_Process_Details[Unique Process Inputs],0))</f>
        <v>0</v>
      </c>
      <c r="CT30" s="22">
        <f ca="1">INDEX(Table_Process_Details[Total '[Physical Mass per kg API'] of Unique Inputs (ENZ&amp;PLNT)],MATCH(Table_Process_Details[[#This Row],[Unique Inputs Sorted by '[Physical Mass per kg API']]],Table_Process_Details[Unique Process Inputs],0))</f>
        <v>0</v>
      </c>
      <c r="CU30" s="22">
        <f ca="1">INDEX(Table_Process_Details[Total '[Physical Mass per kg API'] of Unique Inputs (OTHER)],MATCH(Table_Process_Details[[#This Row],[Unique Inputs Sorted by '[Physical Mass per kg API']]],Table_Process_Details[Unique Process Inputs],0))</f>
        <v>0</v>
      </c>
      <c r="CV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0.2262564509391527</v>
      </c>
      <c r="CW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0.22480169819087317</v>
      </c>
      <c r="CX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1.4547527482795077E-3</v>
      </c>
      <c r="DA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0" s="22">
        <f ca="1">SUMIFS(Table_Process_Details[RV Mass Net (kg) per kg API],Table_Process_Details[Display Name],Table_Process_Details[[#This Row],[Unique Process Inputs]],Table_Process_Details[Input or Output],"Input")</f>
        <v>0</v>
      </c>
      <c r="DD30" s="22">
        <f ca="1">SUMIFS(Table_Process_Details[RV Mass Net (kg) per kg API (REAGENT)],Table_Process_Details[Display Name],Table_Process_Details[[#This Row],[Unique Process Inputs]],Table_Process_Details[Input or Output],"Input")</f>
        <v>0</v>
      </c>
      <c r="DE30" s="22">
        <f ca="1">SUMIFS(Table_Process_Details[RV Mass Net (kg) per kg API (METAL)],Table_Process_Details[Display Name],Table_Process_Details[[#This Row],[Unique Process Inputs]],Table_Process_Details[Input or Output],"Input")</f>
        <v>0</v>
      </c>
      <c r="DF30" s="22">
        <f ca="1">SUMIFS(Table_Process_Details[RV Mass Net (kg) per kg API (SOLVENT)],Table_Process_Details[Display Name],Table_Process_Details[[#This Row],[Unique Process Inputs]],Table_Process_Details[Input or Output],"Input")</f>
        <v>0</v>
      </c>
      <c r="DG30" s="22">
        <f ca="1">SUMIFS(Table_Process_Details[RV Mass Net (kg) per kg API (WATER)],Table_Process_Details[Display Name],Table_Process_Details[[#This Row],[Unique Process Inputs]],Table_Process_Details[Input or Output],"Input")</f>
        <v>0</v>
      </c>
      <c r="DH30" s="22">
        <f ca="1">SUMIFS(Table_Process_Details[RV Mass Net (kg) per kg API (ENZ&amp;PLNT)],Table_Process_Details[Display Name],Table_Process_Details[[#This Row],[Unique Process Inputs]],Table_Process_Details[Input or Output],"Input")</f>
        <v>0</v>
      </c>
      <c r="DI30" s="22">
        <f ca="1">SUMIFS(Table_Process_Details[RV Mass Net (kg) per kg API (OTHER)],Table_Process_Details[Display Name],Table_Process_Details[[#This Row],[Unique Process Inputs]],Table_Process_Details[Input or Output],"Input")</f>
        <v>0</v>
      </c>
      <c r="DJ30" s="22" t="str">
        <f ca="1">INDEX(Table_Process_Details[Unique Process Inputs],MATCH(Table_Process_Details[[#This Row],['[Mass Net (kg) per kg API'] of Unique Inputs Sorted by '[Mass Net (kg) per kg API']]],Table_Process_Details[Total '[Mass Net (kg) per kg API'] of Unique Inputs],0))</f>
        <v>25 wt% reagent E (inorganic) in water</v>
      </c>
      <c r="DK30" s="22">
        <f ca="1">IF(LARGE(Table_Process_Details[Total '[Mass Net (kg) per kg API'] of Unique Inputs],Table_Process_Details[[#This Row],[Table Row]])=0,NA(),LARGE(Table_Process_Details[Total '[Mass Net (kg) per kg API'] of Unique Inputs],Table_Process_Details[[#This Row],[Table Row]]))</f>
        <v>4.6994137793838243E-2</v>
      </c>
      <c r="DL30" s="22">
        <f ca="1">SUM(OFFSET(Table_Process_Details['[Mass Net (kg) per kg API'] of Unique Inputs Sorted by '[Mass Net (kg) per kg API']],0,0,Table_Process_Details[[#This Row],[Table Row]]))</f>
        <v>127.02717510859232</v>
      </c>
      <c r="DM30" s="22" t="str">
        <f ca="1">"("&amp;TEXT(Table_Process_Details[[#This Row],['[Mass Net (kg) per kg API'] of Unique Inputs Sorted by '[Mass Net (kg) per kg API']]]/SUMIF(Table_Process_Details['[Mass Net (kg) per kg API'] of Unique Inputs Sorted by '[Mass Net (kg) per kg API']],"&lt;&gt;#N/A"),"0%")&amp;")"</f>
        <v>(0%)</v>
      </c>
      <c r="DN30" s="22">
        <f ca="1">INDEX(Table_Process_Details[Total '[Mass Net (kg) per kg API'] of Unique Inputs (REAGENT)], MATCH(Table_Process_Details[[#This Row],[Unique Inputs Sorted by '[Mass Net (kg) per kg API']]],Table_Process_Details[Unique Process Inputs],0))</f>
        <v>4.6833687123072211E-2</v>
      </c>
      <c r="DO30" s="22">
        <f ca="1">INDEX(Table_Process_Details[Total '[Mass Net (kg) per kg API'] of Unique Inputs (METAL)], MATCH(Table_Process_Details[[#This Row],[Unique Inputs Sorted by '[Mass Net (kg) per kg API']]],Table_Process_Details[Unique Process Inputs],0))</f>
        <v>0</v>
      </c>
      <c r="DP30" s="22">
        <f ca="1">INDEX(Table_Process_Details[Total '[Mass Net (kg) per kg API'] of Unique Inputs (SOLVENT)], MATCH(Table_Process_Details[[#This Row],[Unique Inputs Sorted by '[Mass Net (kg) per kg API']]],Table_Process_Details[Unique Process Inputs],0))</f>
        <v>0</v>
      </c>
      <c r="DQ30" s="22">
        <f ca="1">INDEX(Table_Process_Details[Total '[Mass Net (kg) per kg API'] of Unique Inputs (WATER)], MATCH(Table_Process_Details[[#This Row],[Unique Inputs Sorted by '[Mass Net (kg) per kg API']]],Table_Process_Details[Unique Process Inputs],0))</f>
        <v>1.6045067076603185E-4</v>
      </c>
      <c r="DR30" s="22">
        <f ca="1">INDEX(Table_Process_Details[Total '[Mass Net (kg) per kg API'] of Unique Inputs (ENZ&amp;PLNT)], MATCH(Table_Process_Details[[#This Row],[Unique Inputs Sorted by '[Mass Net (kg) per kg API']]],Table_Process_Details[Unique Process Inputs],0))</f>
        <v>0</v>
      </c>
      <c r="DS30" s="22">
        <f ca="1">INDEX(Table_Process_Details[Total '[Mass Net (kg) per kg API'] of Unique Inputs (OTHER)], MATCH(Table_Process_Details[[#This Row],[Unique Inputs Sorted by '[Mass Net (kg) per kg API']]],Table_Process_Details[Unique Process Inputs],0))</f>
        <v>0</v>
      </c>
      <c r="DT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1.8014327094651137</v>
      </c>
      <c r="DU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1.783314964006703</v>
      </c>
      <c r="DV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1.8117745458410731E-2</v>
      </c>
      <c r="DY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0" s="1">
        <f ca="1">SUMIFS(Table_Process_Details[RV Energy (MJ) per kg API],Table_Process_Details[Display Name],Table_Process_Details[[#This Row],[Unique Process Inputs]],Table_Process_Details[Input or Output],"Input")</f>
        <v>0</v>
      </c>
      <c r="EB30" s="1">
        <f ca="1">SUMIFS(Table_Process_Details[RV Energy (MJ) per kg API (REAGENT)],Table_Process_Details[Display Name],Table_Process_Details[[#This Row],[Unique Process Inputs]],Table_Process_Details[Input or Output],"Input")</f>
        <v>0</v>
      </c>
      <c r="EC30" s="1">
        <f ca="1">SUMIFS(Table_Process_Details[RV Energy (MJ) per kg API (METAL)],Table_Process_Details[Display Name],Table_Process_Details[[#This Row],[Unique Process Inputs]],Table_Process_Details[Input or Output],"Input")</f>
        <v>0</v>
      </c>
      <c r="ED30" s="1">
        <f ca="1">SUMIFS(Table_Process_Details[RV Energy (MJ) per kg API (SOLVENT)],Table_Process_Details[Display Name],Table_Process_Details[[#This Row],[Unique Process Inputs]],Table_Process_Details[Input or Output],"Input")</f>
        <v>0</v>
      </c>
      <c r="EE30" s="1">
        <f ca="1">SUMIFS(Table_Process_Details[RV Energy (MJ) per kg API (WATER)],Table_Process_Details[Display Name],Table_Process_Details[[#This Row],[Unique Process Inputs]],Table_Process_Details[Input or Output],"Input")</f>
        <v>0</v>
      </c>
      <c r="EF30" s="1">
        <f ca="1">SUMIFS(Table_Process_Details[RV Energy (MJ) per kg API (ENZ&amp;PLNT)],Table_Process_Details[Display Name],Table_Process_Details[[#This Row],[Unique Process Inputs]],Table_Process_Details[Input or Output],"Input")</f>
        <v>0</v>
      </c>
      <c r="EG30" s="1">
        <f ca="1">SUMIFS(Table_Process_Details[RV Energy (MJ) per kg API (OTHER)],Table_Process_Details[Display Name],Table_Process_Details[[#This Row],[Unique Process Inputs]],Table_Process_Details[Input or Output],"Input")</f>
        <v>0</v>
      </c>
      <c r="EH30" s="1" t="str">
        <f ca="1">INDEX(Table_Process_Details[Unique Process Inputs],MATCH(Table_Process_Details[[#This Row],['[Energy (MJ) per kg API'] of Unique Inputs Sorted by '[Energy (MJ) per kg API']]],Table_Process_Details[Total '[Energy (MJ) per kg API'] of Unique Inputs],0))</f>
        <v>25 wt% reagent E (inorganic) in water</v>
      </c>
      <c r="EI30" s="22">
        <f ca="1">IF(LARGE(Table_Process_Details[Total '[Energy (MJ) per kg API'] of Unique Inputs],Table_Process_Details[[#This Row],[Table Row]])=0,NA(),LARGE(Table_Process_Details[Total '[Energy (MJ) per kg API'] of Unique Inputs],Table_Process_Details[[#This Row],[Table Row]]))</f>
        <v>0.37352223158360892</v>
      </c>
      <c r="EJ30" s="22">
        <f ca="1">SUM(OFFSET(Table_Process_Details['[Energy (MJ) per kg API'] of Unique Inputs Sorted by '[Energy (MJ) per kg API']],0,0,Table_Process_Details[[#This Row],[Table Row]]))</f>
        <v>5064.2389926691621</v>
      </c>
      <c r="EK30" s="22" t="str">
        <f ca="1">"("&amp;TEXT(Table_Process_Details[[#This Row],['[Energy (MJ) per kg API'] of Unique Inputs Sorted by '[Energy (MJ) per kg API']]]/SUMIF(Table_Process_Details['[Energy (MJ) per kg API'] of Unique Inputs Sorted by '[Energy (MJ) per kg API']],"&lt;&gt;#N/A"),"0%")&amp;")"</f>
        <v>(0%)</v>
      </c>
      <c r="EL30" s="22">
        <f ca="1">INDEX(Table_Process_Details[Total '[Energy (MJ) per kg API'] of Unique Inputs (REAGENT)], MATCH(Table_Process_Details[[#This Row],[Unique Inputs Sorted by '[Energy (MJ) per kg API']]],Table_Process_Details[Unique Process Inputs],0))</f>
        <v>0.37152395083452061</v>
      </c>
      <c r="EM30" s="22">
        <f ca="1">INDEX(Table_Process_Details[Total '[Energy (MJ) per kg API'] of Unique Inputs (METAL)], MATCH(Table_Process_Details[[#This Row],[Unique Inputs Sorted by '[Energy (MJ) per kg API']]],Table_Process_Details[Unique Process Inputs],0))</f>
        <v>0</v>
      </c>
      <c r="EN30" s="22">
        <f ca="1">INDEX(Table_Process_Details[Total '[Energy (MJ) per kg API'] of Unique Inputs (SOLVENT)], MATCH(Table_Process_Details[[#This Row],[Unique Inputs Sorted by '[Energy (MJ) per kg API']]],Table_Process_Details[Unique Process Inputs],0))</f>
        <v>0</v>
      </c>
      <c r="EO30" s="22">
        <f ca="1">INDEX(Table_Process_Details[Total '[Energy (MJ) per kg API'] of Unique Inputs (WATER)], MATCH(Table_Process_Details[[#This Row],[Unique Inputs Sorted by '[Energy (MJ) per kg API']]],Table_Process_Details[Unique Process Inputs],0))</f>
        <v>1.9982807490882938E-3</v>
      </c>
      <c r="EP30" s="22">
        <f ca="1">INDEX(Table_Process_Details[Total '[Energy (MJ) per kg API'] of Unique Inputs (ENZ&amp;PLNT)], MATCH(Table_Process_Details[[#This Row],[Unique Inputs Sorted by '[Energy (MJ) per kg API']]],Table_Process_Details[Unique Process Inputs],0))</f>
        <v>0</v>
      </c>
      <c r="EQ30" s="22">
        <f ca="1">INDEX(Table_Process_Details[Total '[Energy (MJ) per kg API'] of Unique Inputs (OTHER)], MATCH(Table_Process_Details[[#This Row],[Unique Inputs Sorted by '[Energy (MJ) per kg API']]],Table_Process_Details[Unique Process Inputs],0))</f>
        <v>0</v>
      </c>
      <c r="ER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0.23338373307756505</v>
      </c>
      <c r="ES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0.23241811393554898</v>
      </c>
      <c r="ET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9.656191420160437E-4</v>
      </c>
      <c r="EW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0" s="22">
        <f ca="1">SUMIFS(Table_Process_Details[RV GWP (kg CO2 equiv.) per kg API],Table_Process_Details[Display Name],Table_Process_Details[[#This Row],[Unique Process Inputs]],Table_Process_Details[Input or Output],"Input")</f>
        <v>0</v>
      </c>
      <c r="EZ30" s="1">
        <f ca="1">SUMIFS(Table_Process_Details[RV GWP (kg CO2 equiv.) per kg API (REAGENT)],Table_Process_Details[Display Name],Table_Process_Details[[#This Row],[Unique Process Inputs]],Table_Process_Details[Input or Output],"Input")</f>
        <v>0</v>
      </c>
      <c r="FA30" s="1">
        <f ca="1">SUMIFS(Table_Process_Details[RV GWP (kg CO2 equiv.) per kg API (METAL)],Table_Process_Details[Display Name],Table_Process_Details[[#This Row],[Unique Process Inputs]],Table_Process_Details[Input or Output],"Input")</f>
        <v>0</v>
      </c>
      <c r="FB30" s="1">
        <f ca="1">SUMIFS(Table_Process_Details[RV GWP (kg CO2 equiv.) per kg API (SOLVENT)],Table_Process_Details[Display Name],Table_Process_Details[[#This Row],[Unique Process Inputs]],Table_Process_Details[Input or Output],"Input")</f>
        <v>0</v>
      </c>
      <c r="FC30" s="1">
        <f ca="1">SUMIFS(Table_Process_Details[RV GWP (kg CO2 equiv.) per kg API (WATER)],Table_Process_Details[Display Name],Table_Process_Details[[#This Row],[Unique Process Inputs]],Table_Process_Details[Input or Output],"Input")</f>
        <v>0</v>
      </c>
      <c r="FD30" s="1">
        <f ca="1">SUMIFS(Table_Process_Details[RV GWP (kg CO2 equiv.) per kg API (ENZ&amp;PLNT)],Table_Process_Details[Display Name],Table_Process_Details[[#This Row],[Unique Process Inputs]],Table_Process_Details[Input or Output],"Input")</f>
        <v>0</v>
      </c>
      <c r="FE30" s="1">
        <f ca="1">SUMIFS(Table_Process_Details[RV GWP (kg CO2 equiv.) per kg API (OTHER)],Table_Process_Details[Display Name],Table_Process_Details[[#This Row],[Unique Process Inputs]],Table_Process_Details[Input or Output],"Input")</f>
        <v>0</v>
      </c>
      <c r="FF30" s="22" t="str">
        <f ca="1">INDEX(Table_Process_Details[Unique Process Inputs],MATCH(Table_Process_Details[[#This Row],['[GWP (kg CO2 equiv.) per kg API'] of Unique Inputs Sorted by '[GWP (kg CO2 equiv.) per kg API']]],Table_Process_Details[Total '[GWP (kg CO2 equiv.) per kg API'] of Unique Inputs],0))</f>
        <v>water</v>
      </c>
      <c r="FG30" s="22">
        <f ca="1">IF(LARGE(Table_Process_Details[Total '[GWP (kg CO2 equiv.) per kg API'] of Unique Inputs],Table_Process_Details[[#This Row],[Table Row]])=0,NA(),LARGE(Table_Process_Details[Total '[GWP (kg CO2 equiv.) per kg API'] of Unique Inputs],Table_Process_Details[[#This Row],[Table Row]]))</f>
        <v>4.0860042134632263E-2</v>
      </c>
      <c r="FH30" s="22">
        <f ca="1">SUM(OFFSET(Table_Process_Details['[GWP (kg CO2 equiv.) per kg API'] of Unique Inputs Sorted by '[GWP (kg CO2 equiv.) per kg API']],0,0,Table_Process_Details[[#This Row],[Table Row]]))</f>
        <v>156.44869769043737</v>
      </c>
      <c r="FI30" s="22" t="str">
        <f ca="1">"("&amp;TEXT(Table_Process_Details[[#This Row],['[GWP (kg CO2 equiv.) per kg API'] of Unique Inputs Sorted by '[GWP (kg CO2 equiv.) per kg API']]]/SUMIF(Table_Process_Details['[GWP (kg CO2 equiv.) per kg API'] of Unique Inputs Sorted by '[GWP (kg CO2 equiv.) per kg API']],"&lt;&gt;#N/A"),"0%")&amp;")"</f>
        <v>(0%)</v>
      </c>
      <c r="FJ30" s="22">
        <f ca="1">INDEX(Table_Process_Details[Total '[GWP (kg CO2 equiv.) per kg API'] of Unique Inputs (REAGENT)], MATCH(Table_Process_Details[[#This Row],[Unique Inputs Sorted by '[GWP (kg CO2 equiv.) per kg API']]],Table_Process_Details[Unique Process Inputs],0))</f>
        <v>0</v>
      </c>
      <c r="FK30" s="22">
        <f ca="1">INDEX(Table_Process_Details[Total '[GWP (kg CO2 equiv.) per kg API'] of Unique Inputs (METAL)], MATCH(Table_Process_Details[[#This Row],[Unique Inputs Sorted by '[GWP (kg CO2 equiv.) per kg API']]],Table_Process_Details[Unique Process Inputs],0))</f>
        <v>0</v>
      </c>
      <c r="FL30" s="22">
        <f ca="1">INDEX(Table_Process_Details[Total '[GWP (kg CO2 equiv.) per kg API'] of Unique Inputs (SOLVENT)], MATCH(Table_Process_Details[[#This Row],[Unique Inputs Sorted by '[GWP (kg CO2 equiv.) per kg API']]],Table_Process_Details[Unique Process Inputs],0))</f>
        <v>0</v>
      </c>
      <c r="FM30" s="22">
        <f ca="1">INDEX(Table_Process_Details[Total '[GWP (kg CO2 equiv.) per kg API'] of Unique Inputs (WATER)], MATCH(Table_Process_Details[[#This Row],[Unique Inputs Sorted by '[GWP (kg CO2 equiv.) per kg API']]],Table_Process_Details[Unique Process Inputs],0))</f>
        <v>4.0860042134632263E-2</v>
      </c>
      <c r="FN30" s="22">
        <f ca="1">INDEX(Table_Process_Details[Total '[GWP (kg CO2 equiv.) per kg API'] of Unique Inputs (ENZ&amp;PLNT)], MATCH(Table_Process_Details[[#This Row],[Unique Inputs Sorted by '[GWP (kg CO2 equiv.) per kg API']]],Table_Process_Details[Unique Process Inputs],0))</f>
        <v>0</v>
      </c>
      <c r="FO30" s="22">
        <f ca="1">INDEX(Table_Process_Details[Total '[GWP (kg CO2 equiv.) per kg API'] of Unique Inputs (OTHER)], MATCH(Table_Process_Details[[#This Row],[Unique Inputs Sorted by '[GWP (kg CO2 equiv.) per kg API']]],Table_Process_Details[Unique Process Inputs],0))</f>
        <v>0</v>
      </c>
      <c r="FP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2.3355976206214431E-3</v>
      </c>
      <c r="FQ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2.331898212576968E-3</v>
      </c>
      <c r="FR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3.6994080444750759E-6</v>
      </c>
      <c r="FU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0" s="22">
        <f ca="1">SUMIFS(Table_Process_Details[RV Acidification (kg SO2 equiv.) per kg API],Table_Process_Details[Display Name],Table_Process_Details[[#This Row],[Unique Process Inputs]],Table_Process_Details[Input or Output],"Input")</f>
        <v>0</v>
      </c>
      <c r="FX30" s="1">
        <f ca="1">SUMIFS(Table_Process_Details[RV Acidification (kg SO2 equiv.) per kg API (REAGENT)],Table_Process_Details[Display Name],Table_Process_Details[[#This Row],[Unique Process Inputs]],Table_Process_Details[Input or Output],"Input")</f>
        <v>0</v>
      </c>
      <c r="FY30" s="1">
        <f ca="1">SUMIFS(Table_Process_Details[RV Acidification (kg SO2 equiv.) per kg API (METAL)],Table_Process_Details[Display Name],Table_Process_Details[[#This Row],[Unique Process Inputs]],Table_Process_Details[Input or Output],"Input")</f>
        <v>0</v>
      </c>
      <c r="FZ30" s="1">
        <f ca="1">SUMIFS(Table_Process_Details[RV Acidification (kg SO2 equiv.) per kg API (SOLVENT)],Table_Process_Details[Display Name],Table_Process_Details[[#This Row],[Unique Process Inputs]],Table_Process_Details[Input or Output],"Input")</f>
        <v>0</v>
      </c>
      <c r="GA30" s="1">
        <f ca="1">SUMIFS(Table_Process_Details[RV Acidification (kg SO2 equiv.) per kg API (WATER)],Table_Process_Details[Display Name],Table_Process_Details[[#This Row],[Unique Process Inputs]],Table_Process_Details[Input or Output],"Input")</f>
        <v>0</v>
      </c>
      <c r="GB30" s="1">
        <f ca="1">SUMIFS(Table_Process_Details[RV Acidification (kg SO2 equiv.) per kg API (ENZ&amp;PLNT)],Table_Process_Details[Display Name],Table_Process_Details[[#This Row],[Unique Process Inputs]],Table_Process_Details[Input or Output],"Input")</f>
        <v>0</v>
      </c>
      <c r="GC30" s="1">
        <f ca="1">SUMIFS(Table_Process_Details[RV Acidification (kg SO2 equiv.) per kg API (OTHER)],Table_Process_Details[Display Name],Table_Process_Details[[#This Row],[Unique Process Inputs]],Table_Process_Details[Input or Output],"Input")</f>
        <v>0</v>
      </c>
      <c r="GD30"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25 wt% reagent E (inorganic) in water</v>
      </c>
      <c r="GE30" s="22">
        <f ca="1">IF(LARGE(Table_Process_Details[Total '[Acidification (kg SO2 equiv.) per kg API'] of Unique Inputs],Table_Process_Details[[#This Row],[Table Row]])=0,NA(),LARGE(Table_Process_Details[Total '[Acidification (kg SO2 equiv.) per kg API'] of Unique Inputs],Table_Process_Details[[#This Row],[Table Row]]))</f>
        <v>4.8622015056600968E-4</v>
      </c>
      <c r="GF30" s="22">
        <f ca="1">SUM(OFFSET(Table_Process_Details['[Acidification (kg SO2 equiv.) per kg API'] of Unique Inputs Sorted by '[Acidification (kg SO2 equiv.) per kg API']],0,0,Table_Process_Details[[#This Row],[Table Row]]))</f>
        <v>0.65483392037251831</v>
      </c>
      <c r="GG30"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0" s="22">
        <f ca="1">INDEX(Table_Process_Details[Total '[Acidification (kg SO2 equiv.) per kg API'] of Unique Inputs (REAGENT)], MATCH(Table_Process_Details[[#This Row],[Unique Inputs Sorted by '[Acidification (kg SO2 equiv.) per kg API']]],Table_Process_Details[Unique Process Inputs],0))</f>
        <v>4.8581212761992815E-4</v>
      </c>
      <c r="GI30" s="22">
        <f ca="1">INDEX(Table_Process_Details[Total '[Acidification (kg SO2 equiv.) per kg API'] of Unique Inputs (METAL)], MATCH(Table_Process_Details[[#This Row],[Unique Inputs Sorted by '[Acidification (kg SO2 equiv.) per kg API']]],Table_Process_Details[Unique Process Inputs],0))</f>
        <v>0</v>
      </c>
      <c r="GJ30" s="22">
        <f ca="1">INDEX(Table_Process_Details[Total '[Acidification (kg SO2 equiv.) per kg API'] of Unique Inputs (SOLVENT)], MATCH(Table_Process_Details[[#This Row],[Unique Inputs Sorted by '[Acidification (kg SO2 equiv.) per kg API']]],Table_Process_Details[Unique Process Inputs],0))</f>
        <v>0</v>
      </c>
      <c r="GK30" s="22">
        <f ca="1">INDEX(Table_Process_Details[Total '[Acidification (kg SO2 equiv.) per kg API'] of Unique Inputs (WATER)], MATCH(Table_Process_Details[[#This Row],[Unique Inputs Sorted by '[Acidification (kg SO2 equiv.) per kg API']]],Table_Process_Details[Unique Process Inputs],0))</f>
        <v>4.0802294608158025E-7</v>
      </c>
      <c r="GL30" s="22">
        <f ca="1">INDEX(Table_Process_Details[Total '[Acidification (kg SO2 equiv.) per kg API'] of Unique Inputs (ENZ&amp;PLNT)], MATCH(Table_Process_Details[[#This Row],[Unique Inputs Sorted by '[Acidification (kg SO2 equiv.) per kg API']]],Table_Process_Details[Unique Process Inputs],0))</f>
        <v>0</v>
      </c>
      <c r="GM30" s="22">
        <f ca="1">INDEX(Table_Process_Details[Total '[Acidification (kg SO2 equiv.) per kg API'] of Unique Inputs (OTHER)], MATCH(Table_Process_Details[[#This Row],[Unique Inputs Sorted by '[Acidification (kg SO2 equiv.) per kg API']]],Table_Process_Details[Unique Process Inputs],0))</f>
        <v>0</v>
      </c>
      <c r="GN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1.1963749982678449E-4</v>
      </c>
      <c r="GO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1.1743372293553076E-4</v>
      </c>
      <c r="GP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2.2037768912537305E-6</v>
      </c>
      <c r="GS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0" s="22">
        <f ca="1">SUMIFS(Table_Process_Details[RV Eutrophication (kg phosphate equiv.) per kg API],Table_Process_Details[Display Name],Table_Process_Details[[#This Row],[Unique Process Inputs]],Table_Process_Details[Input or Output],"Input")</f>
        <v>0</v>
      </c>
      <c r="GV30" s="1">
        <f ca="1">SUMIFS(Table_Process_Details[RV Eutrophication (kg phosphate equiv.) per kg API (REAGENT)],Table_Process_Details[Display Name],Table_Process_Details[[#This Row],[Unique Process Inputs]],Table_Process_Details[Input or Output],"Input")</f>
        <v>0</v>
      </c>
      <c r="GW30" s="1">
        <f ca="1">SUMIFS(Table_Process_Details[RV Eutrophication (kg phosphate equiv.) per kg API (METAL)],Table_Process_Details[Display Name],Table_Process_Details[[#This Row],[Unique Process Inputs]],Table_Process_Details[Input or Output],"Input")</f>
        <v>0</v>
      </c>
      <c r="GX30" s="1">
        <f ca="1">SUMIFS(Table_Process_Details[RV Eutrophication (kg phosphate equiv.) per kg API (SOLVENT)],Table_Process_Details[Display Name],Table_Process_Details[[#This Row],[Unique Process Inputs]],Table_Process_Details[Input or Output],"Input")</f>
        <v>0</v>
      </c>
      <c r="GY30" s="1">
        <f ca="1">SUMIFS(Table_Process_Details[RV Eutrophication (kg phosphate equiv.) per kg API (WATER)],Table_Process_Details[Display Name],Table_Process_Details[[#This Row],[Unique Process Inputs]],Table_Process_Details[Input or Output],"Input")</f>
        <v>0</v>
      </c>
      <c r="GZ30" s="1">
        <f ca="1">SUMIFS(Table_Process_Details[RV Eutrophication (kg phosphate equiv.) per kg API (ENZ&amp;PLNT)],Table_Process_Details[Display Name],Table_Process_Details[[#This Row],[Unique Process Inputs]],Table_Process_Details[Input or Output],"Input")</f>
        <v>0</v>
      </c>
      <c r="HA30" s="1">
        <f ca="1">SUMIFS(Table_Process_Details[RV Eutrophication (kg phosphate equiv.) per kg API (OTHER)],Table_Process_Details[Display Name],Table_Process_Details[[#This Row],[Unique Process Inputs]],Table_Process_Details[Input or Output],"Input")</f>
        <v>0</v>
      </c>
      <c r="HB30"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nickel salt</v>
      </c>
      <c r="HC30" s="22">
        <f ca="1">IF(LARGE(Table_Process_Details[Total '[Eutrophication (kg posphate equiv.) per kg API'] of Unique Inputs],Table_Process_Details[[#This Row],[Table Row]])=0,NA(),LARGE(Table_Process_Details[Total '[Eutrophication (kg posphate equiv.) per kg API'] of Unique Inputs],Table_Process_Details[[#This Row],[Table Row]]))</f>
        <v>4.0960250009151139E-5</v>
      </c>
      <c r="HD30" s="22">
        <f ca="1">SUM(OFFSET(Table_Process_Details['[Eutrophication (kg posphate equiv.) per kg API'] of Unique Inputs Sorted by '[Eutrophication (kg posphate equiv.) per kg API']],0,0,Table_Process_Details[[#This Row],[Table Row]]))</f>
        <v>1.3756593737845384</v>
      </c>
      <c r="HE30"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0" s="1">
        <f ca="1">INDEX(Table_Process_Details[Total '[Eutrophication (kg posphate equiv.) per kg API'] of Unique Inputs (REAGENT)], MATCH(Table_Process_Details[[#This Row],[Unique Inputs Sorted by '[Eutrophication (kg posphate equiv.) per kg API']]],Table_Process_Details[Unique Process Inputs],0))</f>
        <v>6.1668306622729204E-6</v>
      </c>
      <c r="HG30" s="1">
        <f ca="1">INDEX(Table_Process_Details[Total '[Eutrophication (kg posphate equiv.) per kg API'] of Unique Inputs (METAL)], MATCH(Table_Process_Details[[#This Row],[Unique Inputs Sorted by '[Eutrophication (kg posphate equiv.) per kg API']]],Table_Process_Details[Unique Process Inputs],0))</f>
        <v>3.4793419346878223E-5</v>
      </c>
      <c r="HH30" s="1">
        <f ca="1">INDEX(Table_Process_Details[Total '[Eutrophication (kg posphate equiv.) per kg API'] of Unique Inputs (SOLVENT)], MATCH(Table_Process_Details[[#This Row],[Unique Inputs Sorted by '[Eutrophication (kg posphate equiv.) per kg API']]],Table_Process_Details[Unique Process Inputs],0))</f>
        <v>0</v>
      </c>
      <c r="HI30" s="1">
        <f ca="1">INDEX(Table_Process_Details[Total '[Eutrophication (kg posphate equiv.) per kg API'] of Unique Inputs (WATER)], MATCH(Table_Process_Details[[#This Row],[Unique Inputs Sorted by '[Eutrophication (kg posphate equiv.) per kg API']]],Table_Process_Details[Unique Process Inputs],0))</f>
        <v>0</v>
      </c>
      <c r="HJ30" s="1">
        <f ca="1">INDEX(Table_Process_Details[Total '[Eutrophication (kg posphate equiv.) per kg API'] of Unique Inputs (ENZ&amp;PLNT)], MATCH(Table_Process_Details[[#This Row],[Unique Inputs Sorted by '[Eutrophication (kg posphate equiv.) per kg API']]],Table_Process_Details[Unique Process Inputs],0))</f>
        <v>0</v>
      </c>
      <c r="HK30" s="1">
        <f ca="1">INDEX(Table_Process_Details[Total '[Eutrophication (kg posphate equiv.) per kg API'] of Unique Inputs (OTHER)], MATCH(Table_Process_Details[[#This Row],[Unique Inputs Sorted by '[Eutrophication (kg posphate equiv.) per kg API']]],Table_Process_Details[Unique Process Inputs],0))</f>
        <v>0</v>
      </c>
      <c r="HL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1.3169702552278411</v>
      </c>
      <c r="HM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0.11596244614960989</v>
      </c>
      <c r="HN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1.2010078090782312</v>
      </c>
      <c r="HQ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0" s="1">
        <f ca="1">SUMIFS(Table_Process_Details[RV Water (kg) per kg API],Table_Process_Details[Display Name],Table_Process_Details[[#This Row],[Unique Process Inputs]],Table_Process_Details[Input or Output],"Input")</f>
        <v>0</v>
      </c>
      <c r="HT30" s="1">
        <f ca="1">SUMIFS(Table_Process_Details[RV Water (kg) per kg API (REAGENT)],Table_Process_Details[Display Name],Table_Process_Details[[#This Row],[Unique Process Inputs]],Table_Process_Details[Input or Output],"Input")</f>
        <v>0</v>
      </c>
      <c r="HU30" s="1">
        <f ca="1">SUMIFS(Table_Process_Details[RV Water (kg) per kg API (METAL)],Table_Process_Details[Display Name],Table_Process_Details[[#This Row],[Unique Process Inputs]],Table_Process_Details[Input or Output],"Input")</f>
        <v>0</v>
      </c>
      <c r="HV30" s="1">
        <f ca="1">SUMIFS(Table_Process_Details[RV Water (kg) per kg API (SOLVENT)],Table_Process_Details[Display Name],Table_Process_Details[[#This Row],[Unique Process Inputs]],Table_Process_Details[Input or Output],"Input")</f>
        <v>0</v>
      </c>
      <c r="HW30" s="1">
        <f ca="1">SUMIFS(Table_Process_Details[RV Water (kg) per kg API (WATER)],Table_Process_Details[Display Name],Table_Process_Details[[#This Row],[Unique Process Inputs]],Table_Process_Details[Input or Output],"Input")</f>
        <v>0</v>
      </c>
      <c r="HX30" s="1">
        <f ca="1">SUMIFS(Table_Process_Details[RV Water (kg) per kg API (ENZ&amp;PLNT)],Table_Process_Details[Display Name],Table_Process_Details[[#This Row],[Unique Process Inputs]],Table_Process_Details[Input or Output],"Input")</f>
        <v>0</v>
      </c>
      <c r="HY30" s="1">
        <f ca="1">SUMIFS(Table_Process_Details[RV Water (kg) per kg API (OTHER)],Table_Process_Details[Display Name],Table_Process_Details[[#This Row],[Unique Process Inputs]],Table_Process_Details[Input or Output],"Input")</f>
        <v>0</v>
      </c>
      <c r="HZ30" s="22" t="str">
        <f ca="1">INDEX(Table_Process_Details[Unique Process Inputs],MATCH(Table_Process_Details[[#This Row],['[Water (kg) per kg API'] of Unique Inputs Sorted by '[Water (kg) per kg API']]],Table_Process_Details[Total '[Water (kg) per kg API'] of Unique Inputs],0))</f>
        <v>30 wt% reagent F (inorganic) in water</v>
      </c>
      <c r="IA30" s="22">
        <f ca="1">IF(LARGE(Table_Process_Details[Total '[Water (kg) per kg API'] of Unique Inputs],Table_Process_Details[[#This Row],[Table Row]])=0,NA(),LARGE(Table_Process_Details[Total '[Water (kg) per kg API'] of Unique Inputs],Table_Process_Details[[#This Row],[Table Row]]))</f>
        <v>0.77402567227023411</v>
      </c>
      <c r="IB30" s="1">
        <f ca="1">SUM(OFFSET(Table_Process_Details['[Water (kg) per kg API'] of Unique Inputs Sorted by '[Water (kg) per kg API']],0,0,Table_Process_Details[[#This Row],[Table Row]]))</f>
        <v>889.33519090463369</v>
      </c>
      <c r="IC30" s="1" t="str">
        <f ca="1">"("&amp;TEXT(Table_Process_Details[[#This Row],['[Water (kg) per kg API'] of Unique Inputs Sorted by '[Water (kg) per kg API']]]/SUMIF(Table_Process_Details['[Water (kg) per kg API'] of Unique Inputs Sorted by '[Water (kg) per kg API']],"&lt;&gt;#N/A"),"0%")&amp;")"</f>
        <v>(0%)</v>
      </c>
      <c r="ID30" s="1">
        <f ca="1">INDEX(Table_Process_Details[Total '[Water (kg) per kg API'] of Unique Inputs (REAGENT)], MATCH(Table_Process_Details[[#This Row],[Unique Inputs Sorted by '[Water (kg) per kg API']]],Table_Process_Details[Unique Process Inputs],0))</f>
        <v>0.13177550698811888</v>
      </c>
      <c r="IE30" s="1">
        <f ca="1">INDEX(Table_Process_Details[Total '[Water (kg) per kg API'] of Unique Inputs (METAL)], MATCH(Table_Process_Details[[#This Row],[Unique Inputs Sorted by '[Water (kg) per kg API']]],Table_Process_Details[Unique Process Inputs],0))</f>
        <v>0</v>
      </c>
      <c r="IF30" s="1">
        <f ca="1">INDEX(Table_Process_Details[Total '[Water (kg) per kg API'] of Unique Inputs (SOLVENT)], MATCH(Table_Process_Details[[#This Row],[Unique Inputs Sorted by '[Water (kg) per kg API']]],Table_Process_Details[Unique Process Inputs],0))</f>
        <v>0</v>
      </c>
      <c r="IG30" s="1">
        <f ca="1">INDEX(Table_Process_Details[Total '[Water (kg) per kg API'] of Unique Inputs (WATER)], MATCH(Table_Process_Details[[#This Row],[Unique Inputs Sorted by '[Water (kg) per kg API']]],Table_Process_Details[Unique Process Inputs],0))</f>
        <v>0.6422501652821152</v>
      </c>
      <c r="IH30" s="1">
        <f ca="1">INDEX(Table_Process_Details[Total '[Water (kg) per kg API'] of Unique Inputs (ENZ&amp;PLNT)], MATCH(Table_Process_Details[[#This Row],[Unique Inputs Sorted by '[Water (kg) per kg API']]],Table_Process_Details[Unique Process Inputs],0))</f>
        <v>0</v>
      </c>
      <c r="II30" s="1">
        <f ca="1">INDEX(Table_Process_Details[Total '[Water (kg) per kg API'] of Unique Inputs (OTHER)], MATCH(Table_Process_Details[[#This Row],[Unique Inputs Sorted by '[Water (kg) per kg API']]],Table_Process_Details[Unique Process Inputs],0))</f>
        <v>0</v>
      </c>
    </row>
    <row r="31" spans="1:243" customFormat="1" x14ac:dyDescent="0.25">
      <c r="A31" s="22" t="str">
        <f t="shared" si="0"/>
        <v>1) Synthesis of Intermediate (1)</v>
      </c>
      <c r="B31" s="21" t="s">
        <v>4</v>
      </c>
      <c r="C31" s="21" t="s">
        <v>6</v>
      </c>
      <c r="D31" s="22" t="s">
        <v>52</v>
      </c>
      <c r="E31" s="22" t="s">
        <v>812</v>
      </c>
      <c r="F31" s="164">
        <f>160*'B. Common Solvent DB'!C20</f>
        <v>125.76</v>
      </c>
      <c r="G31" s="26" t="s">
        <v>854</v>
      </c>
      <c r="H31" s="26" t="s">
        <v>855</v>
      </c>
      <c r="I31" s="26"/>
      <c r="J31" s="26" t="str">
        <f>INDEX(Process_Steps[Reference],MATCH(Table_Process_Details[[#This Row],[Step Name]],Process_Steps[Name],0))</f>
        <v>Reference Document  for Step 1</v>
      </c>
      <c r="K31" s="27" t="str">
        <f>INDEX(Process_Steps[Real or Virtual?],MATCH(Table_Process_Details[[#This Row],[Step Name]],Process_Steps[Name],0))</f>
        <v>Real</v>
      </c>
      <c r="L3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75-05-8</v>
      </c>
      <c r="M3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31" s="26">
        <f>INDEX(Table_Process_Details[Physical Mass (kg)],MATCH(1,INDEX(((Table_Process_Details[Step Name]=Table_Process_Details[[#This Row],[Step Name]])*(Table_Process_Details[Input or Output]="Output")),0),0))</f>
        <v>51.020408163265309</v>
      </c>
      <c r="O31" s="29">
        <f ca="1">INDEX(Process_Steps[Step Scale Factor for 1kg Packaged API],MATCH(Table_Process_Details[[#This Row],[Step Name]],Process_Steps[Name],0))</f>
        <v>6.9901025556863543E-3</v>
      </c>
      <c r="P3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6.5</v>
      </c>
      <c r="Q3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13.5</v>
      </c>
      <c r="R31" s="26">
        <f ca="1">_xlfn.SWITCH(Run_Reset_PNG,"Reset",Table_Process_Details[[#This Row],[X Init]],"Run",Table_Process_Details[[#This Row],[X Moved]],"Freeze",Table_Process_Details[[#This Row],[X Mover]])</f>
        <v>2.3881874318286971</v>
      </c>
      <c r="S31" s="26">
        <f ca="1">_xlfn.SWITCH(Run_Reset_PNG,"Reset",Table_Process_Details[[#This Row],[Y Init]],"Run",Table_Process_Details[[#This Row],[Y Moved]],"Freeze",Table_Process_Details[[#This Row],[Y Mover]])</f>
        <v>17.908892311287456</v>
      </c>
      <c r="T31" s="26" cm="1">
        <f t="array" aca="1" ref="T3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4.2578254089114971</v>
      </c>
      <c r="U31" s="26" cm="1">
        <f t="array" aca="1" ref="U3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-9.1913103096386166</v>
      </c>
      <c r="V31" s="26" cm="1">
        <f t="array" aca="1" ref="V31" ca="1">SUM(--(SQRT((Table_Process_Details[[#This Row],[X Mover]]-Table_Process_Details[X Mover])^2+(Table_Process_Details[[#This Row],[Y Mover]]-Table_Process_Details[Y Mover])^2)&lt;Collision_Distance))</f>
        <v>24</v>
      </c>
      <c r="W31" s="26" cm="1">
        <f t="array" aca="1" ref="W3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-0.19717123874359818</v>
      </c>
      <c r="X31" s="26" cm="1">
        <f t="array" aca="1" ref="X3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0.44957523747608008</v>
      </c>
      <c r="Y31" s="26" cm="1">
        <f t="array" aca="1" ref="Y3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1" s="26">
        <f>0</f>
        <v>0</v>
      </c>
      <c r="AA31" s="26">
        <f>0</f>
        <v>0</v>
      </c>
      <c r="AB3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-1.1940937159143485</v>
      </c>
      <c r="AC31" s="26" cm="1">
        <f t="array" aca="1" ref="AC3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-8.954446155643728</v>
      </c>
      <c r="AD31" s="26">
        <f>MIN(1,COUNTA(Table_Process_Details[[#This Row],[target x]]),COUNTA(Table_Process_Details[[#This Row],[target y]]))*COUNTA(Table_Process_Details[Step Name])</f>
        <v>98</v>
      </c>
      <c r="AE3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2.3562409553688499</v>
      </c>
      <c r="AF3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17.884124386314539</v>
      </c>
      <c r="AG3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1" s="26" cm="1">
        <f t="array" aca="1" ref="AH31" ca="1">INDEX(Table_Process_Details[X Mover],MATCH(1,INDEX((Table_Process_Details[Input or Output]="Output")*(Table_Process_Details[Step Name]=Table_Process_Details[[#This Row],[Step Name]])*(Table_Process_Details[[#This Row],[Input or Output]]="Input"),0),0))</f>
        <v>0.78891624628593393</v>
      </c>
      <c r="AI31" s="26" cm="1">
        <f t="array" aca="1" ref="AI31" ca="1">INDEX(Table_Process_Details[Y Mover],MATCH(1,INDEX((Table_Process_Details[Input or Output]="Output")*(Table_Process_Details[Step Name]=Table_Process_Details[[#This Row],[Step Name]])*(Table_Process_Details[[#This Row],[Input or Output]]="Input"),0),0))</f>
        <v>21.555431875630404</v>
      </c>
      <c r="AJ31" s="26">
        <f ca="1">SQRT((Table_Process_Details[[#This Row],[X End (To Node Center)]]-Table_Process_Details[[#This Row],[X Guide]])^2+(Table_Process_Details[[#This Row],[Y End (to Node Center)]]-Table_Process_Details[[#This Row],[Y Guide]])^2)</f>
        <v>3.9818235921780629</v>
      </c>
      <c r="AK31" s="26" t="e" cm="1">
        <f t="array" ref="AK31">INDEX(Table_Process_Details[X Mover],MATCH(1,INDEX((Table_Process_Details[Step Name]=Table_Process_Details[[#This Row],[LCA Data Source Subclass]])*(Table_Process_Details[Input or Output]="Output"),0)*(Table_Process_Details[[#This Row],[Input or Output]]="Input"),0))</f>
        <v>#N/A</v>
      </c>
      <c r="AL31" s="26" cm="1">
        <f t="array" aca="1" ref="AL31" ca="1">INDEX(Table_Process_Details[X Mover],MATCH(1,INDEX(((Table_Process_Details[Table Row]=Table_Process_Details[[#This Row],[Table Row]])*(1)),0)*(Table_Process_Details[[#This Row],[Input or Output]]="Input"),0))</f>
        <v>2.3881874318286971</v>
      </c>
      <c r="AM31" s="26" cm="1">
        <f t="array" aca="1" ref="AM31" ca="1">(Table_Process_Details[[#This Row],[X End (To Node Center)]]*Table_Process_Details[[#This Row],[r0]]-Table_Process_Details[[#This Row],[X End (To Node Center)]]*Arrow_Offset+Table_Process_Details[[#This Row],[X Guide]]*Arrow_Offset)/Table_Process_Details[[#This Row],[r0]]</f>
        <v>1.1102305684340852</v>
      </c>
      <c r="AN31" s="26" t="e">
        <f>IF(NOT(Table_Process_Details[[#This Row],[Display As]]="None"),Table_Process_Details[[#This Row],[X Start Prefilter]],NA())</f>
        <v>#N/A</v>
      </c>
      <c r="AO31" s="26">
        <f ca="1">IF(NOT(Table_Process_Details[[#This Row],[Display As]]="None"),Table_Process_Details[[#This Row],[X Guide Prefilter]],NA())</f>
        <v>2.3881874318286971</v>
      </c>
      <c r="AP31" s="26">
        <f ca="1">IF(NOT(Table_Process_Details[[#This Row],[Display As]]="None"),Table_Process_Details[[#This Row],[X End (to Stop Radius) Prefilter]],NA())</f>
        <v>1.1102305684340852</v>
      </c>
      <c r="AQ31" s="26" t="e">
        <f>NA()</f>
        <v>#N/A</v>
      </c>
      <c r="AR31" s="26" t="e" cm="1">
        <f t="array" ref="AR31">INDEX(Table_Process_Details[Y Mover],MATCH(1,INDEX((Table_Process_Details[Step Name]=Table_Process_Details[[#This Row],[LCA Data Source Subclass]])*(Table_Process_Details[Input or Output]="Output"),0)*(Table_Process_Details[[#This Row],[Input or Output]]="Input"),0))</f>
        <v>#N/A</v>
      </c>
      <c r="AS31" s="26" cm="1">
        <f t="array" aca="1" ref="AS31" ca="1">INDEX(Table_Process_Details[Y Mover],MATCH(1,INDEX(((Table_Process_Details[Table Row]=Table_Process_Details[[#This Row],[Table Row]])*(1)),0)*(Table_Process_Details[[#This Row],[Input or Output]]="Input"),0))</f>
        <v>17.908892311287456</v>
      </c>
      <c r="AT31" s="26" cm="1">
        <f t="array" aca="1" ref="AT31" ca="1">(Table_Process_Details[[#This Row],[Y Guide]]*Arrow_Offset-Table_Process_Details[[#This Row],[Y End (to Node Center)]]*Arrow_Offset+Table_Process_Details[[#This Row],[Y End (to Node Center)]]*Table_Process_Details[[#This Row],[r0]])/Table_Process_Details[[#This Row],[r0]]</f>
        <v>20.822794785126195</v>
      </c>
      <c r="AU31" s="26" t="e">
        <f>IF(NOT(Table_Process_Details[[#This Row],[Display As]]="None"),Table_Process_Details[[#This Row],[Y Start Prefilter]],NA())</f>
        <v>#N/A</v>
      </c>
      <c r="AV31" s="26">
        <f ca="1">IF(NOT(Table_Process_Details[[#This Row],[Display As]]="None"),Table_Process_Details[[#This Row],[Y Guide Prefilter]],NA())</f>
        <v>17.908892311287456</v>
      </c>
      <c r="AW31" s="26">
        <f ca="1">IF(NOT(Table_Process_Details[[#This Row],[Display As]]="None"),Table_Process_Details[[#This Row],[Y End (to Stop Radius) Prefilter]],NA())</f>
        <v>20.822794785126195</v>
      </c>
      <c r="AX31" s="26" t="e">
        <f>NA()</f>
        <v>#N/A</v>
      </c>
      <c r="AY31" s="26" t="e">
        <f>IF(Table_Process_Details[[#This Row],[Display As]]="Real Step",Table_Process_Details[[#This Row],[X Mover]],NA())</f>
        <v>#N/A</v>
      </c>
      <c r="AZ31" s="26" t="e">
        <f>IF(Table_Process_Details[[#This Row],[Display As]]="Real Step",Table_Process_Details[[#This Row],[Y Mover]],NA())</f>
        <v>#N/A</v>
      </c>
      <c r="BA31" s="26">
        <f ca="1">IF(Table_Process_Details[[#This Row],[Display As]]="Raw Material",Table_Process_Details[[#This Row],[X Mover]],NA())</f>
        <v>2.3881874318286971</v>
      </c>
      <c r="BB31" s="26">
        <f ca="1">IF(Table_Process_Details[[#This Row],[Display As]]="Raw Material",Table_Process_Details[[#This Row],[Y Mover]],NA())</f>
        <v>17.908892311287456</v>
      </c>
      <c r="BC31" s="26">
        <f ca="1">IF(OR(Table_Process_Details[[#This Row],[Display As]]="Real Step",Table_Process_Details[[#This Row],[Display As]]="Raw Material"),Table_Process_Details[[#This Row],[X Mover]],NA())</f>
        <v>2.3881874318286971</v>
      </c>
      <c r="BD31" s="26">
        <f ca="1">IF(OR(Table_Process_Details[[#This Row],[Display As]]="Real Step",Table_Process_Details[[#This Row],[Display As]]="Raw Material"),Table_Process_Details[[#This Row],[Y Mover]],NA())</f>
        <v>17.908892311287456</v>
      </c>
      <c r="BE31" s="22">
        <f>ROW()-ROW(Table_Process_Details[[#Headers],[Table Row]])</f>
        <v>27</v>
      </c>
      <c r="BF31" s="23" t="str" cm="1">
        <f t="array" aca="1" ref="BF31" ca="1">INDEX(Table_Process_Details[Display Name],MATCH(0,IF(Table_Process_Details[Input or Output]="Input",INDEX(COUNTIF(OFFSET(Table_Process_Details[[#Headers],[Unique Process Inputs]],0,0,Table_Process_Details[[#This Row],[Table Row]],1),Table_Process_Details[Display Name]),),""),0))</f>
        <v>reagent H (inorganic)</v>
      </c>
      <c r="BG31" s="23">
        <f ca="1">Table_Process_Details[[#This Row],[Physical Mass (kg)]]*Table_Process_Details[[#This Row],[Step Scale Factor for 1kg Packaged API]]</f>
        <v>0.87907529740311596</v>
      </c>
      <c r="BH3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1" s="23">
        <f ca="1">MATCH(Table_Process_Details[[#This Row],[LCA Data Source Class]],INDIRECT(Table_Process_Details[[#This Row],[Input or Output]]),0)</f>
        <v>2</v>
      </c>
      <c r="BJ31" s="23">
        <f ca="1">MATCH(Table_Process_Details[[#This Row],[LCA Data Source Subclass]],INDIRECT(Table_Process_Details[[#This Row],[LCA Data Source Class]]&amp;"[Name]"),0)</f>
        <v>16</v>
      </c>
      <c r="BK31" s="23">
        <f ca="1">IFERROR(INDEX(INDIRECT(Table_Process_Details[[#This Row],[LCA Data Source Class]]&amp;"[Mass Net (kg)]"),MATCH(Table_Process_Details[[#This Row],[LCA Data Source Subclass]],INDIRECT(Table_Process_Details[[#This Row],[LCA Data Source Class]]&amp;"[Name]"),0)),0)</f>
        <v>2.0349157</v>
      </c>
      <c r="BL31" s="23">
        <f ca="1">IFERROR(INDEX(INDIRECT(Table_Process_Details[[#This Row],[LCA Data Source Class]]&amp;"[Energy (MJ)]"),MATCH(Table_Process_Details[[#This Row],[LCA Data Source Subclass]],INDIRECT(Table_Process_Details[[#This Row],[LCA Data Source Class]]&amp;"[Name]"),0)),0)</f>
        <v>86.671193000000002</v>
      </c>
      <c r="BM31" s="23">
        <f ca="1">IFERROR(INDEX(INDIRECT(Table_Process_Details[[#This Row],[LCA Data Source Class]]&amp;"[GWP (kg CO2 equiv.)]"),MATCH(Table_Process_Details[[#This Row],[LCA Data Source Subclass]],INDIRECT(Table_Process_Details[[#This Row],[LCA Data Source Class]]&amp;"[Name]"),0)),0)</f>
        <v>3.0474101999999998</v>
      </c>
      <c r="BN31" s="23">
        <f ca="1">IFERROR(INDEX(INDIRECT(Table_Process_Details[[#This Row],[LCA Data Source Class]]&amp;"[Acidification (kg SO2 equiv.)]"),MATCH(Table_Process_Details[[#This Row],[LCA Data Source Subclass]],INDIRECT(Table_Process_Details[[#This Row],[LCA Data Source Class]]&amp;"[Name]"),0)),0)</f>
        <v>1.4095072E-2</v>
      </c>
      <c r="BO31" s="23">
        <f ca="1">IFERROR(INDEX(INDIRECT(Table_Process_Details[[#This Row],[LCA Data Source Class]]&amp;"[Eutrophication (kg posphate equiv.)]"),MATCH(Table_Process_Details[[#This Row],[LCA Data Source Subclass]],INDIRECT(Table_Process_Details[[#This Row],[LCA Data Source Class]]&amp;"[Name]"),0)),0)</f>
        <v>8.3054054000000002E-3</v>
      </c>
      <c r="BP31" s="23">
        <f ca="1">IFERROR(INDEX(INDIRECT(Table_Process_Details[[#This Row],[LCA Data Source Class]]&amp;"[Water (kg)]"),MATCH(Table_Process_Details[[#This Row],[LCA Data Source Subclass]],INDIRECT(Table_Process_Details[[#This Row],[LCA Data Source Class]]&amp;"[Name]"),0)),0)</f>
        <v>11.94215</v>
      </c>
      <c r="BQ31" s="27">
        <f ca="1">(Table_Process_Details[[#This Row],[Input or Output]]="Input")*(Table_Process_Details[[#This Row],[LCA Data Source Class]]&lt;&gt;"Process_Steps")*Table_Process_Details[[#This Row],[Scaled Physical Mass per kg API for All Inputs &amp; Outputs]]</f>
        <v>0.87907529740311596</v>
      </c>
      <c r="BR31" s="27">
        <f ca="1">(Table_Process_Details[[#This Row],[Material Class]]="REAGENT")*Table_Process_Details[[#This Row],[Physical Mass per kg API]]</f>
        <v>0</v>
      </c>
      <c r="BS31" s="27">
        <f ca="1">(Table_Process_Details[[#This Row],[Material Class]]="METAL")*Table_Process_Details[[#This Row],[Physical Mass per kg API]]</f>
        <v>0</v>
      </c>
      <c r="BT31" s="27">
        <f ca="1">(Table_Process_Details[[#This Row],[Material Class]]="SOLVENT")*Table_Process_Details[[#This Row],[Physical Mass per kg API]]</f>
        <v>0.87907529740311596</v>
      </c>
      <c r="BU31" s="27">
        <f ca="1">(Table_Process_Details[[#This Row],[Material Class]]="WATER")*Table_Process_Details[[#This Row],[Physical Mass per kg API]]</f>
        <v>0</v>
      </c>
      <c r="BV31" s="27">
        <f ca="1">(Table_Process_Details[[#This Row],[Material Class]]="ENZ&amp;PLNT")*Table_Process_Details[[#This Row],[Physical Mass per kg API]]</f>
        <v>0</v>
      </c>
      <c r="BW31" s="27">
        <f ca="1">(Table_Process_Details[[#This Row],[Material Class]]="OTHER")*Table_Process_Details[[#This Row],[Physical Mass per kg API]]</f>
        <v>0</v>
      </c>
      <c r="BX3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0.87907529740311596</v>
      </c>
      <c r="BY3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0.87907529740311596</v>
      </c>
      <c r="CB3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1" s="1">
        <f ca="1">SUMIFS(Table_Process_Details[RV Physical Mass per kg API],Table_Process_Details[Display Name],Table_Process_Details[[#This Row],[Unique Process Inputs]],Table_Process_Details[Input or Output],"Input")</f>
        <v>0</v>
      </c>
      <c r="CF31" s="1">
        <f ca="1">SUMIFS(Table_Process_Details[RV Physical Mass per kg API (REAGENT)],Table_Process_Details[Display Name],Table_Process_Details[[#This Row],[Unique Process Inputs]],Table_Process_Details[Input or Output],"Input")</f>
        <v>0</v>
      </c>
      <c r="CG31" s="1">
        <f ca="1">SUMIFS(Table_Process_Details[RV Physical Mass per kg API (METAL)],Table_Process_Details[Display Name],Table_Process_Details[[#This Row],[Unique Process Inputs]],Table_Process_Details[Input or Output],"Input")</f>
        <v>0</v>
      </c>
      <c r="CH31" s="1">
        <f ca="1">SUMIFS(Table_Process_Details[RV Physical Mass per kg API (SOLVENT)],Table_Process_Details[Display Name],Table_Process_Details[[#This Row],[Unique Process Inputs]],Table_Process_Details[Input or Output],"Input")</f>
        <v>0</v>
      </c>
      <c r="CI31" s="1">
        <f ca="1">SUMIFS(Table_Process_Details[RV Physical Mass per kg API (WATER)],Table_Process_Details[Display Name],Table_Process_Details[[#This Row],[Unique Process Inputs]],Table_Process_Details[Input or Output],"Input")</f>
        <v>0</v>
      </c>
      <c r="CJ31" s="1">
        <f ca="1">SUMIFS(Table_Process_Details[RV Physical Mass per kg API (ENZ&amp;PLNT)],Table_Process_Details[Display Name],Table_Process_Details[[#This Row],[Unique Process Inputs]],Table_Process_Details[Input or Output],"Input")</f>
        <v>0</v>
      </c>
      <c r="CK31" s="1">
        <f ca="1">SUMIFS(Table_Process_Details[RV Physical Mass per kg API (OTHER)],Table_Process_Details[Display Name],Table_Process_Details[[#This Row],[Unique Process Inputs]],Table_Process_Details[Input or Output],"Input")</f>
        <v>0</v>
      </c>
      <c r="CL31" s="22" t="str">
        <f ca="1">INDEX(Table_Process_Details[Unique Process Inputs],MATCH(Table_Process_Details[[#This Row],['[Physical Mass per kg API'] of Unique Inputs Sorted by '[Physical Mass per kg API']]],Table_Process_Details[Total '[Physical Mass per kg API'] of Unique Inputs],0))</f>
        <v>reagent N (organic)</v>
      </c>
      <c r="CM31" s="22">
        <f ca="1">IF(LARGE(Table_Process_Details[Total '[Physical Mass per kg API'] of Unique Inputs],Table_Process_Details[[#This Row],[Table Row]])=0,NA(),LARGE(Table_Process_Details[Total '[Physical Mass per kg API'] of Unique Inputs],Table_Process_Details[[#This Row],[Table Row]]))</f>
        <v>6.9901025556863547E-2</v>
      </c>
      <c r="CN31" s="22">
        <f ca="1">SUM(OFFSET(Table_Process_Details['[Physical Mass per kg API'] of Unique Inputs Sorted by '[Physical Mass per kg API']],0,0,Table_Process_Details[[#This Row],[Table Row]]))</f>
        <v>147.50328355018144</v>
      </c>
      <c r="CO31" s="22" t="str">
        <f ca="1">"("&amp;TEXT(Table_Process_Details[[#This Row],['[Physical Mass per kg API'] of Unique Inputs Sorted by '[Physical Mass per kg API']]]/SUMIF(Table_Process_Details['[Physical Mass per kg API'] of Unique Inputs Sorted by '[Physical Mass per kg API']],"&lt;&gt;#N/A"),"0%")&amp;")"</f>
        <v>(0%)</v>
      </c>
      <c r="CP31" s="22">
        <f ca="1">INDEX(Table_Process_Details[Total '[Physical Mass per kg API'] of Unique Inputs (REAGENT)],MATCH(Table_Process_Details[[#This Row],[Unique Inputs Sorted by '[Physical Mass per kg API']]],Table_Process_Details[Unique Process Inputs],0))</f>
        <v>6.9901025556863547E-2</v>
      </c>
      <c r="CQ31" s="22">
        <f ca="1">INDEX(Table_Process_Details[Total '[Physical Mass per kg API'] of Unique Inputs (METAL)],MATCH(Table_Process_Details[[#This Row],[Unique Inputs Sorted by '[Physical Mass per kg API']]],Table_Process_Details[Unique Process Inputs],0))</f>
        <v>0</v>
      </c>
      <c r="CR31" s="22">
        <f ca="1">INDEX(Table_Process_Details[Total '[Physical Mass per kg API'] of Unique Inputs (SOLVENT)],MATCH(Table_Process_Details[[#This Row],[Unique Inputs Sorted by '[Physical Mass per kg API']]],Table_Process_Details[Unique Process Inputs],0))</f>
        <v>0</v>
      </c>
      <c r="CS31" s="22">
        <f ca="1">INDEX(Table_Process_Details[Total '[Physical Mass per kg API'] of Unique Inputs (WATER)],MATCH(Table_Process_Details[[#This Row],[Unique Inputs Sorted by '[Physical Mass per kg API']]],Table_Process_Details[Unique Process Inputs],0))</f>
        <v>0</v>
      </c>
      <c r="CT31" s="22">
        <f ca="1">INDEX(Table_Process_Details[Total '[Physical Mass per kg API'] of Unique Inputs (ENZ&amp;PLNT)],MATCH(Table_Process_Details[[#This Row],[Unique Inputs Sorted by '[Physical Mass per kg API']]],Table_Process_Details[Unique Process Inputs],0))</f>
        <v>0</v>
      </c>
      <c r="CU31" s="22">
        <f ca="1">INDEX(Table_Process_Details[Total '[Physical Mass per kg API'] of Unique Inputs (OTHER)],MATCH(Table_Process_Details[[#This Row],[Unique Inputs Sorted by '[Physical Mass per kg API']]],Table_Process_Details[Unique Process Inputs],0))</f>
        <v>0</v>
      </c>
      <c r="CV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1.7888441241677699</v>
      </c>
      <c r="CW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1.7888441241677699</v>
      </c>
      <c r="CZ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1" s="22">
        <f ca="1">SUMIFS(Table_Process_Details[RV Mass Net (kg) per kg API],Table_Process_Details[Display Name],Table_Process_Details[[#This Row],[Unique Process Inputs]],Table_Process_Details[Input or Output],"Input")</f>
        <v>0</v>
      </c>
      <c r="DD31" s="22">
        <f ca="1">SUMIFS(Table_Process_Details[RV Mass Net (kg) per kg API (REAGENT)],Table_Process_Details[Display Name],Table_Process_Details[[#This Row],[Unique Process Inputs]],Table_Process_Details[Input or Output],"Input")</f>
        <v>0</v>
      </c>
      <c r="DE31" s="22">
        <f ca="1">SUMIFS(Table_Process_Details[RV Mass Net (kg) per kg API (METAL)],Table_Process_Details[Display Name],Table_Process_Details[[#This Row],[Unique Process Inputs]],Table_Process_Details[Input or Output],"Input")</f>
        <v>0</v>
      </c>
      <c r="DF31" s="22">
        <f ca="1">SUMIFS(Table_Process_Details[RV Mass Net (kg) per kg API (SOLVENT)],Table_Process_Details[Display Name],Table_Process_Details[[#This Row],[Unique Process Inputs]],Table_Process_Details[Input or Output],"Input")</f>
        <v>0</v>
      </c>
      <c r="DG31" s="22">
        <f ca="1">SUMIFS(Table_Process_Details[RV Mass Net (kg) per kg API (WATER)],Table_Process_Details[Display Name],Table_Process_Details[[#This Row],[Unique Process Inputs]],Table_Process_Details[Input or Output],"Input")</f>
        <v>0</v>
      </c>
      <c r="DH31" s="22">
        <f ca="1">SUMIFS(Table_Process_Details[RV Mass Net (kg) per kg API (ENZ&amp;PLNT)],Table_Process_Details[Display Name],Table_Process_Details[[#This Row],[Unique Process Inputs]],Table_Process_Details[Input or Output],"Input")</f>
        <v>0</v>
      </c>
      <c r="DI31" s="22">
        <f ca="1">SUMIFS(Table_Process_Details[RV Mass Net (kg) per kg API (OTHER)],Table_Process_Details[Display Name],Table_Process_Details[[#This Row],[Unique Process Inputs]],Table_Process_Details[Input or Output],"Input")</f>
        <v>0</v>
      </c>
      <c r="DJ31" s="22" t="str">
        <f ca="1">INDEX(Table_Process_Details[Unique Process Inputs],MATCH(Table_Process_Details[[#This Row],['[Mass Net (kg) per kg API'] of Unique Inputs Sorted by '[Mass Net (kg) per kg API']]],Table_Process_Details[Total '[Mass Net (kg) per kg API'] of Unique Inputs],0))</f>
        <v>0.1 M reagent G (inorganic) in water</v>
      </c>
      <c r="DK31" s="22">
        <f ca="1">IF(LARGE(Table_Process_Details[Total '[Mass Net (kg) per kg API'] of Unique Inputs],Table_Process_Details[[#This Row],[Table Row]])=0,NA(),LARGE(Table_Process_Details[Total '[Mass Net (kg) per kg API'] of Unique Inputs],Table_Process_Details[[#This Row],[Table Row]]))</f>
        <v>3.1671760636220715E-2</v>
      </c>
      <c r="DL31" s="22">
        <f ca="1">SUM(OFFSET(Table_Process_Details['[Mass Net (kg) per kg API'] of Unique Inputs Sorted by '[Mass Net (kg) per kg API']],0,0,Table_Process_Details[[#This Row],[Table Row]]))</f>
        <v>127.05884686922853</v>
      </c>
      <c r="DM31" s="22" t="str">
        <f ca="1">"("&amp;TEXT(Table_Process_Details[[#This Row],['[Mass Net (kg) per kg API'] of Unique Inputs Sorted by '[Mass Net (kg) per kg API']]]/SUMIF(Table_Process_Details['[Mass Net (kg) per kg API'] of Unique Inputs Sorted by '[Mass Net (kg) per kg API']],"&lt;&gt;#N/A"),"0%")&amp;")"</f>
        <v>(0%)</v>
      </c>
      <c r="DN31" s="22">
        <f ca="1">INDEX(Table_Process_Details[Total '[Mass Net (kg) per kg API'] of Unique Inputs (REAGENT)], MATCH(Table_Process_Details[[#This Row],[Unique Inputs Sorted by '[Mass Net (kg) per kg API']]],Table_Process_Details[Unique Process Inputs],0))</f>
        <v>2.5282606264579625E-2</v>
      </c>
      <c r="DO31" s="22">
        <f ca="1">INDEX(Table_Process_Details[Total '[Mass Net (kg) per kg API'] of Unique Inputs (METAL)], MATCH(Table_Process_Details[[#This Row],[Unique Inputs Sorted by '[Mass Net (kg) per kg API']]],Table_Process_Details[Unique Process Inputs],0))</f>
        <v>0</v>
      </c>
      <c r="DP31" s="22">
        <f ca="1">INDEX(Table_Process_Details[Total '[Mass Net (kg) per kg API'] of Unique Inputs (SOLVENT)], MATCH(Table_Process_Details[[#This Row],[Unique Inputs Sorted by '[Mass Net (kg) per kg API']]],Table_Process_Details[Unique Process Inputs],0))</f>
        <v>0</v>
      </c>
      <c r="DQ31" s="22">
        <f ca="1">INDEX(Table_Process_Details[Total '[Mass Net (kg) per kg API'] of Unique Inputs (WATER)], MATCH(Table_Process_Details[[#This Row],[Unique Inputs Sorted by '[Mass Net (kg) per kg API']]],Table_Process_Details[Unique Process Inputs],0))</f>
        <v>6.3891543716410879E-3</v>
      </c>
      <c r="DR31" s="22">
        <f ca="1">INDEX(Table_Process_Details[Total '[Mass Net (kg) per kg API'] of Unique Inputs (ENZ&amp;PLNT)], MATCH(Table_Process_Details[[#This Row],[Unique Inputs Sorted by '[Mass Net (kg) per kg API']]],Table_Process_Details[Unique Process Inputs],0))</f>
        <v>0</v>
      </c>
      <c r="DS31" s="22">
        <f ca="1">INDEX(Table_Process_Details[Total '[Mass Net (kg) per kg API'] of Unique Inputs (OTHER)], MATCH(Table_Process_Details[[#This Row],[Unique Inputs Sorted by '[Mass Net (kg) per kg API']]],Table_Process_Details[Unique Process Inputs],0))</f>
        <v>0</v>
      </c>
      <c r="DT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76.190504762757868</v>
      </c>
      <c r="DU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76.190504762757868</v>
      </c>
      <c r="DX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1" s="1">
        <f ca="1">SUMIFS(Table_Process_Details[RV Energy (MJ) per kg API],Table_Process_Details[Display Name],Table_Process_Details[[#This Row],[Unique Process Inputs]],Table_Process_Details[Input or Output],"Input")</f>
        <v>0</v>
      </c>
      <c r="EB31" s="1">
        <f ca="1">SUMIFS(Table_Process_Details[RV Energy (MJ) per kg API (REAGENT)],Table_Process_Details[Display Name],Table_Process_Details[[#This Row],[Unique Process Inputs]],Table_Process_Details[Input or Output],"Input")</f>
        <v>0</v>
      </c>
      <c r="EC31" s="1">
        <f ca="1">SUMIFS(Table_Process_Details[RV Energy (MJ) per kg API (METAL)],Table_Process_Details[Display Name],Table_Process_Details[[#This Row],[Unique Process Inputs]],Table_Process_Details[Input or Output],"Input")</f>
        <v>0</v>
      </c>
      <c r="ED31" s="1">
        <f ca="1">SUMIFS(Table_Process_Details[RV Energy (MJ) per kg API (SOLVENT)],Table_Process_Details[Display Name],Table_Process_Details[[#This Row],[Unique Process Inputs]],Table_Process_Details[Input or Output],"Input")</f>
        <v>0</v>
      </c>
      <c r="EE31" s="1">
        <f ca="1">SUMIFS(Table_Process_Details[RV Energy (MJ) per kg API (WATER)],Table_Process_Details[Display Name],Table_Process_Details[[#This Row],[Unique Process Inputs]],Table_Process_Details[Input or Output],"Input")</f>
        <v>0</v>
      </c>
      <c r="EF31" s="1">
        <f ca="1">SUMIFS(Table_Process_Details[RV Energy (MJ) per kg API (ENZ&amp;PLNT)],Table_Process_Details[Display Name],Table_Process_Details[[#This Row],[Unique Process Inputs]],Table_Process_Details[Input or Output],"Input")</f>
        <v>0</v>
      </c>
      <c r="EG31" s="1">
        <f ca="1">SUMIFS(Table_Process_Details[RV Energy (MJ) per kg API (OTHER)],Table_Process_Details[Display Name],Table_Process_Details[[#This Row],[Unique Process Inputs]],Table_Process_Details[Input or Output],"Input")</f>
        <v>0</v>
      </c>
      <c r="EH31" s="1" t="str">
        <f ca="1">INDEX(Table_Process_Details[Unique Process Inputs],MATCH(Table_Process_Details[[#This Row],['[Energy (MJ) per kg API'] of Unique Inputs Sorted by '[Energy (MJ) per kg API']]],Table_Process_Details[Total '[Energy (MJ) per kg API'] of Unique Inputs],0))</f>
        <v>0.1 M reagent G (inorganic) in water</v>
      </c>
      <c r="EI31" s="22">
        <f ca="1">IF(LARGE(Table_Process_Details[Total '[Energy (MJ) per kg API'] of Unique Inputs],Table_Process_Details[[#This Row],[Table Row]])=0,NA(),LARGE(Table_Process_Details[Total '[Energy (MJ) per kg API'] of Unique Inputs],Table_Process_Details[[#This Row],[Table Row]]))</f>
        <v>0.28013441192474864</v>
      </c>
      <c r="EJ31" s="22">
        <f ca="1">SUM(OFFSET(Table_Process_Details['[Energy (MJ) per kg API'] of Unique Inputs Sorted by '[Energy (MJ) per kg API']],0,0,Table_Process_Details[[#This Row],[Table Row]]))</f>
        <v>5064.5191270810865</v>
      </c>
      <c r="EK31" s="22" t="str">
        <f ca="1">"("&amp;TEXT(Table_Process_Details[[#This Row],['[Energy (MJ) per kg API'] of Unique Inputs Sorted by '[Energy (MJ) per kg API']]]/SUMIF(Table_Process_Details['[Energy (MJ) per kg API'] of Unique Inputs Sorted by '[Energy (MJ) per kg API']],"&lt;&gt;#N/A"),"0%")&amp;")"</f>
        <v>(0%)</v>
      </c>
      <c r="EL31" s="22">
        <f ca="1">INDEX(Table_Process_Details[Total '[Energy (MJ) per kg API'] of Unique Inputs (REAGENT)], MATCH(Table_Process_Details[[#This Row],[Unique Inputs Sorted by '[Energy (MJ) per kg API']]],Table_Process_Details[Unique Process Inputs],0))</f>
        <v>0.20056276462125477</v>
      </c>
      <c r="EM31" s="22">
        <f ca="1">INDEX(Table_Process_Details[Total '[Energy (MJ) per kg API'] of Unique Inputs (METAL)], MATCH(Table_Process_Details[[#This Row],[Unique Inputs Sorted by '[Energy (MJ) per kg API']]],Table_Process_Details[Unique Process Inputs],0))</f>
        <v>0</v>
      </c>
      <c r="EN31" s="22">
        <f ca="1">INDEX(Table_Process_Details[Total '[Energy (MJ) per kg API'] of Unique Inputs (SOLVENT)], MATCH(Table_Process_Details[[#This Row],[Unique Inputs Sorted by '[Energy (MJ) per kg API']]],Table_Process_Details[Unique Process Inputs],0))</f>
        <v>0</v>
      </c>
      <c r="EO31" s="22">
        <f ca="1">INDEX(Table_Process_Details[Total '[Energy (MJ) per kg API'] of Unique Inputs (WATER)], MATCH(Table_Process_Details[[#This Row],[Unique Inputs Sorted by '[Energy (MJ) per kg API']]],Table_Process_Details[Unique Process Inputs],0))</f>
        <v>7.957164730349385E-2</v>
      </c>
      <c r="EP31" s="22">
        <f ca="1">INDEX(Table_Process_Details[Total '[Energy (MJ) per kg API'] of Unique Inputs (ENZ&amp;PLNT)], MATCH(Table_Process_Details[[#This Row],[Unique Inputs Sorted by '[Energy (MJ) per kg API']]],Table_Process_Details[Unique Process Inputs],0))</f>
        <v>0</v>
      </c>
      <c r="EQ31" s="22">
        <f ca="1">INDEX(Table_Process_Details[Total '[Energy (MJ) per kg API'] of Unique Inputs (OTHER)], MATCH(Table_Process_Details[[#This Row],[Unique Inputs Sorted by '[Energy (MJ) per kg API']]],Table_Process_Details[Unique Process Inputs],0))</f>
        <v>0</v>
      </c>
      <c r="ER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2.6789030278742891</v>
      </c>
      <c r="ES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2.6789030278742891</v>
      </c>
      <c r="EV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1" s="22">
        <f ca="1">SUMIFS(Table_Process_Details[RV GWP (kg CO2 equiv.) per kg API],Table_Process_Details[Display Name],Table_Process_Details[[#This Row],[Unique Process Inputs]],Table_Process_Details[Input or Output],"Input")</f>
        <v>0</v>
      </c>
      <c r="EZ31" s="1">
        <f ca="1">SUMIFS(Table_Process_Details[RV GWP (kg CO2 equiv.) per kg API (REAGENT)],Table_Process_Details[Display Name],Table_Process_Details[[#This Row],[Unique Process Inputs]],Table_Process_Details[Input or Output],"Input")</f>
        <v>0</v>
      </c>
      <c r="FA31" s="1">
        <f ca="1">SUMIFS(Table_Process_Details[RV GWP (kg CO2 equiv.) per kg API (METAL)],Table_Process_Details[Display Name],Table_Process_Details[[#This Row],[Unique Process Inputs]],Table_Process_Details[Input or Output],"Input")</f>
        <v>0</v>
      </c>
      <c r="FB31" s="1">
        <f ca="1">SUMIFS(Table_Process_Details[RV GWP (kg CO2 equiv.) per kg API (SOLVENT)],Table_Process_Details[Display Name],Table_Process_Details[[#This Row],[Unique Process Inputs]],Table_Process_Details[Input or Output],"Input")</f>
        <v>0</v>
      </c>
      <c r="FC31" s="1">
        <f ca="1">SUMIFS(Table_Process_Details[RV GWP (kg CO2 equiv.) per kg API (WATER)],Table_Process_Details[Display Name],Table_Process_Details[[#This Row],[Unique Process Inputs]],Table_Process_Details[Input or Output],"Input")</f>
        <v>0</v>
      </c>
      <c r="FD31" s="1">
        <f ca="1">SUMIFS(Table_Process_Details[RV GWP (kg CO2 equiv.) per kg API (ENZ&amp;PLNT)],Table_Process_Details[Display Name],Table_Process_Details[[#This Row],[Unique Process Inputs]],Table_Process_Details[Input or Output],"Input")</f>
        <v>0</v>
      </c>
      <c r="FE31" s="1">
        <f ca="1">SUMIFS(Table_Process_Details[RV GWP (kg CO2 equiv.) per kg API (OTHER)],Table_Process_Details[Display Name],Table_Process_Details[[#This Row],[Unique Process Inputs]],Table_Process_Details[Input or Output],"Input")</f>
        <v>0</v>
      </c>
      <c r="FF31" s="22" t="str">
        <f ca="1">INDEX(Table_Process_Details[Unique Process Inputs],MATCH(Table_Process_Details[[#This Row],['[GWP (kg CO2 equiv.) per kg API'] of Unique Inputs Sorted by '[GWP (kg CO2 equiv.) per kg API']]],Table_Process_Details[Total '[GWP (kg CO2 equiv.) per kg API'] of Unique Inputs],0))</f>
        <v>0.1 M reagent G (inorganic) in water</v>
      </c>
      <c r="FG31" s="22">
        <f ca="1">IF(LARGE(Table_Process_Details[Total '[GWP (kg CO2 equiv.) per kg API'] of Unique Inputs],Table_Process_Details[[#This Row],[Table Row]])=0,NA(),LARGE(Table_Process_Details[Total '[GWP (kg CO2 equiv.) per kg API'] of Unique Inputs],Table_Process_Details[[#This Row],[Table Row]]))</f>
        <v>3.0380115878349139E-2</v>
      </c>
      <c r="FH31" s="22">
        <f ca="1">SUM(OFFSET(Table_Process_Details['[GWP (kg CO2 equiv.) per kg API'] of Unique Inputs Sorted by '[GWP (kg CO2 equiv.) per kg API']],0,0,Table_Process_Details[[#This Row],[Table Row]]))</f>
        <v>156.47907780631573</v>
      </c>
      <c r="FI31" s="22" t="str">
        <f ca="1">"("&amp;TEXT(Table_Process_Details[[#This Row],['[GWP (kg CO2 equiv.) per kg API'] of Unique Inputs Sorted by '[GWP (kg CO2 equiv.) per kg API']]]/SUMIF(Table_Process_Details['[GWP (kg CO2 equiv.) per kg API'] of Unique Inputs Sorted by '[GWP (kg CO2 equiv.) per kg API']],"&lt;&gt;#N/A"),"0%")&amp;")"</f>
        <v>(0%)</v>
      </c>
      <c r="FJ31" s="22">
        <f ca="1">INDEX(Table_Process_Details[Total '[GWP (kg CO2 equiv.) per kg API'] of Unique Inputs (REAGENT)], MATCH(Table_Process_Details[[#This Row],[Unique Inputs Sorted by '[GWP (kg CO2 equiv.) per kg API']]],Table_Process_Details[Unique Process Inputs],0))</f>
        <v>2.6139196058916875E-2</v>
      </c>
      <c r="FK31" s="22">
        <f ca="1">INDEX(Table_Process_Details[Total '[GWP (kg CO2 equiv.) per kg API'] of Unique Inputs (METAL)], MATCH(Table_Process_Details[[#This Row],[Unique Inputs Sorted by '[GWP (kg CO2 equiv.) per kg API']]],Table_Process_Details[Unique Process Inputs],0))</f>
        <v>0</v>
      </c>
      <c r="FL31" s="22">
        <f ca="1">INDEX(Table_Process_Details[Total '[GWP (kg CO2 equiv.) per kg API'] of Unique Inputs (SOLVENT)], MATCH(Table_Process_Details[[#This Row],[Unique Inputs Sorted by '[GWP (kg CO2 equiv.) per kg API']]],Table_Process_Details[Unique Process Inputs],0))</f>
        <v>0</v>
      </c>
      <c r="FM31" s="22">
        <f ca="1">INDEX(Table_Process_Details[Total '[GWP (kg CO2 equiv.) per kg API'] of Unique Inputs (WATER)], MATCH(Table_Process_Details[[#This Row],[Unique Inputs Sorted by '[GWP (kg CO2 equiv.) per kg API']]],Table_Process_Details[Unique Process Inputs],0))</f>
        <v>4.2409198194322661E-3</v>
      </c>
      <c r="FN31" s="22">
        <f ca="1">INDEX(Table_Process_Details[Total '[GWP (kg CO2 equiv.) per kg API'] of Unique Inputs (ENZ&amp;PLNT)], MATCH(Table_Process_Details[[#This Row],[Unique Inputs Sorted by '[GWP (kg CO2 equiv.) per kg API']]],Table_Process_Details[Unique Process Inputs],0))</f>
        <v>0</v>
      </c>
      <c r="FO31" s="22">
        <f ca="1">INDEX(Table_Process_Details[Total '[GWP (kg CO2 equiv.) per kg API'] of Unique Inputs (OTHER)], MATCH(Table_Process_Details[[#This Row],[Unique Inputs Sorted by '[GWP (kg CO2 equiv.) per kg API']]],Table_Process_Details[Unique Process Inputs],0))</f>
        <v>0</v>
      </c>
      <c r="FP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1.2390629610318333E-2</v>
      </c>
      <c r="FQ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1.2390629610318333E-2</v>
      </c>
      <c r="FT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1" s="22">
        <f ca="1">SUMIFS(Table_Process_Details[RV Acidification (kg SO2 equiv.) per kg API],Table_Process_Details[Display Name],Table_Process_Details[[#This Row],[Unique Process Inputs]],Table_Process_Details[Input or Output],"Input")</f>
        <v>0</v>
      </c>
      <c r="FX31" s="1">
        <f ca="1">SUMIFS(Table_Process_Details[RV Acidification (kg SO2 equiv.) per kg API (REAGENT)],Table_Process_Details[Display Name],Table_Process_Details[[#This Row],[Unique Process Inputs]],Table_Process_Details[Input or Output],"Input")</f>
        <v>0</v>
      </c>
      <c r="FY31" s="1">
        <f ca="1">SUMIFS(Table_Process_Details[RV Acidification (kg SO2 equiv.) per kg API (METAL)],Table_Process_Details[Display Name],Table_Process_Details[[#This Row],[Unique Process Inputs]],Table_Process_Details[Input or Output],"Input")</f>
        <v>0</v>
      </c>
      <c r="FZ31" s="1">
        <f ca="1">SUMIFS(Table_Process_Details[RV Acidification (kg SO2 equiv.) per kg API (SOLVENT)],Table_Process_Details[Display Name],Table_Process_Details[[#This Row],[Unique Process Inputs]],Table_Process_Details[Input or Output],"Input")</f>
        <v>0</v>
      </c>
      <c r="GA31" s="1">
        <f ca="1">SUMIFS(Table_Process_Details[RV Acidification (kg SO2 equiv.) per kg API (WATER)],Table_Process_Details[Display Name],Table_Process_Details[[#This Row],[Unique Process Inputs]],Table_Process_Details[Input or Output],"Input")</f>
        <v>0</v>
      </c>
      <c r="GB31" s="1">
        <f ca="1">SUMIFS(Table_Process_Details[RV Acidification (kg SO2 equiv.) per kg API (ENZ&amp;PLNT)],Table_Process_Details[Display Name],Table_Process_Details[[#This Row],[Unique Process Inputs]],Table_Process_Details[Input or Output],"Input")</f>
        <v>0</v>
      </c>
      <c r="GC31" s="1">
        <f ca="1">SUMIFS(Table_Process_Details[RV Acidification (kg SO2 equiv.) per kg API (OTHER)],Table_Process_Details[Display Name],Table_Process_Details[[#This Row],[Unique Process Inputs]],Table_Process_Details[Input or Output],"Input")</f>
        <v>0</v>
      </c>
      <c r="GD31"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0.1 M reagent G (inorganic) in water</v>
      </c>
      <c r="GE31" s="22">
        <f ca="1">IF(LARGE(Table_Process_Details[Total '[Acidification (kg SO2 equiv.) per kg API'] of Unique Inputs],Table_Process_Details[[#This Row],[Table Row]])=0,NA(),LARGE(Table_Process_Details[Total '[Acidification (kg SO2 equiv.) per kg API'] of Unique Inputs],Table_Process_Details[[#This Row],[Table Row]]))</f>
        <v>2.7850736669307477E-4</v>
      </c>
      <c r="GF31" s="22">
        <f ca="1">SUM(OFFSET(Table_Process_Details['[Acidification (kg SO2 equiv.) per kg API'] of Unique Inputs Sorted by '[Acidification (kg SO2 equiv.) per kg API']],0,0,Table_Process_Details[[#This Row],[Table Row]]))</f>
        <v>0.65511242773921141</v>
      </c>
      <c r="GG31"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1" s="22">
        <f ca="1">INDEX(Table_Process_Details[Total '[Acidification (kg SO2 equiv.) per kg API'] of Unique Inputs (REAGENT)], MATCH(Table_Process_Details[[#This Row],[Unique Inputs Sorted by '[Acidification (kg SO2 equiv.) per kg API']]],Table_Process_Details[Unique Process Inputs],0))</f>
        <v>2.6225987095347518E-4</v>
      </c>
      <c r="GI31" s="22">
        <f ca="1">INDEX(Table_Process_Details[Total '[Acidification (kg SO2 equiv.) per kg API'] of Unique Inputs (METAL)], MATCH(Table_Process_Details[[#This Row],[Unique Inputs Sorted by '[Acidification (kg SO2 equiv.) per kg API']]],Table_Process_Details[Unique Process Inputs],0))</f>
        <v>0</v>
      </c>
      <c r="GJ31" s="22">
        <f ca="1">INDEX(Table_Process_Details[Total '[Acidification (kg SO2 equiv.) per kg API'] of Unique Inputs (SOLVENT)], MATCH(Table_Process_Details[[#This Row],[Unique Inputs Sorted by '[Acidification (kg SO2 equiv.) per kg API']]],Table_Process_Details[Unique Process Inputs],0))</f>
        <v>0</v>
      </c>
      <c r="GK31" s="22">
        <f ca="1">INDEX(Table_Process_Details[Total '[Acidification (kg SO2 equiv.) per kg API'] of Unique Inputs (WATER)], MATCH(Table_Process_Details[[#This Row],[Unique Inputs Sorted by '[Acidification (kg SO2 equiv.) per kg API']]],Table_Process_Details[Unique Process Inputs],0))</f>
        <v>1.6247495739599621E-5</v>
      </c>
      <c r="GL31" s="22">
        <f ca="1">INDEX(Table_Process_Details[Total '[Acidification (kg SO2 equiv.) per kg API'] of Unique Inputs (ENZ&amp;PLNT)], MATCH(Table_Process_Details[[#This Row],[Unique Inputs Sorted by '[Acidification (kg SO2 equiv.) per kg API']]],Table_Process_Details[Unique Process Inputs],0))</f>
        <v>0</v>
      </c>
      <c r="GM31" s="22">
        <f ca="1">INDEX(Table_Process_Details[Total '[Acidification (kg SO2 equiv.) per kg API'] of Unique Inputs (OTHER)], MATCH(Table_Process_Details[[#This Row],[Unique Inputs Sorted by '[Acidification (kg SO2 equiv.) per kg API']]],Table_Process_Details[Unique Process Inputs],0))</f>
        <v>0</v>
      </c>
      <c r="GN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7.3010767220584452E-3</v>
      </c>
      <c r="GO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7.3010767220584452E-3</v>
      </c>
      <c r="GR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1" s="22">
        <f ca="1">SUMIFS(Table_Process_Details[RV Eutrophication (kg phosphate equiv.) per kg API],Table_Process_Details[Display Name],Table_Process_Details[[#This Row],[Unique Process Inputs]],Table_Process_Details[Input or Output],"Input")</f>
        <v>0</v>
      </c>
      <c r="GV31" s="1">
        <f ca="1">SUMIFS(Table_Process_Details[RV Eutrophication (kg phosphate equiv.) per kg API (REAGENT)],Table_Process_Details[Display Name],Table_Process_Details[[#This Row],[Unique Process Inputs]],Table_Process_Details[Input or Output],"Input")</f>
        <v>0</v>
      </c>
      <c r="GW31" s="1">
        <f ca="1">SUMIFS(Table_Process_Details[RV Eutrophication (kg phosphate equiv.) per kg API (METAL)],Table_Process_Details[Display Name],Table_Process_Details[[#This Row],[Unique Process Inputs]],Table_Process_Details[Input or Output],"Input")</f>
        <v>0</v>
      </c>
      <c r="GX31" s="1">
        <f ca="1">SUMIFS(Table_Process_Details[RV Eutrophication (kg phosphate equiv.) per kg API (SOLVENT)],Table_Process_Details[Display Name],Table_Process_Details[[#This Row],[Unique Process Inputs]],Table_Process_Details[Input or Output],"Input")</f>
        <v>0</v>
      </c>
      <c r="GY31" s="1">
        <f ca="1">SUMIFS(Table_Process_Details[RV Eutrophication (kg phosphate equiv.) per kg API (WATER)],Table_Process_Details[Display Name],Table_Process_Details[[#This Row],[Unique Process Inputs]],Table_Process_Details[Input or Output],"Input")</f>
        <v>0</v>
      </c>
      <c r="GZ31" s="1">
        <f ca="1">SUMIFS(Table_Process_Details[RV Eutrophication (kg phosphate equiv.) per kg API (ENZ&amp;PLNT)],Table_Process_Details[Display Name],Table_Process_Details[[#This Row],[Unique Process Inputs]],Table_Process_Details[Input or Output],"Input")</f>
        <v>0</v>
      </c>
      <c r="HA31" s="1">
        <f ca="1">SUMIFS(Table_Process_Details[RV Eutrophication (kg phosphate equiv.) per kg API (OTHER)],Table_Process_Details[Display Name],Table_Process_Details[[#This Row],[Unique Process Inputs]],Table_Process_Details[Input or Output],"Input")</f>
        <v>0</v>
      </c>
      <c r="HB31"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25 wt% reagent E (inorganic) in water</v>
      </c>
      <c r="HC31" s="22">
        <f ca="1">IF(LARGE(Table_Process_Details[Total '[Eutrophication (kg posphate equiv.) per kg API'] of Unique Inputs],Table_Process_Details[[#This Row],[Table Row]])=0,NA(),LARGE(Table_Process_Details[Total '[Eutrophication (kg posphate equiv.) per kg API'] of Unique Inputs],Table_Process_Details[[#This Row],[Table Row]]))</f>
        <v>2.4708422572600136E-5</v>
      </c>
      <c r="HD31" s="22">
        <f ca="1">SUM(OFFSET(Table_Process_Details['[Eutrophication (kg posphate equiv.) per kg API'] of Unique Inputs Sorted by '[Eutrophication (kg posphate equiv.) per kg API']],0,0,Table_Process_Details[[#This Row],[Table Row]]))</f>
        <v>1.375684082207111</v>
      </c>
      <c r="HE31"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1" s="1">
        <f ca="1">INDEX(Table_Process_Details[Total '[Eutrophication (kg posphate equiv.) per kg API'] of Unique Inputs (REAGENT)], MATCH(Table_Process_Details[[#This Row],[Unique Inputs Sorted by '[Eutrophication (kg posphate equiv.) per kg API']]],Table_Process_Details[Unique Process Inputs],0))</f>
        <v>2.4465358944888468E-5</v>
      </c>
      <c r="HG31" s="1">
        <f ca="1">INDEX(Table_Process_Details[Total '[Eutrophication (kg posphate equiv.) per kg API'] of Unique Inputs (METAL)], MATCH(Table_Process_Details[[#This Row],[Unique Inputs Sorted by '[Eutrophication (kg posphate equiv.) per kg API']]],Table_Process_Details[Unique Process Inputs],0))</f>
        <v>0</v>
      </c>
      <c r="HH31" s="1">
        <f ca="1">INDEX(Table_Process_Details[Total '[Eutrophication (kg posphate equiv.) per kg API'] of Unique Inputs (SOLVENT)], MATCH(Table_Process_Details[[#This Row],[Unique Inputs Sorted by '[Eutrophication (kg posphate equiv.) per kg API']]],Table_Process_Details[Unique Process Inputs],0))</f>
        <v>0</v>
      </c>
      <c r="HI31" s="1">
        <f ca="1">INDEX(Table_Process_Details[Total '[Eutrophication (kg posphate equiv.) per kg API'] of Unique Inputs (WATER)], MATCH(Table_Process_Details[[#This Row],[Unique Inputs Sorted by '[Eutrophication (kg posphate equiv.) per kg API']]],Table_Process_Details[Unique Process Inputs],0))</f>
        <v>2.4306362771167172E-7</v>
      </c>
      <c r="HJ31" s="1">
        <f ca="1">INDEX(Table_Process_Details[Total '[Eutrophication (kg posphate equiv.) per kg API'] of Unique Inputs (ENZ&amp;PLNT)], MATCH(Table_Process_Details[[#This Row],[Unique Inputs Sorted by '[Eutrophication (kg posphate equiv.) per kg API']]],Table_Process_Details[Unique Process Inputs],0))</f>
        <v>0</v>
      </c>
      <c r="HK31" s="1">
        <f ca="1">INDEX(Table_Process_Details[Total '[Eutrophication (kg posphate equiv.) per kg API'] of Unique Inputs (OTHER)], MATCH(Table_Process_Details[[#This Row],[Unique Inputs Sorted by '[Eutrophication (kg posphate equiv.) per kg API']]],Table_Process_Details[Unique Process Inputs],0))</f>
        <v>0</v>
      </c>
      <c r="HL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10.498049062882622</v>
      </c>
      <c r="HM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10.498049062882622</v>
      </c>
      <c r="HP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1" s="1">
        <f ca="1">SUMIFS(Table_Process_Details[RV Water (kg) per kg API],Table_Process_Details[Display Name],Table_Process_Details[[#This Row],[Unique Process Inputs]],Table_Process_Details[Input or Output],"Input")</f>
        <v>0</v>
      </c>
      <c r="HT31" s="1">
        <f ca="1">SUMIFS(Table_Process_Details[RV Water (kg) per kg API (REAGENT)],Table_Process_Details[Display Name],Table_Process_Details[[#This Row],[Unique Process Inputs]],Table_Process_Details[Input or Output],"Input")</f>
        <v>0</v>
      </c>
      <c r="HU31" s="1">
        <f ca="1">SUMIFS(Table_Process_Details[RV Water (kg) per kg API (METAL)],Table_Process_Details[Display Name],Table_Process_Details[[#This Row],[Unique Process Inputs]],Table_Process_Details[Input or Output],"Input")</f>
        <v>0</v>
      </c>
      <c r="HV31" s="1">
        <f ca="1">SUMIFS(Table_Process_Details[RV Water (kg) per kg API (SOLVENT)],Table_Process_Details[Display Name],Table_Process_Details[[#This Row],[Unique Process Inputs]],Table_Process_Details[Input or Output],"Input")</f>
        <v>0</v>
      </c>
      <c r="HW31" s="1">
        <f ca="1">SUMIFS(Table_Process_Details[RV Water (kg) per kg API (WATER)],Table_Process_Details[Display Name],Table_Process_Details[[#This Row],[Unique Process Inputs]],Table_Process_Details[Input or Output],"Input")</f>
        <v>0</v>
      </c>
      <c r="HX31" s="1">
        <f ca="1">SUMIFS(Table_Process_Details[RV Water (kg) per kg API (ENZ&amp;PLNT)],Table_Process_Details[Display Name],Table_Process_Details[[#This Row],[Unique Process Inputs]],Table_Process_Details[Input or Output],"Input")</f>
        <v>0</v>
      </c>
      <c r="HY31" s="1">
        <f ca="1">SUMIFS(Table_Process_Details[RV Water (kg) per kg API (OTHER)],Table_Process_Details[Display Name],Table_Process_Details[[#This Row],[Unique Process Inputs]],Table_Process_Details[Input or Output],"Input")</f>
        <v>0</v>
      </c>
      <c r="HZ31" s="22" t="str">
        <f ca="1">INDEX(Table_Process_Details[Unique Process Inputs],MATCH(Table_Process_Details[[#This Row],['[Water (kg) per kg API'] of Unique Inputs Sorted by '[Water (kg) per kg API']]],Table_Process_Details[Total '[Water (kg) per kg API'] of Unique Inputs],0))</f>
        <v>5 wt% reagent A (organic) in acetonitrile</v>
      </c>
      <c r="IA31" s="22">
        <f ca="1">IF(LARGE(Table_Process_Details[Total '[Water (kg) per kg API'] of Unique Inputs],Table_Process_Details[[#This Row],[Table Row]])=0,NA(),LARGE(Table_Process_Details[Total '[Water (kg) per kg API'] of Unique Inputs],Table_Process_Details[[#This Row],[Table Row]]))</f>
        <v>0.67551279990262048</v>
      </c>
      <c r="IB31" s="1">
        <f ca="1">SUM(OFFSET(Table_Process_Details['[Water (kg) per kg API'] of Unique Inputs Sorted by '[Water (kg) per kg API']],0,0,Table_Process_Details[[#This Row],[Table Row]]))</f>
        <v>890.01070370453635</v>
      </c>
      <c r="IC31" s="1" t="str">
        <f ca="1">"("&amp;TEXT(Table_Process_Details[[#This Row],['[Water (kg) per kg API'] of Unique Inputs Sorted by '[Water (kg) per kg API']]]/SUMIF(Table_Process_Details['[Water (kg) per kg API'] of Unique Inputs Sorted by '[Water (kg) per kg API']],"&lt;&gt;#N/A"),"0%")&amp;")"</f>
        <v>(0%)</v>
      </c>
      <c r="ID31" s="1">
        <f ca="1">INDEX(Table_Process_Details[Total '[Water (kg) per kg API'] of Unique Inputs (REAGENT)], MATCH(Table_Process_Details[[#This Row],[Unique Inputs Sorted by '[Water (kg) per kg API']]],Table_Process_Details[Unique Process Inputs],0))</f>
        <v>4.1088715313657986E-2</v>
      </c>
      <c r="IE31" s="1">
        <f ca="1">INDEX(Table_Process_Details[Total '[Water (kg) per kg API'] of Unique Inputs (METAL)], MATCH(Table_Process_Details[[#This Row],[Unique Inputs Sorted by '[Water (kg) per kg API']]],Table_Process_Details[Unique Process Inputs],0))</f>
        <v>0</v>
      </c>
      <c r="IF31" s="1">
        <f ca="1">INDEX(Table_Process_Details[Total '[Water (kg) per kg API'] of Unique Inputs (SOLVENT)], MATCH(Table_Process_Details[[#This Row],[Unique Inputs Sorted by '[Water (kg) per kg API']]],Table_Process_Details[Unique Process Inputs],0))</f>
        <v>0.63442408458896249</v>
      </c>
      <c r="IG31" s="1">
        <f ca="1">INDEX(Table_Process_Details[Total '[Water (kg) per kg API'] of Unique Inputs (WATER)], MATCH(Table_Process_Details[[#This Row],[Unique Inputs Sorted by '[Water (kg) per kg API']]],Table_Process_Details[Unique Process Inputs],0))</f>
        <v>0</v>
      </c>
      <c r="IH31" s="1">
        <f ca="1">INDEX(Table_Process_Details[Total '[Water (kg) per kg API'] of Unique Inputs (ENZ&amp;PLNT)], MATCH(Table_Process_Details[[#This Row],[Unique Inputs Sorted by '[Water (kg) per kg API']]],Table_Process_Details[Unique Process Inputs],0))</f>
        <v>0</v>
      </c>
      <c r="II31" s="1">
        <f ca="1">INDEX(Table_Process_Details[Total '[Water (kg) per kg API'] of Unique Inputs (OTHER)], MATCH(Table_Process_Details[[#This Row],[Unique Inputs Sorted by '[Water (kg) per kg API']]],Table_Process_Details[Unique Process Inputs],0))</f>
        <v>0</v>
      </c>
    </row>
    <row r="32" spans="1:243" customFormat="1" x14ac:dyDescent="0.25">
      <c r="A32" s="22" t="str">
        <f>A31</f>
        <v>1) Synthesis of Intermediate (1)</v>
      </c>
      <c r="B32" s="21" t="s">
        <v>4</v>
      </c>
      <c r="C32" s="21" t="s">
        <v>6</v>
      </c>
      <c r="D32" s="22" t="s">
        <v>146</v>
      </c>
      <c r="E32" s="22" t="s">
        <v>814</v>
      </c>
      <c r="F32" s="26">
        <v>300</v>
      </c>
      <c r="G32" s="26"/>
      <c r="H32" s="26"/>
      <c r="I32" s="26"/>
      <c r="J32" s="26" t="str">
        <f>INDEX(Process_Steps[Reference],MATCH(Table_Process_Details[[#This Row],[Step Name]],Process_Steps[Name],0))</f>
        <v>Reference Document  for Step 1</v>
      </c>
      <c r="K32" s="27" t="str">
        <f>INDEX(Process_Steps[Real or Virtual?],MATCH(Table_Process_Details[[#This Row],[Step Name]],Process_Steps[Name],0))</f>
        <v>Real</v>
      </c>
      <c r="L3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3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32" s="26">
        <f>INDEX(Table_Process_Details[Physical Mass (kg)],MATCH(1,INDEX(((Table_Process_Details[Step Name]=Table_Process_Details[[#This Row],[Step Name]])*(Table_Process_Details[Input or Output]="Output")),0),0))</f>
        <v>51.020408163265309</v>
      </c>
      <c r="O32" s="29">
        <f ca="1">INDEX(Process_Steps[Step Scale Factor for 1kg Packaged API],MATCH(Table_Process_Details[[#This Row],[Step Name]],Process_Steps[Name],0))</f>
        <v>6.9901025556863543E-3</v>
      </c>
      <c r="P3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6.583333333333333</v>
      </c>
      <c r="Q3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13.583333333333332</v>
      </c>
      <c r="R32" s="26">
        <f ca="1">_xlfn.SWITCH(Run_Reset_PNG,"Reset",Table_Process_Details[[#This Row],[X Init]],"Run",Table_Process_Details[[#This Row],[X Moved]],"Freeze",Table_Process_Details[[#This Row],[X Mover]])</f>
        <v>3.1375306171127635</v>
      </c>
      <c r="S32" s="26">
        <f ca="1">_xlfn.SWITCH(Run_Reset_PNG,"Reset",Table_Process_Details[[#This Row],[Y Init]],"Run",Table_Process_Details[[#This Row],[Y Moved]],"Freeze",Table_Process_Details[[#This Row],[Y Mover]])</f>
        <v>24.94999038313842</v>
      </c>
      <c r="T32" s="26" cm="1">
        <f t="array" aca="1" ref="T3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5.4237287787431319</v>
      </c>
      <c r="U32" s="26" cm="1">
        <f t="array" aca="1" ref="U3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10.113294725666812</v>
      </c>
      <c r="V32" s="26" cm="1">
        <f t="array" aca="1" ref="V32" ca="1">SUM(--(SQRT((Table_Process_Details[[#This Row],[X Mover]]-Table_Process_Details[X Mover])^2+(Table_Process_Details[[#This Row],[Y Mover]]-Table_Process_Details[Y Mover])^2)&lt;Collision_Distance))</f>
        <v>18</v>
      </c>
      <c r="W32" s="26" cm="1">
        <f t="array" aca="1" ref="W3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-0.3208520305884372</v>
      </c>
      <c r="X32" s="26" cm="1">
        <f t="array" aca="1" ref="X3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-0.46374194231885169</v>
      </c>
      <c r="Y32" s="26" cm="1">
        <f t="array" aca="1" ref="Y3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2" s="26">
        <f>0</f>
        <v>0</v>
      </c>
      <c r="AA32" s="26">
        <f>0</f>
        <v>0</v>
      </c>
      <c r="AB3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-1.5687653085563817</v>
      </c>
      <c r="AC32" s="26" cm="1">
        <f t="array" aca="1" ref="AC3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-12.47499519156921</v>
      </c>
      <c r="AD32" s="26">
        <f>MIN(1,COUNTA(Table_Process_Details[[#This Row],[target x]]),COUNTA(Table_Process_Details[[#This Row],[target y]]))*COUNTA(Table_Process_Details[Step Name])</f>
        <v>98</v>
      </c>
      <c r="AE3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3.1019890427390724</v>
      </c>
      <c r="AF3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24.920802278499334</v>
      </c>
      <c r="AG3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2" s="26" cm="1">
        <f t="array" aca="1" ref="AH32" ca="1">INDEX(Table_Process_Details[X Mover],MATCH(1,INDEX((Table_Process_Details[Input or Output]="Output")*(Table_Process_Details[Step Name]=Table_Process_Details[[#This Row],[Step Name]])*(Table_Process_Details[[#This Row],[Input or Output]]="Input"),0),0))</f>
        <v>0.78891624628593393</v>
      </c>
      <c r="AI32" s="26" cm="1">
        <f t="array" aca="1" ref="AI32" ca="1">INDEX(Table_Process_Details[Y Mover],MATCH(1,INDEX((Table_Process_Details[Input or Output]="Output")*(Table_Process_Details[Step Name]=Table_Process_Details[[#This Row],[Step Name]])*(Table_Process_Details[[#This Row],[Input or Output]]="Input"),0),0))</f>
        <v>21.555431875630404</v>
      </c>
      <c r="AJ32" s="26">
        <f ca="1">SQRT((Table_Process_Details[[#This Row],[X End (To Node Center)]]-Table_Process_Details[[#This Row],[X Guide]])^2+(Table_Process_Details[[#This Row],[Y End (to Node Center)]]-Table_Process_Details[[#This Row],[Y Guide]])^2)</f>
        <v>4.1278344108926355</v>
      </c>
      <c r="AK32" s="26" t="e" cm="1">
        <f t="array" ref="AK32">INDEX(Table_Process_Details[X Mover],MATCH(1,INDEX((Table_Process_Details[Step Name]=Table_Process_Details[[#This Row],[LCA Data Source Subclass]])*(Table_Process_Details[Input or Output]="Output"),0)*(Table_Process_Details[[#This Row],[Input or Output]]="Input"),0))</f>
        <v>#N/A</v>
      </c>
      <c r="AL32" s="26" cm="1">
        <f t="array" aca="1" ref="AL32" ca="1">INDEX(Table_Process_Details[X Mover],MATCH(1,INDEX(((Table_Process_Details[Table Row]=Table_Process_Details[[#This Row],[Table Row]])*(1)),0)*(Table_Process_Details[[#This Row],[Input or Output]]="Input"),0))</f>
        <v>3.1375306171127635</v>
      </c>
      <c r="AM32" s="26" cm="1">
        <f t="array" aca="1" ref="AM32" ca="1">(Table_Process_Details[[#This Row],[X End (To Node Center)]]*Table_Process_Details[[#This Row],[r0]]-Table_Process_Details[[#This Row],[X End (To Node Center)]]*Arrow_Offset+Table_Process_Details[[#This Row],[X Guide]]*Arrow_Offset)/Table_Process_Details[[#This Row],[r0]]</f>
        <v>1.2440923288592554</v>
      </c>
      <c r="AN32" s="26" t="e">
        <f>IF(NOT(Table_Process_Details[[#This Row],[Display As]]="None"),Table_Process_Details[[#This Row],[X Start Prefilter]],NA())</f>
        <v>#N/A</v>
      </c>
      <c r="AO32" s="26">
        <f ca="1">IF(NOT(Table_Process_Details[[#This Row],[Display As]]="None"),Table_Process_Details[[#This Row],[X Guide Prefilter]],NA())</f>
        <v>3.1375306171127635</v>
      </c>
      <c r="AP32" s="26">
        <f ca="1">IF(NOT(Table_Process_Details[[#This Row],[Display As]]="None"),Table_Process_Details[[#This Row],[X End (to Stop Radius) Prefilter]],NA())</f>
        <v>1.2440923288592554</v>
      </c>
      <c r="AQ32" s="26" t="e">
        <f>NA()</f>
        <v>#N/A</v>
      </c>
      <c r="AR32" s="26" t="e" cm="1">
        <f t="array" ref="AR32">INDEX(Table_Process_Details[Y Mover],MATCH(1,INDEX((Table_Process_Details[Step Name]=Table_Process_Details[[#This Row],[LCA Data Source Subclass]])*(Table_Process_Details[Input or Output]="Output"),0)*(Table_Process_Details[[#This Row],[Input or Output]]="Input"),0))</f>
        <v>#N/A</v>
      </c>
      <c r="AS32" s="26" cm="1">
        <f t="array" aca="1" ref="AS32" ca="1">INDEX(Table_Process_Details[Y Mover],MATCH(1,INDEX(((Table_Process_Details[Table Row]=Table_Process_Details[[#This Row],[Table Row]])*(1)),0)*(Table_Process_Details[[#This Row],[Input or Output]]="Input"),0))</f>
        <v>24.94999038313842</v>
      </c>
      <c r="AT32" s="26" cm="1">
        <f t="array" aca="1" ref="AT32" ca="1">(Table_Process_Details[[#This Row],[Y Guide]]*Arrow_Offset-Table_Process_Details[[#This Row],[Y End (to Node Center)]]*Arrow_Offset+Table_Process_Details[[#This Row],[Y End (to Node Center)]]*Table_Process_Details[[#This Row],[r0]])/Table_Process_Details[[#This Row],[r0]]</f>
        <v>22.213318441729157</v>
      </c>
      <c r="AU32" s="26" t="e">
        <f>IF(NOT(Table_Process_Details[[#This Row],[Display As]]="None"),Table_Process_Details[[#This Row],[Y Start Prefilter]],NA())</f>
        <v>#N/A</v>
      </c>
      <c r="AV32" s="26">
        <f ca="1">IF(NOT(Table_Process_Details[[#This Row],[Display As]]="None"),Table_Process_Details[[#This Row],[Y Guide Prefilter]],NA())</f>
        <v>24.94999038313842</v>
      </c>
      <c r="AW32" s="26">
        <f ca="1">IF(NOT(Table_Process_Details[[#This Row],[Display As]]="None"),Table_Process_Details[[#This Row],[Y End (to Stop Radius) Prefilter]],NA())</f>
        <v>22.213318441729157</v>
      </c>
      <c r="AX32" s="26" t="e">
        <f>NA()</f>
        <v>#N/A</v>
      </c>
      <c r="AY32" s="26" t="e">
        <f>IF(Table_Process_Details[[#This Row],[Display As]]="Real Step",Table_Process_Details[[#This Row],[X Mover]],NA())</f>
        <v>#N/A</v>
      </c>
      <c r="AZ32" s="26" t="e">
        <f>IF(Table_Process_Details[[#This Row],[Display As]]="Real Step",Table_Process_Details[[#This Row],[Y Mover]],NA())</f>
        <v>#N/A</v>
      </c>
      <c r="BA32" s="26">
        <f ca="1">IF(Table_Process_Details[[#This Row],[Display As]]="Raw Material",Table_Process_Details[[#This Row],[X Mover]],NA())</f>
        <v>3.1375306171127635</v>
      </c>
      <c r="BB32" s="26">
        <f ca="1">IF(Table_Process_Details[[#This Row],[Display As]]="Raw Material",Table_Process_Details[[#This Row],[Y Mover]],NA())</f>
        <v>24.94999038313842</v>
      </c>
      <c r="BC32" s="26">
        <f ca="1">IF(OR(Table_Process_Details[[#This Row],[Display As]]="Real Step",Table_Process_Details[[#This Row],[Display As]]="Raw Material"),Table_Process_Details[[#This Row],[X Mover]],NA())</f>
        <v>3.1375306171127635</v>
      </c>
      <c r="BD32" s="26">
        <f ca="1">IF(OR(Table_Process_Details[[#This Row],[Display As]]="Real Step",Table_Process_Details[[#This Row],[Display As]]="Raw Material"),Table_Process_Details[[#This Row],[Y Mover]],NA())</f>
        <v>24.94999038313842</v>
      </c>
      <c r="BE32" s="22">
        <f>ROW()-ROW(Table_Process_Details[[#Headers],[Table Row]])</f>
        <v>28</v>
      </c>
      <c r="BF32" s="23" t="str" cm="1">
        <f t="array" aca="1" ref="BF32" ca="1">INDEX(Table_Process_Details[Display Name],MATCH(0,IF(Table_Process_Details[Input or Output]="Input",INDEX(COUNTIF(OFFSET(Table_Process_Details[[#Headers],[Unique Process Inputs]],0,0,Table_Process_Details[[#This Row],[Table Row]],1),Table_Process_Details[Display Name]),),""),0))</f>
        <v>Intermediate (1)</v>
      </c>
      <c r="BG32" s="23">
        <f ca="1">Table_Process_Details[[#This Row],[Physical Mass (kg)]]*Table_Process_Details[[#This Row],[Step Scale Factor for 1kg Packaged API]]</f>
        <v>2.0970307667059065</v>
      </c>
      <c r="BH3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2" s="23">
        <f ca="1">MATCH(Table_Process_Details[[#This Row],[LCA Data Source Class]],INDIRECT(Table_Process_Details[[#This Row],[Input or Output]]),0)</f>
        <v>2</v>
      </c>
      <c r="BJ32" s="23">
        <f ca="1">MATCH(Table_Process_Details[[#This Row],[LCA Data Source Subclass]],INDIRECT(Table_Process_Details[[#This Row],[LCA Data Source Class]]&amp;"[Name]"),0)</f>
        <v>64</v>
      </c>
      <c r="BK32" s="23">
        <f ca="1">IFERROR(INDEX(INDIRECT(Table_Process_Details[[#This Row],[LCA Data Source Class]]&amp;"[Mass Net (kg)]"),MATCH(Table_Process_Details[[#This Row],[LCA Data Source Subclass]],INDIRECT(Table_Process_Details[[#This Row],[LCA Data Source Class]]&amp;"[Name]"),0)),0)</f>
        <v>1.5302652999999999E-3</v>
      </c>
      <c r="BL32" s="23">
        <f ca="1">IFERROR(INDEX(INDIRECT(Table_Process_Details[[#This Row],[LCA Data Source Class]]&amp;"[Energy (MJ)]"),MATCH(Table_Process_Details[[#This Row],[LCA Data Source Subclass]],INDIRECT(Table_Process_Details[[#This Row],[LCA Data Source Class]]&amp;"[Name]"),0)),0)</f>
        <v>1.9058192000000002E-2</v>
      </c>
      <c r="BM32" s="23">
        <f ca="1">IFERROR(INDEX(INDIRECT(Table_Process_Details[[#This Row],[LCA Data Source Class]]&amp;"[GWP (kg CO2 equiv.)]"),MATCH(Table_Process_Details[[#This Row],[LCA Data Source Subclass]],INDIRECT(Table_Process_Details[[#This Row],[LCA Data Source Class]]&amp;"[Name]"),0)),0)</f>
        <v>1.015742E-3</v>
      </c>
      <c r="BN32" s="23">
        <f ca="1">IFERROR(INDEX(INDIRECT(Table_Process_Details[[#This Row],[LCA Data Source Class]]&amp;"[Acidification (kg SO2 equiv.)]"),MATCH(Table_Process_Details[[#This Row],[LCA Data Source Subclass]],INDIRECT(Table_Process_Details[[#This Row],[LCA Data Source Class]]&amp;"[Name]"),0)),0)</f>
        <v>3.8914349999999996E-6</v>
      </c>
      <c r="BO32" s="23">
        <f ca="1">IFERROR(INDEX(INDIRECT(Table_Process_Details[[#This Row],[LCA Data Source Class]]&amp;"[Eutrophication (kg posphate equiv.)]"),MATCH(Table_Process_Details[[#This Row],[LCA Data Source Subclass]],INDIRECT(Table_Process_Details[[#This Row],[LCA Data Source Class]]&amp;"[Name]"),0)),0)</f>
        <v>2.3181694000000001E-6</v>
      </c>
      <c r="BP32" s="23">
        <f ca="1">IFERROR(INDEX(INDIRECT(Table_Process_Details[[#This Row],[LCA Data Source Class]]&amp;"[Water (kg)]"),MATCH(Table_Process_Details[[#This Row],[LCA Data Source Subclass]],INDIRECT(Table_Process_Details[[#This Row],[LCA Data Source Class]]&amp;"[Name]"),0)),0)</f>
        <v>1.2633490999999999</v>
      </c>
      <c r="BQ32" s="27">
        <f ca="1">(Table_Process_Details[[#This Row],[Input or Output]]="Input")*(Table_Process_Details[[#This Row],[LCA Data Source Class]]&lt;&gt;"Process_Steps")*Table_Process_Details[[#This Row],[Scaled Physical Mass per kg API for All Inputs &amp; Outputs]]</f>
        <v>2.0970307667059065</v>
      </c>
      <c r="BR32" s="27">
        <f ca="1">(Table_Process_Details[[#This Row],[Material Class]]="REAGENT")*Table_Process_Details[[#This Row],[Physical Mass per kg API]]</f>
        <v>0</v>
      </c>
      <c r="BS32" s="27">
        <f ca="1">(Table_Process_Details[[#This Row],[Material Class]]="METAL")*Table_Process_Details[[#This Row],[Physical Mass per kg API]]</f>
        <v>0</v>
      </c>
      <c r="BT32" s="27">
        <f ca="1">(Table_Process_Details[[#This Row],[Material Class]]="SOLVENT")*Table_Process_Details[[#This Row],[Physical Mass per kg API]]</f>
        <v>0</v>
      </c>
      <c r="BU32" s="27">
        <f ca="1">(Table_Process_Details[[#This Row],[Material Class]]="WATER")*Table_Process_Details[[#This Row],[Physical Mass per kg API]]</f>
        <v>2.0970307667059065</v>
      </c>
      <c r="BV32" s="27">
        <f ca="1">(Table_Process_Details[[#This Row],[Material Class]]="ENZ&amp;PLNT")*Table_Process_Details[[#This Row],[Physical Mass per kg API]]</f>
        <v>0</v>
      </c>
      <c r="BW32" s="27">
        <f ca="1">(Table_Process_Details[[#This Row],[Material Class]]="OTHER")*Table_Process_Details[[#This Row],[Physical Mass per kg API]]</f>
        <v>0</v>
      </c>
      <c r="BX3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2.0970307667059065</v>
      </c>
      <c r="BY3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2.0970307667059065</v>
      </c>
      <c r="CC3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2" s="1">
        <f ca="1">SUMIFS(Table_Process_Details[RV Physical Mass per kg API],Table_Process_Details[Display Name],Table_Process_Details[[#This Row],[Unique Process Inputs]],Table_Process_Details[Input or Output],"Input")</f>
        <v>0</v>
      </c>
      <c r="CF32" s="1">
        <f ca="1">SUMIFS(Table_Process_Details[RV Physical Mass per kg API (REAGENT)],Table_Process_Details[Display Name],Table_Process_Details[[#This Row],[Unique Process Inputs]],Table_Process_Details[Input or Output],"Input")</f>
        <v>0</v>
      </c>
      <c r="CG32" s="1">
        <f ca="1">SUMIFS(Table_Process_Details[RV Physical Mass per kg API (METAL)],Table_Process_Details[Display Name],Table_Process_Details[[#This Row],[Unique Process Inputs]],Table_Process_Details[Input or Output],"Input")</f>
        <v>0</v>
      </c>
      <c r="CH32" s="1">
        <f ca="1">SUMIFS(Table_Process_Details[RV Physical Mass per kg API (SOLVENT)],Table_Process_Details[Display Name],Table_Process_Details[[#This Row],[Unique Process Inputs]],Table_Process_Details[Input or Output],"Input")</f>
        <v>0</v>
      </c>
      <c r="CI32" s="1">
        <f ca="1">SUMIFS(Table_Process_Details[RV Physical Mass per kg API (WATER)],Table_Process_Details[Display Name],Table_Process_Details[[#This Row],[Unique Process Inputs]],Table_Process_Details[Input or Output],"Input")</f>
        <v>0</v>
      </c>
      <c r="CJ32" s="1">
        <f ca="1">SUMIFS(Table_Process_Details[RV Physical Mass per kg API (ENZ&amp;PLNT)],Table_Process_Details[Display Name],Table_Process_Details[[#This Row],[Unique Process Inputs]],Table_Process_Details[Input or Output],"Input")</f>
        <v>0</v>
      </c>
      <c r="CK32" s="1">
        <f ca="1">SUMIFS(Table_Process_Details[RV Physical Mass per kg API (OTHER)],Table_Process_Details[Display Name],Table_Process_Details[[#This Row],[Unique Process Inputs]],Table_Process_Details[Input or Output],"Input")</f>
        <v>0</v>
      </c>
      <c r="CL32" s="22" t="str">
        <f ca="1">INDEX(Table_Process_Details[Unique Process Inputs],MATCH(Table_Process_Details[[#This Row],['[Physical Mass per kg API'] of Unique Inputs Sorted by '[Physical Mass per kg API']]],Table_Process_Details[Total '[Physical Mass per kg API'] of Unique Inputs],0))</f>
        <v>5 wt% reagent A (organic) in acetonitrile</v>
      </c>
      <c r="CM32" s="22">
        <f ca="1">IF(LARGE(Table_Process_Details[Total '[Physical Mass per kg API'] of Unique Inputs],Table_Process_Details[[#This Row],[Table Row]])=0,NA(),LARGE(Table_Process_Details[Total '[Physical Mass per kg API'] of Unique Inputs],Table_Process_Details[[#This Row],[Table Row]]))</f>
        <v>5.5920820445490835E-2</v>
      </c>
      <c r="CN32" s="22">
        <f ca="1">SUM(OFFSET(Table_Process_Details['[Physical Mass per kg API'] of Unique Inputs Sorted by '[Physical Mass per kg API']],0,0,Table_Process_Details[[#This Row],[Table Row]]))</f>
        <v>147.55920437062693</v>
      </c>
      <c r="CO32" s="22" t="str">
        <f ca="1">"("&amp;TEXT(Table_Process_Details[[#This Row],['[Physical Mass per kg API'] of Unique Inputs Sorted by '[Physical Mass per kg API']]]/SUMIF(Table_Process_Details['[Physical Mass per kg API'] of Unique Inputs Sorted by '[Physical Mass per kg API']],"&lt;&gt;#N/A"),"0%")&amp;")"</f>
        <v>(0%)</v>
      </c>
      <c r="CP32" s="22">
        <f ca="1">INDEX(Table_Process_Details[Total '[Physical Mass per kg API'] of Unique Inputs (REAGENT)],MATCH(Table_Process_Details[[#This Row],[Unique Inputs Sorted by '[Physical Mass per kg API']]],Table_Process_Details[Unique Process Inputs],0))</f>
        <v>2.796041022274542E-3</v>
      </c>
      <c r="CQ32" s="22">
        <f ca="1">INDEX(Table_Process_Details[Total '[Physical Mass per kg API'] of Unique Inputs (METAL)],MATCH(Table_Process_Details[[#This Row],[Unique Inputs Sorted by '[Physical Mass per kg API']]],Table_Process_Details[Unique Process Inputs],0))</f>
        <v>0</v>
      </c>
      <c r="CR32" s="22">
        <f ca="1">INDEX(Table_Process_Details[Total '[Physical Mass per kg API'] of Unique Inputs (SOLVENT)],MATCH(Table_Process_Details[[#This Row],[Unique Inputs Sorted by '[Physical Mass per kg API']]],Table_Process_Details[Unique Process Inputs],0))</f>
        <v>5.3124779423216292E-2</v>
      </c>
      <c r="CS32" s="22">
        <f ca="1">INDEX(Table_Process_Details[Total '[Physical Mass per kg API'] of Unique Inputs (WATER)],MATCH(Table_Process_Details[[#This Row],[Unique Inputs Sorted by '[Physical Mass per kg API']]],Table_Process_Details[Unique Process Inputs],0))</f>
        <v>0</v>
      </c>
      <c r="CT32" s="22">
        <f ca="1">INDEX(Table_Process_Details[Total '[Physical Mass per kg API'] of Unique Inputs (ENZ&amp;PLNT)],MATCH(Table_Process_Details[[#This Row],[Unique Inputs Sorted by '[Physical Mass per kg API']]],Table_Process_Details[Unique Process Inputs],0))</f>
        <v>0</v>
      </c>
      <c r="CU32" s="22">
        <f ca="1">INDEX(Table_Process_Details[Total '[Physical Mass per kg API'] of Unique Inputs (OTHER)],MATCH(Table_Process_Details[[#This Row],[Unique Inputs Sorted by '[Physical Mass per kg API']]],Table_Process_Details[Unique Process Inputs],0))</f>
        <v>0</v>
      </c>
      <c r="CV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3.2090134153224437E-3</v>
      </c>
      <c r="CW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3.2090134153224437E-3</v>
      </c>
      <c r="DA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2" s="22">
        <f ca="1">SUMIFS(Table_Process_Details[RV Mass Net (kg) per kg API],Table_Process_Details[Display Name],Table_Process_Details[[#This Row],[Unique Process Inputs]],Table_Process_Details[Input or Output],"Input")</f>
        <v>0</v>
      </c>
      <c r="DD32" s="22">
        <f ca="1">SUMIFS(Table_Process_Details[RV Mass Net (kg) per kg API (REAGENT)],Table_Process_Details[Display Name],Table_Process_Details[[#This Row],[Unique Process Inputs]],Table_Process_Details[Input or Output],"Input")</f>
        <v>0</v>
      </c>
      <c r="DE32" s="22">
        <f ca="1">SUMIFS(Table_Process_Details[RV Mass Net (kg) per kg API (METAL)],Table_Process_Details[Display Name],Table_Process_Details[[#This Row],[Unique Process Inputs]],Table_Process_Details[Input or Output],"Input")</f>
        <v>0</v>
      </c>
      <c r="DF32" s="22">
        <f ca="1">SUMIFS(Table_Process_Details[RV Mass Net (kg) per kg API (SOLVENT)],Table_Process_Details[Display Name],Table_Process_Details[[#This Row],[Unique Process Inputs]],Table_Process_Details[Input or Output],"Input")</f>
        <v>0</v>
      </c>
      <c r="DG32" s="22">
        <f ca="1">SUMIFS(Table_Process_Details[RV Mass Net (kg) per kg API (WATER)],Table_Process_Details[Display Name],Table_Process_Details[[#This Row],[Unique Process Inputs]],Table_Process_Details[Input or Output],"Input")</f>
        <v>0</v>
      </c>
      <c r="DH32" s="22">
        <f ca="1">SUMIFS(Table_Process_Details[RV Mass Net (kg) per kg API (ENZ&amp;PLNT)],Table_Process_Details[Display Name],Table_Process_Details[[#This Row],[Unique Process Inputs]],Table_Process_Details[Input or Output],"Input")</f>
        <v>0</v>
      </c>
      <c r="DI32" s="22">
        <f ca="1">SUMIFS(Table_Process_Details[RV Mass Net (kg) per kg API (OTHER)],Table_Process_Details[Display Name],Table_Process_Details[[#This Row],[Unique Process Inputs]],Table_Process_Details[Input or Output],"Input")</f>
        <v>0</v>
      </c>
      <c r="DJ32" s="22" t="str">
        <f ca="1">INDEX(Table_Process_Details[Unique Process Inputs],MATCH(Table_Process_Details[[#This Row],['[Mass Net (kg) per kg API'] of Unique Inputs Sorted by '[Mass Net (kg) per kg API']]],Table_Process_Details[Total '[Mass Net (kg) per kg API'] of Unique Inputs],0))</f>
        <v>nickel salt</v>
      </c>
      <c r="DK32" s="22">
        <f ca="1">IF(LARGE(Table_Process_Details[Total '[Mass Net (kg) per kg API'] of Unique Inputs],Table_Process_Details[[#This Row],[Table Row]])=0,NA(),LARGE(Table_Process_Details[Total '[Mass Net (kg) per kg API'] of Unique Inputs],Table_Process_Details[[#This Row],[Table Row]]))</f>
        <v>2.5017411245832774E-2</v>
      </c>
      <c r="DL32" s="22">
        <f ca="1">SUM(OFFSET(Table_Process_Details['[Mass Net (kg) per kg API'] of Unique Inputs Sorted by '[Mass Net (kg) per kg API']],0,0,Table_Process_Details[[#This Row],[Table Row]]))</f>
        <v>127.08386428047436</v>
      </c>
      <c r="DM32" s="22" t="str">
        <f ca="1">"("&amp;TEXT(Table_Process_Details[[#This Row],['[Mass Net (kg) per kg API'] of Unique Inputs Sorted by '[Mass Net (kg) per kg API']]]/SUMIF(Table_Process_Details['[Mass Net (kg) per kg API'] of Unique Inputs Sorted by '[Mass Net (kg) per kg API']],"&lt;&gt;#N/A"),"0%")&amp;")"</f>
        <v>(0%)</v>
      </c>
      <c r="DN32" s="22">
        <f ca="1">INDEX(Table_Process_Details[Total '[Mass Net (kg) per kg API'] of Unique Inputs (REAGENT)], MATCH(Table_Process_Details[[#This Row],[Unique Inputs Sorted by '[Mass Net (kg) per kg API']]],Table_Process_Details[Unique Process Inputs],0))</f>
        <v>1.1805075839208161E-2</v>
      </c>
      <c r="DO32" s="22">
        <f ca="1">INDEX(Table_Process_Details[Total '[Mass Net (kg) per kg API'] of Unique Inputs (METAL)], MATCH(Table_Process_Details[[#This Row],[Unique Inputs Sorted by '[Mass Net (kg) per kg API']]],Table_Process_Details[Unique Process Inputs],0))</f>
        <v>1.3212335406624615E-2</v>
      </c>
      <c r="DP32" s="22">
        <f ca="1">INDEX(Table_Process_Details[Total '[Mass Net (kg) per kg API'] of Unique Inputs (SOLVENT)], MATCH(Table_Process_Details[[#This Row],[Unique Inputs Sorted by '[Mass Net (kg) per kg API']]],Table_Process_Details[Unique Process Inputs],0))</f>
        <v>0</v>
      </c>
      <c r="DQ32" s="22">
        <f ca="1">INDEX(Table_Process_Details[Total '[Mass Net (kg) per kg API'] of Unique Inputs (WATER)], MATCH(Table_Process_Details[[#This Row],[Unique Inputs Sorted by '[Mass Net (kg) per kg API']]],Table_Process_Details[Unique Process Inputs],0))</f>
        <v>0</v>
      </c>
      <c r="DR32" s="22">
        <f ca="1">INDEX(Table_Process_Details[Total '[Mass Net (kg) per kg API'] of Unique Inputs (ENZ&amp;PLNT)], MATCH(Table_Process_Details[[#This Row],[Unique Inputs Sorted by '[Mass Net (kg) per kg API']]],Table_Process_Details[Unique Process Inputs],0))</f>
        <v>0</v>
      </c>
      <c r="DS32" s="22">
        <f ca="1">INDEX(Table_Process_Details[Total '[Mass Net (kg) per kg API'] of Unique Inputs (OTHER)], MATCH(Table_Process_Details[[#This Row],[Unique Inputs Sorted by '[Mass Net (kg) per kg API']]],Table_Process_Details[Unique Process Inputs],0))</f>
        <v>0</v>
      </c>
      <c r="DT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3.9965614981788376E-2</v>
      </c>
      <c r="DU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3.9965614981788376E-2</v>
      </c>
      <c r="DY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2" s="1">
        <f ca="1">SUMIFS(Table_Process_Details[RV Energy (MJ) per kg API],Table_Process_Details[Display Name],Table_Process_Details[[#This Row],[Unique Process Inputs]],Table_Process_Details[Input or Output],"Input")</f>
        <v>0</v>
      </c>
      <c r="EB32" s="1">
        <f ca="1">SUMIFS(Table_Process_Details[RV Energy (MJ) per kg API (REAGENT)],Table_Process_Details[Display Name],Table_Process_Details[[#This Row],[Unique Process Inputs]],Table_Process_Details[Input or Output],"Input")</f>
        <v>0</v>
      </c>
      <c r="EC32" s="1">
        <f ca="1">SUMIFS(Table_Process_Details[RV Energy (MJ) per kg API (METAL)],Table_Process_Details[Display Name],Table_Process_Details[[#This Row],[Unique Process Inputs]],Table_Process_Details[Input or Output],"Input")</f>
        <v>0</v>
      </c>
      <c r="ED32" s="1">
        <f ca="1">SUMIFS(Table_Process_Details[RV Energy (MJ) per kg API (SOLVENT)],Table_Process_Details[Display Name],Table_Process_Details[[#This Row],[Unique Process Inputs]],Table_Process_Details[Input or Output],"Input")</f>
        <v>0</v>
      </c>
      <c r="EE32" s="1">
        <f ca="1">SUMIFS(Table_Process_Details[RV Energy (MJ) per kg API (WATER)],Table_Process_Details[Display Name],Table_Process_Details[[#This Row],[Unique Process Inputs]],Table_Process_Details[Input or Output],"Input")</f>
        <v>0</v>
      </c>
      <c r="EF32" s="1">
        <f ca="1">SUMIFS(Table_Process_Details[RV Energy (MJ) per kg API (ENZ&amp;PLNT)],Table_Process_Details[Display Name],Table_Process_Details[[#This Row],[Unique Process Inputs]],Table_Process_Details[Input or Output],"Input")</f>
        <v>0</v>
      </c>
      <c r="EG32" s="1">
        <f ca="1">SUMIFS(Table_Process_Details[RV Energy (MJ) per kg API (OTHER)],Table_Process_Details[Display Name],Table_Process_Details[[#This Row],[Unique Process Inputs]],Table_Process_Details[Input or Output],"Input")</f>
        <v>0</v>
      </c>
      <c r="EH32" s="1" t="str">
        <f ca="1">INDEX(Table_Process_Details[Unique Process Inputs],MATCH(Table_Process_Details[[#This Row],['[Energy (MJ) per kg API'] of Unique Inputs Sorted by '[Energy (MJ) per kg API']]],Table_Process_Details[Total '[Energy (MJ) per kg API'] of Unique Inputs],0))</f>
        <v>nickel salt</v>
      </c>
      <c r="EI32" s="22">
        <f ca="1">IF(LARGE(Table_Process_Details[Total '[Energy (MJ) per kg API'] of Unique Inputs],Table_Process_Details[[#This Row],[Table Row]])=0,NA(),LARGE(Table_Process_Details[Total '[Energy (MJ) per kg API'] of Unique Inputs],Table_Process_Details[[#This Row],[Table Row]]))</f>
        <v>0.14204871996522528</v>
      </c>
      <c r="EJ32" s="22">
        <f ca="1">SUM(OFFSET(Table_Process_Details['[Energy (MJ) per kg API'] of Unique Inputs Sorted by '[Energy (MJ) per kg API']],0,0,Table_Process_Details[[#This Row],[Table Row]]))</f>
        <v>5064.6611758010513</v>
      </c>
      <c r="EK32" s="22" t="str">
        <f ca="1">"("&amp;TEXT(Table_Process_Details[[#This Row],['[Energy (MJ) per kg API'] of Unique Inputs Sorted by '[Energy (MJ) per kg API']]]/SUMIF(Table_Process_Details['[Energy (MJ) per kg API'] of Unique Inputs Sorted by '[Energy (MJ) per kg API']],"&lt;&gt;#N/A"),"0%")&amp;")"</f>
        <v>(0%)</v>
      </c>
      <c r="EL32" s="22">
        <f ca="1">INDEX(Table_Process_Details[Total '[Energy (MJ) per kg API'] of Unique Inputs (REAGENT)], MATCH(Table_Process_Details[[#This Row],[Unique Inputs Sorted by '[Energy (MJ) per kg API']]],Table_Process_Details[Unique Process Inputs],0))</f>
        <v>9.3647728485658777E-2</v>
      </c>
      <c r="EM32" s="22">
        <f ca="1">INDEX(Table_Process_Details[Total '[Energy (MJ) per kg API'] of Unique Inputs (METAL)], MATCH(Table_Process_Details[[#This Row],[Unique Inputs Sorted by '[Energy (MJ) per kg API']]],Table_Process_Details[Unique Process Inputs],0))</f>
        <v>4.8400991479566495E-2</v>
      </c>
      <c r="EN32" s="22">
        <f ca="1">INDEX(Table_Process_Details[Total '[Energy (MJ) per kg API'] of Unique Inputs (SOLVENT)], MATCH(Table_Process_Details[[#This Row],[Unique Inputs Sorted by '[Energy (MJ) per kg API']]],Table_Process_Details[Unique Process Inputs],0))</f>
        <v>0</v>
      </c>
      <c r="EO32" s="22">
        <f ca="1">INDEX(Table_Process_Details[Total '[Energy (MJ) per kg API'] of Unique Inputs (WATER)], MATCH(Table_Process_Details[[#This Row],[Unique Inputs Sorted by '[Energy (MJ) per kg API']]],Table_Process_Details[Unique Process Inputs],0))</f>
        <v>0</v>
      </c>
      <c r="EP32" s="22">
        <f ca="1">INDEX(Table_Process_Details[Total '[Energy (MJ) per kg API'] of Unique Inputs (ENZ&amp;PLNT)], MATCH(Table_Process_Details[[#This Row],[Unique Inputs Sorted by '[Energy (MJ) per kg API']]],Table_Process_Details[Unique Process Inputs],0))</f>
        <v>0</v>
      </c>
      <c r="EQ32" s="22">
        <f ca="1">INDEX(Table_Process_Details[Total '[Energy (MJ) per kg API'] of Unique Inputs (OTHER)], MATCH(Table_Process_Details[[#This Row],[Unique Inputs Sorted by '[Energy (MJ) per kg API']]],Table_Process_Details[Unique Process Inputs],0))</f>
        <v>0</v>
      </c>
      <c r="ER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2.1300422250353909E-3</v>
      </c>
      <c r="ES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2.1300422250353909E-3</v>
      </c>
      <c r="EW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2" s="22">
        <f ca="1">SUMIFS(Table_Process_Details[RV GWP (kg CO2 equiv.) per kg API],Table_Process_Details[Display Name],Table_Process_Details[[#This Row],[Unique Process Inputs]],Table_Process_Details[Input or Output],"Input")</f>
        <v>0</v>
      </c>
      <c r="EZ32" s="1">
        <f ca="1">SUMIFS(Table_Process_Details[RV GWP (kg CO2 equiv.) per kg API (REAGENT)],Table_Process_Details[Display Name],Table_Process_Details[[#This Row],[Unique Process Inputs]],Table_Process_Details[Input or Output],"Input")</f>
        <v>0</v>
      </c>
      <c r="FA32" s="1">
        <f ca="1">SUMIFS(Table_Process_Details[RV GWP (kg CO2 equiv.) per kg API (METAL)],Table_Process_Details[Display Name],Table_Process_Details[[#This Row],[Unique Process Inputs]],Table_Process_Details[Input or Output],"Input")</f>
        <v>0</v>
      </c>
      <c r="FB32" s="1">
        <f ca="1">SUMIFS(Table_Process_Details[RV GWP (kg CO2 equiv.) per kg API (SOLVENT)],Table_Process_Details[Display Name],Table_Process_Details[[#This Row],[Unique Process Inputs]],Table_Process_Details[Input or Output],"Input")</f>
        <v>0</v>
      </c>
      <c r="FC32" s="1">
        <f ca="1">SUMIFS(Table_Process_Details[RV GWP (kg CO2 equiv.) per kg API (WATER)],Table_Process_Details[Display Name],Table_Process_Details[[#This Row],[Unique Process Inputs]],Table_Process_Details[Input or Output],"Input")</f>
        <v>0</v>
      </c>
      <c r="FD32" s="1">
        <f ca="1">SUMIFS(Table_Process_Details[RV GWP (kg CO2 equiv.) per kg API (ENZ&amp;PLNT)],Table_Process_Details[Display Name],Table_Process_Details[[#This Row],[Unique Process Inputs]],Table_Process_Details[Input or Output],"Input")</f>
        <v>0</v>
      </c>
      <c r="FE32" s="1">
        <f ca="1">SUMIFS(Table_Process_Details[RV GWP (kg CO2 equiv.) per kg API (OTHER)],Table_Process_Details[Display Name],Table_Process_Details[[#This Row],[Unique Process Inputs]],Table_Process_Details[Input or Output],"Input")</f>
        <v>0</v>
      </c>
      <c r="FF32" s="22" t="str">
        <f ca="1">INDEX(Table_Process_Details[Unique Process Inputs],MATCH(Table_Process_Details[[#This Row],['[GWP (kg CO2 equiv.) per kg API'] of Unique Inputs Sorted by '[GWP (kg CO2 equiv.) per kg API']]],Table_Process_Details[Total '[GWP (kg CO2 equiv.) per kg API'] of Unique Inputs],0))</f>
        <v>nickel salt</v>
      </c>
      <c r="FG32" s="22">
        <f ca="1">IF(LARGE(Table_Process_Details[Total '[GWP (kg CO2 equiv.) per kg API'] of Unique Inputs],Table_Process_Details[[#This Row],[Table Row]])=0,NA(),LARGE(Table_Process_Details[Total '[GWP (kg CO2 equiv.) per kg API'] of Unique Inputs],Table_Process_Details[[#This Row],[Table Row]]))</f>
        <v>1.5016050101629685E-2</v>
      </c>
      <c r="FH32" s="22">
        <f ca="1">SUM(OFFSET(Table_Process_Details['[GWP (kg CO2 equiv.) per kg API'] of Unique Inputs Sorted by '[GWP (kg CO2 equiv.) per kg API']],0,0,Table_Process_Details[[#This Row],[Table Row]]))</f>
        <v>156.49409385641735</v>
      </c>
      <c r="FI32" s="22" t="str">
        <f ca="1">"("&amp;TEXT(Table_Process_Details[[#This Row],['[GWP (kg CO2 equiv.) per kg API'] of Unique Inputs Sorted by '[GWP (kg CO2 equiv.) per kg API']]]/SUMIF(Table_Process_Details['[GWP (kg CO2 equiv.) per kg API'] of Unique Inputs Sorted by '[GWP (kg CO2 equiv.) per kg API']],"&lt;&gt;#N/A"),"0%")&amp;")"</f>
        <v>(0%)</v>
      </c>
      <c r="FJ32" s="22">
        <f ca="1">INDEX(Table_Process_Details[Total '[GWP (kg CO2 equiv.) per kg API'] of Unique Inputs (REAGENT)], MATCH(Table_Process_Details[[#This Row],[Unique Inputs Sorted by '[GWP (kg CO2 equiv.) per kg API']]],Table_Process_Details[Unique Process Inputs],0))</f>
        <v>1.2205038856447005E-2</v>
      </c>
      <c r="FK32" s="22">
        <f ca="1">INDEX(Table_Process_Details[Total '[GWP (kg CO2 equiv.) per kg API'] of Unique Inputs (METAL)], MATCH(Table_Process_Details[[#This Row],[Unique Inputs Sorted by '[GWP (kg CO2 equiv.) per kg API']]],Table_Process_Details[Unique Process Inputs],0))</f>
        <v>2.8110112451826814E-3</v>
      </c>
      <c r="FL32" s="22">
        <f ca="1">INDEX(Table_Process_Details[Total '[GWP (kg CO2 equiv.) per kg API'] of Unique Inputs (SOLVENT)], MATCH(Table_Process_Details[[#This Row],[Unique Inputs Sorted by '[GWP (kg CO2 equiv.) per kg API']]],Table_Process_Details[Unique Process Inputs],0))</f>
        <v>0</v>
      </c>
      <c r="FM32" s="22">
        <f ca="1">INDEX(Table_Process_Details[Total '[GWP (kg CO2 equiv.) per kg API'] of Unique Inputs (WATER)], MATCH(Table_Process_Details[[#This Row],[Unique Inputs Sorted by '[GWP (kg CO2 equiv.) per kg API']]],Table_Process_Details[Unique Process Inputs],0))</f>
        <v>0</v>
      </c>
      <c r="FN32" s="22">
        <f ca="1">INDEX(Table_Process_Details[Total '[GWP (kg CO2 equiv.) per kg API'] of Unique Inputs (ENZ&amp;PLNT)], MATCH(Table_Process_Details[[#This Row],[Unique Inputs Sorted by '[GWP (kg CO2 equiv.) per kg API']]],Table_Process_Details[Unique Process Inputs],0))</f>
        <v>0</v>
      </c>
      <c r="FO32" s="22">
        <f ca="1">INDEX(Table_Process_Details[Total '[GWP (kg CO2 equiv.) per kg API'] of Unique Inputs (OTHER)], MATCH(Table_Process_Details[[#This Row],[Unique Inputs Sorted by '[GWP (kg CO2 equiv.) per kg API']]],Table_Process_Details[Unique Process Inputs],0))</f>
        <v>0</v>
      </c>
      <c r="FP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8.1604589216361984E-6</v>
      </c>
      <c r="FQ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8.1604589216361984E-6</v>
      </c>
      <c r="FU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2" s="22">
        <f ca="1">SUMIFS(Table_Process_Details[RV Acidification (kg SO2 equiv.) per kg API],Table_Process_Details[Display Name],Table_Process_Details[[#This Row],[Unique Process Inputs]],Table_Process_Details[Input or Output],"Input")</f>
        <v>0</v>
      </c>
      <c r="FX32" s="1">
        <f ca="1">SUMIFS(Table_Process_Details[RV Acidification (kg SO2 equiv.) per kg API (REAGENT)],Table_Process_Details[Display Name],Table_Process_Details[[#This Row],[Unique Process Inputs]],Table_Process_Details[Input or Output],"Input")</f>
        <v>0</v>
      </c>
      <c r="FY32" s="1">
        <f ca="1">SUMIFS(Table_Process_Details[RV Acidification (kg SO2 equiv.) per kg API (METAL)],Table_Process_Details[Display Name],Table_Process_Details[[#This Row],[Unique Process Inputs]],Table_Process_Details[Input or Output],"Input")</f>
        <v>0</v>
      </c>
      <c r="FZ32" s="1">
        <f ca="1">SUMIFS(Table_Process_Details[RV Acidification (kg SO2 equiv.) per kg API (SOLVENT)],Table_Process_Details[Display Name],Table_Process_Details[[#This Row],[Unique Process Inputs]],Table_Process_Details[Input or Output],"Input")</f>
        <v>0</v>
      </c>
      <c r="GA32" s="1">
        <f ca="1">SUMIFS(Table_Process_Details[RV Acidification (kg SO2 equiv.) per kg API (WATER)],Table_Process_Details[Display Name],Table_Process_Details[[#This Row],[Unique Process Inputs]],Table_Process_Details[Input or Output],"Input")</f>
        <v>0</v>
      </c>
      <c r="GB32" s="1">
        <f ca="1">SUMIFS(Table_Process_Details[RV Acidification (kg SO2 equiv.) per kg API (ENZ&amp;PLNT)],Table_Process_Details[Display Name],Table_Process_Details[[#This Row],[Unique Process Inputs]],Table_Process_Details[Input or Output],"Input")</f>
        <v>0</v>
      </c>
      <c r="GC32" s="1">
        <f ca="1">SUMIFS(Table_Process_Details[RV Acidification (kg SO2 equiv.) per kg API (OTHER)],Table_Process_Details[Display Name],Table_Process_Details[[#This Row],[Unique Process Inputs]],Table_Process_Details[Input or Output],"Input")</f>
        <v>0</v>
      </c>
      <c r="GD32"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water</v>
      </c>
      <c r="GE32" s="22">
        <f ca="1">IF(LARGE(Table_Process_Details[Total '[Acidification (kg SO2 equiv.) per kg API'] of Unique Inputs],Table_Process_Details[[#This Row],[Table Row]])=0,NA(),LARGE(Table_Process_Details[Total '[Acidification (kg SO2 equiv.) per kg API'] of Unique Inputs],Table_Process_Details[[#This Row],[Table Row]]))</f>
        <v>1.5653994623062025E-4</v>
      </c>
      <c r="GF32" s="22">
        <f ca="1">SUM(OFFSET(Table_Process_Details['[Acidification (kg SO2 equiv.) per kg API'] of Unique Inputs Sorted by '[Acidification (kg SO2 equiv.) per kg API']],0,0,Table_Process_Details[[#This Row],[Table Row]]))</f>
        <v>0.65526896768544207</v>
      </c>
      <c r="GG32"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2" s="22">
        <f ca="1">INDEX(Table_Process_Details[Total '[Acidification (kg SO2 equiv.) per kg API'] of Unique Inputs (REAGENT)], MATCH(Table_Process_Details[[#This Row],[Unique Inputs Sorted by '[Acidification (kg SO2 equiv.) per kg API']]],Table_Process_Details[Unique Process Inputs],0))</f>
        <v>0</v>
      </c>
      <c r="GI32" s="22">
        <f ca="1">INDEX(Table_Process_Details[Total '[Acidification (kg SO2 equiv.) per kg API'] of Unique Inputs (METAL)], MATCH(Table_Process_Details[[#This Row],[Unique Inputs Sorted by '[Acidification (kg SO2 equiv.) per kg API']]],Table_Process_Details[Unique Process Inputs],0))</f>
        <v>0</v>
      </c>
      <c r="GJ32" s="22">
        <f ca="1">INDEX(Table_Process_Details[Total '[Acidification (kg SO2 equiv.) per kg API'] of Unique Inputs (SOLVENT)], MATCH(Table_Process_Details[[#This Row],[Unique Inputs Sorted by '[Acidification (kg SO2 equiv.) per kg API']]],Table_Process_Details[Unique Process Inputs],0))</f>
        <v>0</v>
      </c>
      <c r="GK32" s="22">
        <f ca="1">INDEX(Table_Process_Details[Total '[Acidification (kg SO2 equiv.) per kg API'] of Unique Inputs (WATER)], MATCH(Table_Process_Details[[#This Row],[Unique Inputs Sorted by '[Acidification (kg SO2 equiv.) per kg API']]],Table_Process_Details[Unique Process Inputs],0))</f>
        <v>1.5653994623062025E-4</v>
      </c>
      <c r="GL32" s="22">
        <f ca="1">INDEX(Table_Process_Details[Total '[Acidification (kg SO2 equiv.) per kg API'] of Unique Inputs (ENZ&amp;PLNT)], MATCH(Table_Process_Details[[#This Row],[Unique Inputs Sorted by '[Acidification (kg SO2 equiv.) per kg API']]],Table_Process_Details[Unique Process Inputs],0))</f>
        <v>0</v>
      </c>
      <c r="GM32" s="22">
        <f ca="1">INDEX(Table_Process_Details[Total '[Acidification (kg SO2 equiv.) per kg API'] of Unique Inputs (OTHER)], MATCH(Table_Process_Details[[#This Row],[Unique Inputs Sorted by '[Acidification (kg SO2 equiv.) per kg API']]],Table_Process_Details[Unique Process Inputs],0))</f>
        <v>0</v>
      </c>
      <c r="GN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4.8612725542361711E-6</v>
      </c>
      <c r="GO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4.8612725542361711E-6</v>
      </c>
      <c r="GS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2" s="22">
        <f ca="1">SUMIFS(Table_Process_Details[RV Eutrophication (kg phosphate equiv.) per kg API],Table_Process_Details[Display Name],Table_Process_Details[[#This Row],[Unique Process Inputs]],Table_Process_Details[Input or Output],"Input")</f>
        <v>0</v>
      </c>
      <c r="GV32" s="1">
        <f ca="1">SUMIFS(Table_Process_Details[RV Eutrophication (kg phosphate equiv.) per kg API (REAGENT)],Table_Process_Details[Display Name],Table_Process_Details[[#This Row],[Unique Process Inputs]],Table_Process_Details[Input or Output],"Input")</f>
        <v>0</v>
      </c>
      <c r="GW32" s="1">
        <f ca="1">SUMIFS(Table_Process_Details[RV Eutrophication (kg phosphate equiv.) per kg API (METAL)],Table_Process_Details[Display Name],Table_Process_Details[[#This Row],[Unique Process Inputs]],Table_Process_Details[Input or Output],"Input")</f>
        <v>0</v>
      </c>
      <c r="GX32" s="1">
        <f ca="1">SUMIFS(Table_Process_Details[RV Eutrophication (kg phosphate equiv.) per kg API (SOLVENT)],Table_Process_Details[Display Name],Table_Process_Details[[#This Row],[Unique Process Inputs]],Table_Process_Details[Input or Output],"Input")</f>
        <v>0</v>
      </c>
      <c r="GY32" s="1">
        <f ca="1">SUMIFS(Table_Process_Details[RV Eutrophication (kg phosphate equiv.) per kg API (WATER)],Table_Process_Details[Display Name],Table_Process_Details[[#This Row],[Unique Process Inputs]],Table_Process_Details[Input or Output],"Input")</f>
        <v>0</v>
      </c>
      <c r="GZ32" s="1">
        <f ca="1">SUMIFS(Table_Process_Details[RV Eutrophication (kg phosphate equiv.) per kg API (ENZ&amp;PLNT)],Table_Process_Details[Display Name],Table_Process_Details[[#This Row],[Unique Process Inputs]],Table_Process_Details[Input or Output],"Input")</f>
        <v>0</v>
      </c>
      <c r="HA32" s="1">
        <f ca="1">SUMIFS(Table_Process_Details[RV Eutrophication (kg phosphate equiv.) per kg API (OTHER)],Table_Process_Details[Display Name],Table_Process_Details[[#This Row],[Unique Process Inputs]],Table_Process_Details[Input or Output],"Input")</f>
        <v>0</v>
      </c>
      <c r="HB32"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0.1 M reagent G (inorganic) in water</v>
      </c>
      <c r="HC32" s="22">
        <f ca="1">IF(LARGE(Table_Process_Details[Total '[Eutrophication (kg posphate equiv.) per kg API'] of Unique Inputs],Table_Process_Details[[#This Row],[Table Row]])=0,NA(),LARGE(Table_Process_Details[Total '[Eutrophication (kg posphate equiv.) per kg API'] of Unique Inputs],Table_Process_Details[[#This Row],[Table Row]]))</f>
        <v>2.2886138407728764E-5</v>
      </c>
      <c r="HD32" s="22">
        <f ca="1">SUM(OFFSET(Table_Process_Details['[Eutrophication (kg posphate equiv.) per kg API'] of Unique Inputs Sorted by '[Eutrophication (kg posphate equiv.) per kg API']],0,0,Table_Process_Details[[#This Row],[Table Row]]))</f>
        <v>1.3757069683455188</v>
      </c>
      <c r="HE32"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2" s="1">
        <f ca="1">INDEX(Table_Process_Details[Total '[Eutrophication (kg posphate equiv.) per kg API'] of Unique Inputs (REAGENT)], MATCH(Table_Process_Details[[#This Row],[Unique Inputs Sorted by '[Eutrophication (kg posphate equiv.) per kg API']]],Table_Process_Details[Unique Process Inputs],0))</f>
        <v>1.3207331630750549E-5</v>
      </c>
      <c r="HG32" s="1">
        <f ca="1">INDEX(Table_Process_Details[Total '[Eutrophication (kg posphate equiv.) per kg API'] of Unique Inputs (METAL)], MATCH(Table_Process_Details[[#This Row],[Unique Inputs Sorted by '[Eutrophication (kg posphate equiv.) per kg API']]],Table_Process_Details[Unique Process Inputs],0))</f>
        <v>0</v>
      </c>
      <c r="HH32" s="1">
        <f ca="1">INDEX(Table_Process_Details[Total '[Eutrophication (kg posphate equiv.) per kg API'] of Unique Inputs (SOLVENT)], MATCH(Table_Process_Details[[#This Row],[Unique Inputs Sorted by '[Eutrophication (kg posphate equiv.) per kg API']]],Table_Process_Details[Unique Process Inputs],0))</f>
        <v>0</v>
      </c>
      <c r="HI32" s="1">
        <f ca="1">INDEX(Table_Process_Details[Total '[Eutrophication (kg posphate equiv.) per kg API'] of Unique Inputs (WATER)], MATCH(Table_Process_Details[[#This Row],[Unique Inputs Sorted by '[Eutrophication (kg posphate equiv.) per kg API']]],Table_Process_Details[Unique Process Inputs],0))</f>
        <v>9.6788067769782142E-6</v>
      </c>
      <c r="HJ32" s="1">
        <f ca="1">INDEX(Table_Process_Details[Total '[Eutrophication (kg posphate equiv.) per kg API'] of Unique Inputs (ENZ&amp;PLNT)], MATCH(Table_Process_Details[[#This Row],[Unique Inputs Sorted by '[Eutrophication (kg posphate equiv.) per kg API']]],Table_Process_Details[Unique Process Inputs],0))</f>
        <v>0</v>
      </c>
      <c r="HK32" s="1">
        <f ca="1">INDEX(Table_Process_Details[Total '[Eutrophication (kg posphate equiv.) per kg API'] of Unique Inputs (OTHER)], MATCH(Table_Process_Details[[#This Row],[Unique Inputs Sorted by '[Eutrophication (kg posphate equiv.) per kg API']]],Table_Process_Details[Unique Process Inputs],0))</f>
        <v>0</v>
      </c>
      <c r="HL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2.6492819317902168</v>
      </c>
      <c r="HM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2.6492819317902168</v>
      </c>
      <c r="HQ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2" s="1">
        <f ca="1">SUMIFS(Table_Process_Details[RV Water (kg) per kg API],Table_Process_Details[Display Name],Table_Process_Details[[#This Row],[Unique Process Inputs]],Table_Process_Details[Input or Output],"Input")</f>
        <v>0</v>
      </c>
      <c r="HT32" s="1">
        <f ca="1">SUMIFS(Table_Process_Details[RV Water (kg) per kg API (REAGENT)],Table_Process_Details[Display Name],Table_Process_Details[[#This Row],[Unique Process Inputs]],Table_Process_Details[Input or Output],"Input")</f>
        <v>0</v>
      </c>
      <c r="HU32" s="1">
        <f ca="1">SUMIFS(Table_Process_Details[RV Water (kg) per kg API (METAL)],Table_Process_Details[Display Name],Table_Process_Details[[#This Row],[Unique Process Inputs]],Table_Process_Details[Input or Output],"Input")</f>
        <v>0</v>
      </c>
      <c r="HV32" s="1">
        <f ca="1">SUMIFS(Table_Process_Details[RV Water (kg) per kg API (SOLVENT)],Table_Process_Details[Display Name],Table_Process_Details[[#This Row],[Unique Process Inputs]],Table_Process_Details[Input or Output],"Input")</f>
        <v>0</v>
      </c>
      <c r="HW32" s="1">
        <f ca="1">SUMIFS(Table_Process_Details[RV Water (kg) per kg API (WATER)],Table_Process_Details[Display Name],Table_Process_Details[[#This Row],[Unique Process Inputs]],Table_Process_Details[Input or Output],"Input")</f>
        <v>0</v>
      </c>
      <c r="HX32" s="1">
        <f ca="1">SUMIFS(Table_Process_Details[RV Water (kg) per kg API (ENZ&amp;PLNT)],Table_Process_Details[Display Name],Table_Process_Details[[#This Row],[Unique Process Inputs]],Table_Process_Details[Input or Output],"Input")</f>
        <v>0</v>
      </c>
      <c r="HY32" s="1">
        <f ca="1">SUMIFS(Table_Process_Details[RV Water (kg) per kg API (OTHER)],Table_Process_Details[Display Name],Table_Process_Details[[#This Row],[Unique Process Inputs]],Table_Process_Details[Input or Output],"Input")</f>
        <v>0</v>
      </c>
      <c r="HZ32" s="22" t="str">
        <f ca="1">INDEX(Table_Process_Details[Unique Process Inputs],MATCH(Table_Process_Details[[#This Row],['[Water (kg) per kg API'] of Unique Inputs Sorted by '[Water (kg) per kg API']]],Table_Process_Details[Total '[Water (kg) per kg API'] of Unique Inputs],0))</f>
        <v>25 wt% reagent E (inorganic) in water</v>
      </c>
      <c r="IA32" s="22">
        <f ca="1">IF(LARGE(Table_Process_Details[Total '[Water (kg) per kg API'] of Unique Inputs],Table_Process_Details[[#This Row],[Table Row]])=0,NA(),LARGE(Table_Process_Details[Total '[Water (kg) per kg API'] of Unique Inputs],Table_Process_Details[[#This Row],[Table Row]]))</f>
        <v>0.15662293953725806</v>
      </c>
      <c r="IB32" s="1">
        <f ca="1">SUM(OFFSET(Table_Process_Details['[Water (kg) per kg API'] of Unique Inputs Sorted by '[Water (kg) per kg API']],0,0,Table_Process_Details[[#This Row],[Table Row]]))</f>
        <v>890.16732664407357</v>
      </c>
      <c r="IC32" s="1" t="str">
        <f ca="1">"("&amp;TEXT(Table_Process_Details[[#This Row],['[Water (kg) per kg API'] of Unique Inputs Sorted by '[Water (kg) per kg API']]]/SUMIF(Table_Process_Details['[Water (kg) per kg API'] of Unique Inputs Sorted by '[Water (kg) per kg API']],"&lt;&gt;#N/A"),"0%")&amp;")"</f>
        <v>(0%)</v>
      </c>
      <c r="ID32" s="1">
        <f ca="1">INDEX(Table_Process_Details[Total '[Water (kg) per kg API'] of Unique Inputs (REAGENT)], MATCH(Table_Process_Details[[#This Row],[Unique Inputs Sorted by '[Water (kg) per kg API']]],Table_Process_Details[Unique Process Inputs],0))</f>
        <v>2.4158842947821797E-2</v>
      </c>
      <c r="IE32" s="1">
        <f ca="1">INDEX(Table_Process_Details[Total '[Water (kg) per kg API'] of Unique Inputs (METAL)], MATCH(Table_Process_Details[[#This Row],[Unique Inputs Sorted by '[Water (kg) per kg API']]],Table_Process_Details[Unique Process Inputs],0))</f>
        <v>0</v>
      </c>
      <c r="IF32" s="1">
        <f ca="1">INDEX(Table_Process_Details[Total '[Water (kg) per kg API'] of Unique Inputs (SOLVENT)], MATCH(Table_Process_Details[[#This Row],[Unique Inputs Sorted by '[Water (kg) per kg API']]],Table_Process_Details[Unique Process Inputs],0))</f>
        <v>0</v>
      </c>
      <c r="IG32" s="1">
        <f ca="1">INDEX(Table_Process_Details[Total '[Water (kg) per kg API'] of Unique Inputs (WATER)], MATCH(Table_Process_Details[[#This Row],[Unique Inputs Sorted by '[Water (kg) per kg API']]],Table_Process_Details[Unique Process Inputs],0))</f>
        <v>0.13246409658943625</v>
      </c>
      <c r="IH32" s="1">
        <f ca="1">INDEX(Table_Process_Details[Total '[Water (kg) per kg API'] of Unique Inputs (ENZ&amp;PLNT)], MATCH(Table_Process_Details[[#This Row],[Unique Inputs Sorted by '[Water (kg) per kg API']]],Table_Process_Details[Unique Process Inputs],0))</f>
        <v>0</v>
      </c>
      <c r="II32" s="1">
        <f ca="1">INDEX(Table_Process_Details[Total '[Water (kg) per kg API'] of Unique Inputs (OTHER)], MATCH(Table_Process_Details[[#This Row],[Unique Inputs Sorted by '[Water (kg) per kg API']]],Table_Process_Details[Unique Process Inputs],0))</f>
        <v>0</v>
      </c>
    </row>
    <row r="33" spans="1:243" customFormat="1" x14ac:dyDescent="0.25">
      <c r="A33" s="22" t="str">
        <f t="shared" si="0"/>
        <v>1) Synthesis of Intermediate (1)</v>
      </c>
      <c r="B33" s="21" t="s">
        <v>4</v>
      </c>
      <c r="C33" s="21" t="s">
        <v>170</v>
      </c>
      <c r="D33" s="22" t="str">
        <f>A16</f>
        <v>1d) Virtual salt prep for (1): nickel salt</v>
      </c>
      <c r="E33" s="22" t="str">
        <f>E16</f>
        <v>nickel salt</v>
      </c>
      <c r="F33" s="26">
        <v>2</v>
      </c>
      <c r="G33" s="26"/>
      <c r="H33" s="26"/>
      <c r="I33" s="26"/>
      <c r="J33" s="26" t="str">
        <f>INDEX(Process_Steps[Reference],MATCH(Table_Process_Details[[#This Row],[Step Name]],Process_Steps[Name],0))</f>
        <v>Reference Document  for Step 1</v>
      </c>
      <c r="K33" s="27" t="str">
        <f>INDEX(Process_Steps[Real or Virtual?],MATCH(Table_Process_Details[[#This Row],[Step Name]],Process_Steps[Name],0))</f>
        <v>Real</v>
      </c>
      <c r="L33"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33"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33" s="26">
        <f>INDEX(Table_Process_Details[Physical Mass (kg)],MATCH(1,INDEX(((Table_Process_Details[Step Name]=Table_Process_Details[[#This Row],[Step Name]])*(Table_Process_Details[Input or Output]="Output")),0),0))</f>
        <v>51.020408163265309</v>
      </c>
      <c r="O33" s="29">
        <f ca="1">INDEX(Process_Steps[Step Scale Factor for 1kg Packaged API],MATCH(Table_Process_Details[[#This Row],[Step Name]],Process_Steps[Name],0))</f>
        <v>6.9901025556863543E-3</v>
      </c>
      <c r="P33"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5.5</v>
      </c>
      <c r="Q33"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15.5</v>
      </c>
      <c r="R33" s="26">
        <f ca="1">_xlfn.SWITCH(Run_Reset_PNG,"Reset",Table_Process_Details[[#This Row],[X Init]],"Run",Table_Process_Details[[#This Row],[X Moved]],"Freeze",Table_Process_Details[[#This Row],[X Mover]])</f>
        <v>-4.7197462987463323</v>
      </c>
      <c r="S33" s="26">
        <f ca="1">_xlfn.SWITCH(Run_Reset_PNG,"Reset",Table_Process_Details[[#This Row],[Y Init]],"Run",Table_Process_Details[[#This Row],[Y Moved]],"Freeze",Table_Process_Details[[#This Row],[Y Mover]])</f>
        <v>25.616152446318189</v>
      </c>
      <c r="T33" s="26" cm="1">
        <f t="array" aca="1" ref="T3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-8.3689070434079724</v>
      </c>
      <c r="U33" s="26" cm="1">
        <f t="array" aca="1" ref="U3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7.4787725886946141</v>
      </c>
      <c r="V33" s="26" cm="1">
        <f t="array" aca="1" ref="V33" ca="1">SUM(--(SQRT((Table_Process_Details[[#This Row],[X Mover]]-Table_Process_Details[X Mover])^2+(Table_Process_Details[[#This Row],[Y Mover]]-Table_Process_Details[Y Mover])^2)&lt;Collision_Distance))</f>
        <v>18</v>
      </c>
      <c r="W33" s="26" cm="1">
        <f t="array" aca="1" ref="W3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0.83309235692500294</v>
      </c>
      <c r="X33" s="26" cm="1">
        <f t="array" aca="1" ref="X3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-0.58884141067977913</v>
      </c>
      <c r="Y33" s="26" cm="1">
        <f t="array" aca="1" ref="Y3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33" s="26">
        <f>0</f>
        <v>0</v>
      </c>
      <c r="AA33" s="26">
        <f>0</f>
        <v>0</v>
      </c>
      <c r="AB33"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2.3598731493731662</v>
      </c>
      <c r="AC33" s="26" cm="1">
        <f t="array" aca="1" ref="AC3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-12.808076223159095</v>
      </c>
      <c r="AD33" s="26">
        <f>MIN(1,COUNTA(Table_Process_Details[[#This Row],[target x]]),COUNTA(Table_Process_Details[[#This Row],[target y]]))*COUNTA(Table_Process_Details[Step Name])</f>
        <v>98</v>
      </c>
      <c r="AE33"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-4.7440590622142533</v>
      </c>
      <c r="AF33"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25.606524451678531</v>
      </c>
      <c r="AG33"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33" s="26" cm="1">
        <f t="array" aca="1" ref="AH33" ca="1">INDEX(Table_Process_Details[X Mover],MATCH(1,INDEX((Table_Process_Details[Input or Output]="Output")*(Table_Process_Details[Step Name]=Table_Process_Details[[#This Row],[Step Name]])*(Table_Process_Details[[#This Row],[Input or Output]]="Input"),0),0))</f>
        <v>0.78891624628593393</v>
      </c>
      <c r="AI33" s="26" cm="1">
        <f t="array" aca="1" ref="AI33" ca="1">INDEX(Table_Process_Details[Y Mover],MATCH(1,INDEX((Table_Process_Details[Input or Output]="Output")*(Table_Process_Details[Step Name]=Table_Process_Details[[#This Row],[Step Name]])*(Table_Process_Details[[#This Row],[Input or Output]]="Input"),0),0))</f>
        <v>21.555431875630404</v>
      </c>
      <c r="AJ33" s="26">
        <f ca="1">SQRT((Table_Process_Details[[#This Row],[X End (To Node Center)]]-Table_Process_Details[[#This Row],[X Guide]])^2+(Table_Process_Details[[#This Row],[Y End (to Node Center)]]-Table_Process_Details[[#This Row],[Y Guide]])^2)</f>
        <v>6.8435966120343696</v>
      </c>
      <c r="AK33" s="26" cm="1">
        <f t="array" aca="1" ref="AK33" ca="1">INDEX(Table_Process_Details[X Mover],MATCH(1,INDEX((Table_Process_Details[Step Name]=Table_Process_Details[[#This Row],[LCA Data Source Subclass]])*(Table_Process_Details[Input or Output]="Output"),0)*(Table_Process_Details[[#This Row],[Input or Output]]="Input"),0))</f>
        <v>-8.5214632532720813</v>
      </c>
      <c r="AL33" s="26" cm="1">
        <f t="array" aca="1" ref="AL33" ca="1">INDEX(Table_Process_Details[X Mover],MATCH(1,INDEX(((Table_Process_Details[Table Row]=Table_Process_Details[[#This Row],[Table Row]])*(1)),0)*(Table_Process_Details[[#This Row],[Input or Output]]="Input"),0))</f>
        <v>-4.7197462987463323</v>
      </c>
      <c r="AM33" s="26" cm="1">
        <f t="array" aca="1" ref="AM33" ca="1">(Table_Process_Details[[#This Row],[X End (To Node Center)]]*Table_Process_Details[[#This Row],[r0]]-Table_Process_Details[[#This Row],[X End (To Node Center)]]*Arrow_Offset+Table_Process_Details[[#This Row],[X Guide]]*Arrow_Offset)/Table_Process_Details[[#This Row],[r0]]</f>
        <v>0.14496683110908271</v>
      </c>
      <c r="AN33" s="26">
        <f ca="1">IF(NOT(Table_Process_Details[[#This Row],[Display As]]="None"),Table_Process_Details[[#This Row],[X Start Prefilter]],NA())</f>
        <v>-8.5214632532720813</v>
      </c>
      <c r="AO33" s="26">
        <f ca="1">IF(NOT(Table_Process_Details[[#This Row],[Display As]]="None"),Table_Process_Details[[#This Row],[X Guide Prefilter]],NA())</f>
        <v>-4.7197462987463323</v>
      </c>
      <c r="AP33" s="26">
        <f ca="1">IF(NOT(Table_Process_Details[[#This Row],[Display As]]="None"),Table_Process_Details[[#This Row],[X End (to Stop Radius) Prefilter]],NA())</f>
        <v>0.14496683110908271</v>
      </c>
      <c r="AQ33" s="26" t="e">
        <f>NA()</f>
        <v>#N/A</v>
      </c>
      <c r="AR33" s="26" cm="1">
        <f t="array" aca="1" ref="AR33" ca="1">INDEX(Table_Process_Details[Y Mover],MATCH(1,INDEX((Table_Process_Details[Step Name]=Table_Process_Details[[#This Row],[LCA Data Source Subclass]])*(Table_Process_Details[Input or Output]="Output"),0)*(Table_Process_Details[[#This Row],[Input or Output]]="Input"),0))</f>
        <v>28.553199270376069</v>
      </c>
      <c r="AS33" s="26" cm="1">
        <f t="array" aca="1" ref="AS33" ca="1">INDEX(Table_Process_Details[Y Mover],MATCH(1,INDEX(((Table_Process_Details[Table Row]=Table_Process_Details[[#This Row],[Table Row]])*(1)),0)*(Table_Process_Details[[#This Row],[Input or Output]]="Input"),0))</f>
        <v>25.616152446318189</v>
      </c>
      <c r="AT33" s="26" cm="1">
        <f t="array" aca="1" ref="AT33" ca="1">(Table_Process_Details[[#This Row],[Y Guide]]*Arrow_Offset-Table_Process_Details[[#This Row],[Y End (to Node Center)]]*Arrow_Offset+Table_Process_Details[[#This Row],[Y End (to Node Center)]]*Table_Process_Details[[#This Row],[r0]])/Table_Process_Details[[#This Row],[r0]]</f>
        <v>22.030120353153709</v>
      </c>
      <c r="AU33" s="26">
        <f ca="1">IF(NOT(Table_Process_Details[[#This Row],[Display As]]="None"),Table_Process_Details[[#This Row],[Y Start Prefilter]],NA())</f>
        <v>28.553199270376069</v>
      </c>
      <c r="AV33" s="26">
        <f ca="1">IF(NOT(Table_Process_Details[[#This Row],[Display As]]="None"),Table_Process_Details[[#This Row],[Y Guide Prefilter]],NA())</f>
        <v>25.616152446318189</v>
      </c>
      <c r="AW33" s="26">
        <f ca="1">IF(NOT(Table_Process_Details[[#This Row],[Display As]]="None"),Table_Process_Details[[#This Row],[Y End (to Stop Radius) Prefilter]],NA())</f>
        <v>22.030120353153709</v>
      </c>
      <c r="AX33" s="26" t="e">
        <f>NA()</f>
        <v>#N/A</v>
      </c>
      <c r="AY33" s="26" t="e">
        <f>IF(Table_Process_Details[[#This Row],[Display As]]="Real Step",Table_Process_Details[[#This Row],[X Mover]],NA())</f>
        <v>#N/A</v>
      </c>
      <c r="AZ33" s="26" t="e">
        <f>IF(Table_Process_Details[[#This Row],[Display As]]="Real Step",Table_Process_Details[[#This Row],[Y Mover]],NA())</f>
        <v>#N/A</v>
      </c>
      <c r="BA33" s="26" t="e">
        <f>IF(Table_Process_Details[[#This Row],[Display As]]="Raw Material",Table_Process_Details[[#This Row],[X Mover]],NA())</f>
        <v>#N/A</v>
      </c>
      <c r="BB33" s="26" t="e">
        <f>IF(Table_Process_Details[[#This Row],[Display As]]="Raw Material",Table_Process_Details[[#This Row],[Y Mover]],NA())</f>
        <v>#N/A</v>
      </c>
      <c r="BC33" s="26" t="e">
        <f>IF(OR(Table_Process_Details[[#This Row],[Display As]]="Real Step",Table_Process_Details[[#This Row],[Display As]]="Raw Material"),Table_Process_Details[[#This Row],[X Mover]],NA())</f>
        <v>#N/A</v>
      </c>
      <c r="BD33" s="26" t="e">
        <f>IF(OR(Table_Process_Details[[#This Row],[Display As]]="Real Step",Table_Process_Details[[#This Row],[Display As]]="Raw Material"),Table_Process_Details[[#This Row],[Y Mover]],NA())</f>
        <v>#N/A</v>
      </c>
      <c r="BE33" s="22">
        <f>ROW()-ROW(Table_Process_Details[[#Headers],[Table Row]])</f>
        <v>29</v>
      </c>
      <c r="BF33" s="23" t="str" cm="1">
        <f t="array" aca="1" ref="BF33" ca="1">INDEX(Table_Process_Details[Display Name],MATCH(0,IF(Table_Process_Details[Input or Output]="Input",INDEX(COUNTIF(OFFSET(Table_Process_Details[[#Headers],[Unique Process Inputs]],0,0,Table_Process_Details[[#This Row],[Table Row]],1),Table_Process_Details[Display Name]),),""),0))</f>
        <v>reagent S (organic)</v>
      </c>
      <c r="BG33" s="23">
        <f ca="1">Table_Process_Details[[#This Row],[Physical Mass (kg)]]*Table_Process_Details[[#This Row],[Step Scale Factor for 1kg Packaged API]]</f>
        <v>1.3980205111372709E-2</v>
      </c>
      <c r="BH33"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0.99999999999474565</v>
      </c>
      <c r="BI33" s="23">
        <f ca="1">MATCH(Table_Process_Details[[#This Row],[LCA Data Source Class]],INDIRECT(Table_Process_Details[[#This Row],[Input or Output]]),0)</f>
        <v>1</v>
      </c>
      <c r="BJ33" s="23">
        <f ca="1">MATCH(Table_Process_Details[[#This Row],[LCA Data Source Subclass]],INDIRECT(Table_Process_Details[[#This Row],[LCA Data Source Class]]&amp;"[Name]"),0)</f>
        <v>4</v>
      </c>
      <c r="BK33" s="23">
        <f ca="1">IFERROR(INDEX(INDIRECT(Table_Process_Details[[#This Row],[LCA Data Source Class]]&amp;"[Mass Net (kg)]"),MATCH(Table_Process_Details[[#This Row],[LCA Data Source Subclass]],INDIRECT(Table_Process_Details[[#This Row],[LCA Data Source Class]]&amp;"[Name]"),0)),0)</f>
        <v>0</v>
      </c>
      <c r="BL33" s="23">
        <f ca="1">IFERROR(INDEX(INDIRECT(Table_Process_Details[[#This Row],[LCA Data Source Class]]&amp;"[Energy (MJ)]"),MATCH(Table_Process_Details[[#This Row],[LCA Data Source Subclass]],INDIRECT(Table_Process_Details[[#This Row],[LCA Data Source Class]]&amp;"[Name]"),0)),0)</f>
        <v>0</v>
      </c>
      <c r="BM33" s="23">
        <f ca="1">IFERROR(INDEX(INDIRECT(Table_Process_Details[[#This Row],[LCA Data Source Class]]&amp;"[GWP (kg CO2 equiv.)]"),MATCH(Table_Process_Details[[#This Row],[LCA Data Source Subclass]],INDIRECT(Table_Process_Details[[#This Row],[LCA Data Source Class]]&amp;"[Name]"),0)),0)</f>
        <v>0</v>
      </c>
      <c r="BN33" s="23">
        <f ca="1">IFERROR(INDEX(INDIRECT(Table_Process_Details[[#This Row],[LCA Data Source Class]]&amp;"[Acidification (kg SO2 equiv.)]"),MATCH(Table_Process_Details[[#This Row],[LCA Data Source Subclass]],INDIRECT(Table_Process_Details[[#This Row],[LCA Data Source Class]]&amp;"[Name]"),0)),0)</f>
        <v>0</v>
      </c>
      <c r="BO33" s="23">
        <f ca="1">IFERROR(INDEX(INDIRECT(Table_Process_Details[[#This Row],[LCA Data Source Class]]&amp;"[Eutrophication (kg posphate equiv.)]"),MATCH(Table_Process_Details[[#This Row],[LCA Data Source Subclass]],INDIRECT(Table_Process_Details[[#This Row],[LCA Data Source Class]]&amp;"[Name]"),0)),0)</f>
        <v>0</v>
      </c>
      <c r="BP33" s="23">
        <f ca="1">IFERROR(INDEX(INDIRECT(Table_Process_Details[[#This Row],[LCA Data Source Class]]&amp;"[Water (kg)]"),MATCH(Table_Process_Details[[#This Row],[LCA Data Source Subclass]],INDIRECT(Table_Process_Details[[#This Row],[LCA Data Source Class]]&amp;"[Name]"),0)),0)</f>
        <v>0</v>
      </c>
      <c r="BQ33" s="27">
        <f ca="1">(Table_Process_Details[[#This Row],[Input or Output]]="Input")*(Table_Process_Details[[#This Row],[LCA Data Source Class]]&lt;&gt;"Process_Steps")*Table_Process_Details[[#This Row],[Scaled Physical Mass per kg API for All Inputs &amp; Outputs]]</f>
        <v>0</v>
      </c>
      <c r="BR33" s="27">
        <f ca="1">(Table_Process_Details[[#This Row],[Material Class]]="REAGENT")*Table_Process_Details[[#This Row],[Physical Mass per kg API]]</f>
        <v>0</v>
      </c>
      <c r="BS33" s="27">
        <f ca="1">(Table_Process_Details[[#This Row],[Material Class]]="METAL")*Table_Process_Details[[#This Row],[Physical Mass per kg API]]</f>
        <v>0</v>
      </c>
      <c r="BT33" s="27">
        <f ca="1">(Table_Process_Details[[#This Row],[Material Class]]="SOLVENT")*Table_Process_Details[[#This Row],[Physical Mass per kg API]]</f>
        <v>0</v>
      </c>
      <c r="BU33" s="27">
        <f ca="1">(Table_Process_Details[[#This Row],[Material Class]]="WATER")*Table_Process_Details[[#This Row],[Physical Mass per kg API]]</f>
        <v>0</v>
      </c>
      <c r="BV33" s="27">
        <f ca="1">(Table_Process_Details[[#This Row],[Material Class]]="ENZ&amp;PLNT")*Table_Process_Details[[#This Row],[Physical Mass per kg API]]</f>
        <v>0</v>
      </c>
      <c r="BW33" s="27">
        <f ca="1">(Table_Process_Details[[#This Row],[Material Class]]="OTHER")*Table_Process_Details[[#This Row],[Physical Mass per kg API]]</f>
        <v>0</v>
      </c>
      <c r="BX33"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1.398020511137271E-2</v>
      </c>
      <c r="BY33"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8.8097580889613149E-3</v>
      </c>
      <c r="BZ33"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5.1704470224113947E-3</v>
      </c>
      <c r="CA33"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3"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3"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3"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3" s="1">
        <f ca="1">SUMIFS(Table_Process_Details[RV Physical Mass per kg API],Table_Process_Details[Display Name],Table_Process_Details[[#This Row],[Unique Process Inputs]],Table_Process_Details[Input or Output],"Input")</f>
        <v>0.13980205111364838</v>
      </c>
      <c r="CF33" s="1">
        <f ca="1">SUMIFS(Table_Process_Details[RV Physical Mass per kg API (REAGENT)],Table_Process_Details[Display Name],Table_Process_Details[[#This Row],[Unique Process Inputs]],Table_Process_Details[Input or Output],"Input")</f>
        <v>0.13980205111364838</v>
      </c>
      <c r="CG33" s="1">
        <f ca="1">SUMIFS(Table_Process_Details[RV Physical Mass per kg API (METAL)],Table_Process_Details[Display Name],Table_Process_Details[[#This Row],[Unique Process Inputs]],Table_Process_Details[Input or Output],"Input")</f>
        <v>0</v>
      </c>
      <c r="CH33" s="1">
        <f ca="1">SUMIFS(Table_Process_Details[RV Physical Mass per kg API (SOLVENT)],Table_Process_Details[Display Name],Table_Process_Details[[#This Row],[Unique Process Inputs]],Table_Process_Details[Input or Output],"Input")</f>
        <v>0</v>
      </c>
      <c r="CI33" s="1">
        <f ca="1">SUMIFS(Table_Process_Details[RV Physical Mass per kg API (WATER)],Table_Process_Details[Display Name],Table_Process_Details[[#This Row],[Unique Process Inputs]],Table_Process_Details[Input or Output],"Input")</f>
        <v>0</v>
      </c>
      <c r="CJ33" s="1">
        <f ca="1">SUMIFS(Table_Process_Details[RV Physical Mass per kg API (ENZ&amp;PLNT)],Table_Process_Details[Display Name],Table_Process_Details[[#This Row],[Unique Process Inputs]],Table_Process_Details[Input or Output],"Input")</f>
        <v>0</v>
      </c>
      <c r="CK33" s="1">
        <f ca="1">SUMIFS(Table_Process_Details[RV Physical Mass per kg API (OTHER)],Table_Process_Details[Display Name],Table_Process_Details[[#This Row],[Unique Process Inputs]],Table_Process_Details[Input or Output],"Input")</f>
        <v>0</v>
      </c>
      <c r="CL33" s="22" t="str">
        <f ca="1">INDEX(Table_Process_Details[Unique Process Inputs],MATCH(Table_Process_Details[[#This Row],['[Physical Mass per kg API'] of Unique Inputs Sorted by '[Physical Mass per kg API']]],Table_Process_Details[Total '[Physical Mass per kg API'] of Unique Inputs],0))</f>
        <v>nickel salt</v>
      </c>
      <c r="CM33" s="22">
        <f ca="1">IF(LARGE(Table_Process_Details[Total '[Physical Mass per kg API'] of Unique Inputs],Table_Process_Details[[#This Row],[Table Row]])=0,NA(),LARGE(Table_Process_Details[Total '[Physical Mass per kg API'] of Unique Inputs],Table_Process_Details[[#This Row],[Table Row]]))</f>
        <v>1.398020511137271E-2</v>
      </c>
      <c r="CN33" s="22">
        <f ca="1">SUM(OFFSET(Table_Process_Details['[Physical Mass per kg API'] of Unique Inputs Sorted by '[Physical Mass per kg API']],0,0,Table_Process_Details[[#This Row],[Table Row]]))</f>
        <v>147.57318457573831</v>
      </c>
      <c r="CO33" s="22" t="str">
        <f ca="1">"("&amp;TEXT(Table_Process_Details[[#This Row],['[Physical Mass per kg API'] of Unique Inputs Sorted by '[Physical Mass per kg API']]]/SUMIF(Table_Process_Details['[Physical Mass per kg API'] of Unique Inputs Sorted by '[Physical Mass per kg API']],"&lt;&gt;#N/A"),"0%")&amp;")"</f>
        <v>(0%)</v>
      </c>
      <c r="CP33" s="22">
        <f ca="1">INDEX(Table_Process_Details[Total '[Physical Mass per kg API'] of Unique Inputs (REAGENT)],MATCH(Table_Process_Details[[#This Row],[Unique Inputs Sorted by '[Physical Mass per kg API']]],Table_Process_Details[Unique Process Inputs],0))</f>
        <v>8.8097580889613149E-3</v>
      </c>
      <c r="CQ33" s="22">
        <f ca="1">INDEX(Table_Process_Details[Total '[Physical Mass per kg API'] of Unique Inputs (METAL)],MATCH(Table_Process_Details[[#This Row],[Unique Inputs Sorted by '[Physical Mass per kg API']]],Table_Process_Details[Unique Process Inputs],0))</f>
        <v>5.1704470224113947E-3</v>
      </c>
      <c r="CR33" s="22">
        <f ca="1">INDEX(Table_Process_Details[Total '[Physical Mass per kg API'] of Unique Inputs (SOLVENT)],MATCH(Table_Process_Details[[#This Row],[Unique Inputs Sorted by '[Physical Mass per kg API']]],Table_Process_Details[Unique Process Inputs],0))</f>
        <v>0</v>
      </c>
      <c r="CS33" s="22">
        <f ca="1">INDEX(Table_Process_Details[Total '[Physical Mass per kg API'] of Unique Inputs (WATER)],MATCH(Table_Process_Details[[#This Row],[Unique Inputs Sorted by '[Physical Mass per kg API']]],Table_Process_Details[Unique Process Inputs],0))</f>
        <v>0</v>
      </c>
      <c r="CT33" s="22">
        <f ca="1">INDEX(Table_Process_Details[Total '[Physical Mass per kg API'] of Unique Inputs (ENZ&amp;PLNT)],MATCH(Table_Process_Details[[#This Row],[Unique Inputs Sorted by '[Physical Mass per kg API']]],Table_Process_Details[Unique Process Inputs],0))</f>
        <v>0</v>
      </c>
      <c r="CU33" s="22">
        <f ca="1">INDEX(Table_Process_Details[Total '[Physical Mass per kg API'] of Unique Inputs (OTHER)],MATCH(Table_Process_Details[[#This Row],[Unique Inputs Sorted by '[Physical Mass per kg API']]],Table_Process_Details[Unique Process Inputs],0))</f>
        <v>0</v>
      </c>
      <c r="CV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2.5017411245832774E-2</v>
      </c>
      <c r="CW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1.1805075839208161E-2</v>
      </c>
      <c r="CX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1.3212335406624615E-2</v>
      </c>
      <c r="CY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3" s="22">
        <f ca="1">SUMIFS(Table_Process_Details[RV Mass Net (kg) per kg API],Table_Process_Details[Display Name],Table_Process_Details[[#This Row],[Unique Process Inputs]],Table_Process_Details[Input or Output],"Input")</f>
        <v>0.29164396914610657</v>
      </c>
      <c r="DD33" s="22">
        <f ca="1">SUMIFS(Table_Process_Details[RV Mass Net (kg) per kg API (REAGENT)],Table_Process_Details[Display Name],Table_Process_Details[[#This Row],[Unique Process Inputs]],Table_Process_Details[Input or Output],"Input")</f>
        <v>0.29164396914610657</v>
      </c>
      <c r="DE33" s="22">
        <f ca="1">SUMIFS(Table_Process_Details[RV Mass Net (kg) per kg API (METAL)],Table_Process_Details[Display Name],Table_Process_Details[[#This Row],[Unique Process Inputs]],Table_Process_Details[Input or Output],"Input")</f>
        <v>0</v>
      </c>
      <c r="DF33" s="22">
        <f ca="1">SUMIFS(Table_Process_Details[RV Mass Net (kg) per kg API (SOLVENT)],Table_Process_Details[Display Name],Table_Process_Details[[#This Row],[Unique Process Inputs]],Table_Process_Details[Input or Output],"Input")</f>
        <v>0</v>
      </c>
      <c r="DG33" s="22">
        <f ca="1">SUMIFS(Table_Process_Details[RV Mass Net (kg) per kg API (WATER)],Table_Process_Details[Display Name],Table_Process_Details[[#This Row],[Unique Process Inputs]],Table_Process_Details[Input or Output],"Input")</f>
        <v>0</v>
      </c>
      <c r="DH33" s="22">
        <f ca="1">SUMIFS(Table_Process_Details[RV Mass Net (kg) per kg API (ENZ&amp;PLNT)],Table_Process_Details[Display Name],Table_Process_Details[[#This Row],[Unique Process Inputs]],Table_Process_Details[Input or Output],"Input")</f>
        <v>0</v>
      </c>
      <c r="DI33" s="22">
        <f ca="1">SUMIFS(Table_Process_Details[RV Mass Net (kg) per kg API (OTHER)],Table_Process_Details[Display Name],Table_Process_Details[[#This Row],[Unique Process Inputs]],Table_Process_Details[Input or Output],"Input")</f>
        <v>0</v>
      </c>
      <c r="DJ33" s="22" t="str">
        <f ca="1">INDEX(Table_Process_Details[Unique Process Inputs],MATCH(Table_Process_Details[[#This Row],['[Mass Net (kg) per kg API'] of Unique Inputs Sorted by '[Mass Net (kg) per kg API']]],Table_Process_Details[Total '[Mass Net (kg) per kg API'] of Unique Inputs],0))</f>
        <v>0.2 M reagent H (inorganic) in water</v>
      </c>
      <c r="DK33" s="22">
        <f ca="1">IF(LARGE(Table_Process_Details[Total '[Mass Net (kg) per kg API'] of Unique Inputs],Table_Process_Details[[#This Row],[Table Row]])=0,NA(),LARGE(Table_Process_Details[Total '[Mass Net (kg) per kg API'] of Unique Inputs],Table_Process_Details[[#This Row],[Table Row]]))</f>
        <v>2.9408792810862202E-3</v>
      </c>
      <c r="DL33" s="22">
        <f ca="1">SUM(OFFSET(Table_Process_Details['[Mass Net (kg) per kg API'] of Unique Inputs Sorted by '[Mass Net (kg) per kg API']],0,0,Table_Process_Details[[#This Row],[Table Row]]))</f>
        <v>127.08680515975544</v>
      </c>
      <c r="DM33" s="22" t="str">
        <f ca="1">"("&amp;TEXT(Table_Process_Details[[#This Row],['[Mass Net (kg) per kg API'] of Unique Inputs Sorted by '[Mass Net (kg) per kg API']]]/SUMIF(Table_Process_Details['[Mass Net (kg) per kg API'] of Unique Inputs Sorted by '[Mass Net (kg) per kg API']],"&lt;&gt;#N/A"),"0%")&amp;")"</f>
        <v>(0%)</v>
      </c>
      <c r="DN33" s="22">
        <f ca="1">INDEX(Table_Process_Details[Total '[Mass Net (kg) per kg API'] of Unique Inputs (REAGENT)], MATCH(Table_Process_Details[[#This Row],[Unique Inputs Sorted by '[Mass Net (kg) per kg API']]],Table_Process_Details[Unique Process Inputs],0))</f>
        <v>1.8733474849228886E-3</v>
      </c>
      <c r="DO33" s="22">
        <f ca="1">INDEX(Table_Process_Details[Total '[Mass Net (kg) per kg API'] of Unique Inputs (METAL)], MATCH(Table_Process_Details[[#This Row],[Unique Inputs Sorted by '[Mass Net (kg) per kg API']]],Table_Process_Details[Unique Process Inputs],0))</f>
        <v>0</v>
      </c>
      <c r="DP33" s="22">
        <f ca="1">INDEX(Table_Process_Details[Total '[Mass Net (kg) per kg API'] of Unique Inputs (SOLVENT)], MATCH(Table_Process_Details[[#This Row],[Unique Inputs Sorted by '[Mass Net (kg) per kg API']]],Table_Process_Details[Unique Process Inputs],0))</f>
        <v>0</v>
      </c>
      <c r="DQ33" s="22">
        <f ca="1">INDEX(Table_Process_Details[Total '[Mass Net (kg) per kg API'] of Unique Inputs (WATER)], MATCH(Table_Process_Details[[#This Row],[Unique Inputs Sorted by '[Mass Net (kg) per kg API']]],Table_Process_Details[Unique Process Inputs],0))</f>
        <v>1.0675317961633319E-3</v>
      </c>
      <c r="DR33" s="22">
        <f ca="1">INDEX(Table_Process_Details[Total '[Mass Net (kg) per kg API'] of Unique Inputs (ENZ&amp;PLNT)], MATCH(Table_Process_Details[[#This Row],[Unique Inputs Sorted by '[Mass Net (kg) per kg API']]],Table_Process_Details[Unique Process Inputs],0))</f>
        <v>0</v>
      </c>
      <c r="DS33" s="22">
        <f ca="1">INDEX(Table_Process_Details[Total '[Mass Net (kg) per kg API'] of Unique Inputs (OTHER)], MATCH(Table_Process_Details[[#This Row],[Unique Inputs Sorted by '[Mass Net (kg) per kg API']]],Table_Process_Details[Unique Process Inputs],0))</f>
        <v>0</v>
      </c>
      <c r="DT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0.14204871996522528</v>
      </c>
      <c r="DU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9.3647728485658777E-2</v>
      </c>
      <c r="DV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4.8400991479566495E-2</v>
      </c>
      <c r="DW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3" s="1">
        <f ca="1">SUMIFS(Table_Process_Details[RV Energy (MJ) per kg API],Table_Process_Details[Display Name],Table_Process_Details[[#This Row],[Unique Process Inputs]],Table_Process_Details[Input or Output],"Input")</f>
        <v>10.466600509401363</v>
      </c>
      <c r="EB33" s="1">
        <f ca="1">SUMIFS(Table_Process_Details[RV Energy (MJ) per kg API (REAGENT)],Table_Process_Details[Display Name],Table_Process_Details[[#This Row],[Unique Process Inputs]],Table_Process_Details[Input or Output],"Input")</f>
        <v>10.466600509401363</v>
      </c>
      <c r="EC33" s="1">
        <f ca="1">SUMIFS(Table_Process_Details[RV Energy (MJ) per kg API (METAL)],Table_Process_Details[Display Name],Table_Process_Details[[#This Row],[Unique Process Inputs]],Table_Process_Details[Input or Output],"Input")</f>
        <v>0</v>
      </c>
      <c r="ED33" s="1">
        <f ca="1">SUMIFS(Table_Process_Details[RV Energy (MJ) per kg API (SOLVENT)],Table_Process_Details[Display Name],Table_Process_Details[[#This Row],[Unique Process Inputs]],Table_Process_Details[Input or Output],"Input")</f>
        <v>0</v>
      </c>
      <c r="EE33" s="1">
        <f ca="1">SUMIFS(Table_Process_Details[RV Energy (MJ) per kg API (WATER)],Table_Process_Details[Display Name],Table_Process_Details[[#This Row],[Unique Process Inputs]],Table_Process_Details[Input or Output],"Input")</f>
        <v>0</v>
      </c>
      <c r="EF33" s="1">
        <f ca="1">SUMIFS(Table_Process_Details[RV Energy (MJ) per kg API (ENZ&amp;PLNT)],Table_Process_Details[Display Name],Table_Process_Details[[#This Row],[Unique Process Inputs]],Table_Process_Details[Input or Output],"Input")</f>
        <v>0</v>
      </c>
      <c r="EG33" s="1">
        <f ca="1">SUMIFS(Table_Process_Details[RV Energy (MJ) per kg API (OTHER)],Table_Process_Details[Display Name],Table_Process_Details[[#This Row],[Unique Process Inputs]],Table_Process_Details[Input or Output],"Input")</f>
        <v>0</v>
      </c>
      <c r="EH33" s="1" t="str">
        <f ca="1">INDEX(Table_Process_Details[Unique Process Inputs],MATCH(Table_Process_Details[[#This Row],['[Energy (MJ) per kg API'] of Unique Inputs Sorted by '[Energy (MJ) per kg API']]],Table_Process_Details[Total '[Energy (MJ) per kg API'] of Unique Inputs],0))</f>
        <v>reagent Q (organic)</v>
      </c>
      <c r="EI33" s="22">
        <f ca="1">IF(LARGE(Table_Process_Details[Total '[Energy (MJ) per kg API'] of Unique Inputs],Table_Process_Details[[#This Row],[Table Row]])=0,NA(),LARGE(Table_Process_Details[Total '[Energy (MJ) per kg API'] of Unique Inputs],Table_Process_Details[[#This Row],[Table Row]]))</f>
        <v>5.2333002547036288E-2</v>
      </c>
      <c r="EJ33" s="22">
        <f ca="1">SUM(OFFSET(Table_Process_Details['[Energy (MJ) per kg API'] of Unique Inputs Sorted by '[Energy (MJ) per kg API']],0,0,Table_Process_Details[[#This Row],[Table Row]]))</f>
        <v>5064.7135088035984</v>
      </c>
      <c r="EK33" s="22" t="str">
        <f ca="1">"("&amp;TEXT(Table_Process_Details[[#This Row],['[Energy (MJ) per kg API'] of Unique Inputs Sorted by '[Energy (MJ) per kg API']]]/SUMIF(Table_Process_Details['[Energy (MJ) per kg API'] of Unique Inputs Sorted by '[Energy (MJ) per kg API']],"&lt;&gt;#N/A"),"0%")&amp;")"</f>
        <v>(0%)</v>
      </c>
      <c r="EL33" s="22">
        <f ca="1">INDEX(Table_Process_Details[Total '[Energy (MJ) per kg API'] of Unique Inputs (REAGENT)], MATCH(Table_Process_Details[[#This Row],[Unique Inputs Sorted by '[Energy (MJ) per kg API']]],Table_Process_Details[Unique Process Inputs],0))</f>
        <v>5.2333002547036288E-2</v>
      </c>
      <c r="EM33" s="22">
        <f ca="1">INDEX(Table_Process_Details[Total '[Energy (MJ) per kg API'] of Unique Inputs (METAL)], MATCH(Table_Process_Details[[#This Row],[Unique Inputs Sorted by '[Energy (MJ) per kg API']]],Table_Process_Details[Unique Process Inputs],0))</f>
        <v>0</v>
      </c>
      <c r="EN33" s="22">
        <f ca="1">INDEX(Table_Process_Details[Total '[Energy (MJ) per kg API'] of Unique Inputs (SOLVENT)], MATCH(Table_Process_Details[[#This Row],[Unique Inputs Sorted by '[Energy (MJ) per kg API']]],Table_Process_Details[Unique Process Inputs],0))</f>
        <v>0</v>
      </c>
      <c r="EO33" s="22">
        <f ca="1">INDEX(Table_Process_Details[Total '[Energy (MJ) per kg API'] of Unique Inputs (WATER)], MATCH(Table_Process_Details[[#This Row],[Unique Inputs Sorted by '[Energy (MJ) per kg API']]],Table_Process_Details[Unique Process Inputs],0))</f>
        <v>0</v>
      </c>
      <c r="EP33" s="22">
        <f ca="1">INDEX(Table_Process_Details[Total '[Energy (MJ) per kg API'] of Unique Inputs (ENZ&amp;PLNT)], MATCH(Table_Process_Details[[#This Row],[Unique Inputs Sorted by '[Energy (MJ) per kg API']]],Table_Process_Details[Unique Process Inputs],0))</f>
        <v>0</v>
      </c>
      <c r="EQ33" s="22">
        <f ca="1">INDEX(Table_Process_Details[Total '[Energy (MJ) per kg API'] of Unique Inputs (OTHER)], MATCH(Table_Process_Details[[#This Row],[Unique Inputs Sorted by '[Energy (MJ) per kg API']]],Table_Process_Details[Unique Process Inputs],0))</f>
        <v>0</v>
      </c>
      <c r="ER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1.5016050101629685E-2</v>
      </c>
      <c r="ES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1.2205038856447005E-2</v>
      </c>
      <c r="ET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2.8110112451826814E-3</v>
      </c>
      <c r="EU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3" s="22">
        <f ca="1">SUMIFS(Table_Process_Details[RV GWP (kg CO2 equiv.) per kg API],Table_Process_Details[Display Name],Table_Process_Details[[#This Row],[Unique Process Inputs]],Table_Process_Details[Input or Output],"Input")</f>
        <v>0.36689700005169401</v>
      </c>
      <c r="EZ33" s="1">
        <f ca="1">SUMIFS(Table_Process_Details[RV GWP (kg CO2 equiv.) per kg API (REAGENT)],Table_Process_Details[Display Name],Table_Process_Details[[#This Row],[Unique Process Inputs]],Table_Process_Details[Input or Output],"Input")</f>
        <v>0.36689700005169401</v>
      </c>
      <c r="FA33" s="1">
        <f ca="1">SUMIFS(Table_Process_Details[RV GWP (kg CO2 equiv.) per kg API (METAL)],Table_Process_Details[Display Name],Table_Process_Details[[#This Row],[Unique Process Inputs]],Table_Process_Details[Input or Output],"Input")</f>
        <v>0</v>
      </c>
      <c r="FB33" s="1">
        <f ca="1">SUMIFS(Table_Process_Details[RV GWP (kg CO2 equiv.) per kg API (SOLVENT)],Table_Process_Details[Display Name],Table_Process_Details[[#This Row],[Unique Process Inputs]],Table_Process_Details[Input or Output],"Input")</f>
        <v>0</v>
      </c>
      <c r="FC33" s="1">
        <f ca="1">SUMIFS(Table_Process_Details[RV GWP (kg CO2 equiv.) per kg API (WATER)],Table_Process_Details[Display Name],Table_Process_Details[[#This Row],[Unique Process Inputs]],Table_Process_Details[Input or Output],"Input")</f>
        <v>0</v>
      </c>
      <c r="FD33" s="1">
        <f ca="1">SUMIFS(Table_Process_Details[RV GWP (kg CO2 equiv.) per kg API (ENZ&amp;PLNT)],Table_Process_Details[Display Name],Table_Process_Details[[#This Row],[Unique Process Inputs]],Table_Process_Details[Input or Output],"Input")</f>
        <v>0</v>
      </c>
      <c r="FE33" s="1">
        <f ca="1">SUMIFS(Table_Process_Details[RV GWP (kg CO2 equiv.) per kg API (OTHER)],Table_Process_Details[Display Name],Table_Process_Details[[#This Row],[Unique Process Inputs]],Table_Process_Details[Input or Output],"Input")</f>
        <v>0</v>
      </c>
      <c r="FF33" s="22" t="str">
        <f ca="1">INDEX(Table_Process_Details[Unique Process Inputs],MATCH(Table_Process_Details[[#This Row],['[GWP (kg CO2 equiv.) per kg API'] of Unique Inputs Sorted by '[GWP (kg CO2 equiv.) per kg API']]],Table_Process_Details[Total '[GWP (kg CO2 equiv.) per kg API'] of Unique Inputs],0))</f>
        <v>0.2 M reagent H (inorganic) in water</v>
      </c>
      <c r="FG33" s="22">
        <f ca="1">IF(LARGE(Table_Process_Details[Total '[GWP (kg CO2 equiv.) per kg API'] of Unique Inputs],Table_Process_Details[[#This Row],[Table Row]])=0,NA(),LARGE(Table_Process_Details[Total '[GWP (kg CO2 equiv.) per kg API'] of Unique Inputs],Table_Process_Details[[#This Row],[Table Row]]))</f>
        <v>2.6454116629898586E-3</v>
      </c>
      <c r="FH33" s="22">
        <f ca="1">SUM(OFFSET(Table_Process_Details['[GWP (kg CO2 equiv.) per kg API'] of Unique Inputs Sorted by '[GWP (kg CO2 equiv.) per kg API']],0,0,Table_Process_Details[[#This Row],[Table Row]]))</f>
        <v>156.49673926808035</v>
      </c>
      <c r="FI33" s="22" t="str">
        <f ca="1">"("&amp;TEXT(Table_Process_Details[[#This Row],['[GWP (kg CO2 equiv.) per kg API'] of Unique Inputs Sorted by '[GWP (kg CO2 equiv.) per kg API']]]/SUMIF(Table_Process_Details['[GWP (kg CO2 equiv.) per kg API'] of Unique Inputs Sorted by '[GWP (kg CO2 equiv.) per kg API']],"&lt;&gt;#N/A"),"0%")&amp;")"</f>
        <v>(0%)</v>
      </c>
      <c r="FJ33" s="22">
        <f ca="1">INDEX(Table_Process_Details[Total '[GWP (kg CO2 equiv.) per kg API'] of Unique Inputs (REAGENT)], MATCH(Table_Process_Details[[#This Row],[Unique Inputs Sorted by '[GWP (kg CO2 equiv.) per kg API']]],Table_Process_Details[Unique Process Inputs],0))</f>
        <v>1.9368176161284846E-3</v>
      </c>
      <c r="FK33" s="22">
        <f ca="1">INDEX(Table_Process_Details[Total '[GWP (kg CO2 equiv.) per kg API'] of Unique Inputs (METAL)], MATCH(Table_Process_Details[[#This Row],[Unique Inputs Sorted by '[GWP (kg CO2 equiv.) per kg API']]],Table_Process_Details[Unique Process Inputs],0))</f>
        <v>0</v>
      </c>
      <c r="FL33" s="22">
        <f ca="1">INDEX(Table_Process_Details[Total '[GWP (kg CO2 equiv.) per kg API'] of Unique Inputs (SOLVENT)], MATCH(Table_Process_Details[[#This Row],[Unique Inputs Sorted by '[GWP (kg CO2 equiv.) per kg API']]],Table_Process_Details[Unique Process Inputs],0))</f>
        <v>0</v>
      </c>
      <c r="FM33" s="22">
        <f ca="1">INDEX(Table_Process_Details[Total '[GWP (kg CO2 equiv.) per kg API'] of Unique Inputs (WATER)], MATCH(Table_Process_Details[[#This Row],[Unique Inputs Sorted by '[GWP (kg CO2 equiv.) per kg API']]],Table_Process_Details[Unique Process Inputs],0))</f>
        <v>7.0859404686137437E-4</v>
      </c>
      <c r="FN33" s="22">
        <f ca="1">INDEX(Table_Process_Details[Total '[GWP (kg CO2 equiv.) per kg API'] of Unique Inputs (ENZ&amp;PLNT)], MATCH(Table_Process_Details[[#This Row],[Unique Inputs Sorted by '[GWP (kg CO2 equiv.) per kg API']]],Table_Process_Details[Unique Process Inputs],0))</f>
        <v>0</v>
      </c>
      <c r="FO33" s="22">
        <f ca="1">INDEX(Table_Process_Details[Total '[GWP (kg CO2 equiv.) per kg API'] of Unique Inputs (OTHER)], MATCH(Table_Process_Details[[#This Row],[Unique Inputs Sorted by '[GWP (kg CO2 equiv.) per kg API']]],Table_Process_Details[Unique Process Inputs],0))</f>
        <v>0</v>
      </c>
      <c r="FP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5.6372937748189655E-4</v>
      </c>
      <c r="FQ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1.2245563743656227E-4</v>
      </c>
      <c r="FR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4.4127374004533426E-4</v>
      </c>
      <c r="FS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3" s="22">
        <f ca="1">SUMIFS(Table_Process_Details[RV Acidification (kg SO2 equiv.) per kg API],Table_Process_Details[Display Name],Table_Process_Details[[#This Row],[Unique Process Inputs]],Table_Process_Details[Input or Output],"Input")</f>
        <v>1.5690143212298412E-3</v>
      </c>
      <c r="FX33" s="1">
        <f ca="1">SUMIFS(Table_Process_Details[RV Acidification (kg SO2 equiv.) per kg API (REAGENT)],Table_Process_Details[Display Name],Table_Process_Details[[#This Row],[Unique Process Inputs]],Table_Process_Details[Input or Output],"Input")</f>
        <v>1.5690143212298412E-3</v>
      </c>
      <c r="FY33" s="1">
        <f ca="1">SUMIFS(Table_Process_Details[RV Acidification (kg SO2 equiv.) per kg API (METAL)],Table_Process_Details[Display Name],Table_Process_Details[[#This Row],[Unique Process Inputs]],Table_Process_Details[Input or Output],"Input")</f>
        <v>0</v>
      </c>
      <c r="FZ33" s="1">
        <f ca="1">SUMIFS(Table_Process_Details[RV Acidification (kg SO2 equiv.) per kg API (SOLVENT)],Table_Process_Details[Display Name],Table_Process_Details[[#This Row],[Unique Process Inputs]],Table_Process_Details[Input or Output],"Input")</f>
        <v>0</v>
      </c>
      <c r="GA33" s="1">
        <f ca="1">SUMIFS(Table_Process_Details[RV Acidification (kg SO2 equiv.) per kg API (WATER)],Table_Process_Details[Display Name],Table_Process_Details[[#This Row],[Unique Process Inputs]],Table_Process_Details[Input or Output],"Input")</f>
        <v>0</v>
      </c>
      <c r="GB33" s="1">
        <f ca="1">SUMIFS(Table_Process_Details[RV Acidification (kg SO2 equiv.) per kg API (ENZ&amp;PLNT)],Table_Process_Details[Display Name],Table_Process_Details[[#This Row],[Unique Process Inputs]],Table_Process_Details[Input or Output],"Input")</f>
        <v>0</v>
      </c>
      <c r="GC33" s="1">
        <f ca="1">SUMIFS(Table_Process_Details[RV Acidification (kg SO2 equiv.) per kg API (OTHER)],Table_Process_Details[Display Name],Table_Process_Details[[#This Row],[Unique Process Inputs]],Table_Process_Details[Input or Output],"Input")</f>
        <v>0</v>
      </c>
      <c r="GD33"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0.2 M reagent H (inorganic) in water</v>
      </c>
      <c r="GE33" s="22">
        <f ca="1">IF(LARGE(Table_Process_Details[Total '[Acidification (kg SO2 equiv.) per kg API'] of Unique Inputs],Table_Process_Details[[#This Row],[Table Row]])=0,NA(),LARGE(Table_Process_Details[Total '[Acidification (kg SO2 equiv.) per kg API'] of Unique Inputs],Table_Process_Details[[#This Row],[Table Row]]))</f>
        <v>2.2147197772726571E-5</v>
      </c>
      <c r="GF33" s="22">
        <f ca="1">SUM(OFFSET(Table_Process_Details['[Acidification (kg SO2 equiv.) per kg API'] of Unique Inputs Sorted by '[Acidification (kg SO2 equiv.) per kg API']],0,0,Table_Process_Details[[#This Row],[Table Row]]))</f>
        <v>0.65529111488321479</v>
      </c>
      <c r="GG33"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3" s="22">
        <f ca="1">INDEX(Table_Process_Details[Total '[Acidification (kg SO2 equiv.) per kg API'] of Unique Inputs (REAGENT)], MATCH(Table_Process_Details[[#This Row],[Unique Inputs Sorted by '[Acidification (kg SO2 equiv.) per kg API']]],Table_Process_Details[Unique Process Inputs],0))</f>
        <v>1.9432485104797125E-5</v>
      </c>
      <c r="GI33" s="22">
        <f ca="1">INDEX(Table_Process_Details[Total '[Acidification (kg SO2 equiv.) per kg API'] of Unique Inputs (METAL)], MATCH(Table_Process_Details[[#This Row],[Unique Inputs Sorted by '[Acidification (kg SO2 equiv.) per kg API']]],Table_Process_Details[Unique Process Inputs],0))</f>
        <v>0</v>
      </c>
      <c r="GJ33" s="22">
        <f ca="1">INDEX(Table_Process_Details[Total '[Acidification (kg SO2 equiv.) per kg API'] of Unique Inputs (SOLVENT)], MATCH(Table_Process_Details[[#This Row],[Unique Inputs Sorted by '[Acidification (kg SO2 equiv.) per kg API']]],Table_Process_Details[Unique Process Inputs],0))</f>
        <v>0</v>
      </c>
      <c r="GK33" s="22">
        <f ca="1">INDEX(Table_Process_Details[Total '[Acidification (kg SO2 equiv.) per kg API'] of Unique Inputs (WATER)], MATCH(Table_Process_Details[[#This Row],[Unique Inputs Sorted by '[Acidification (kg SO2 equiv.) per kg API']]],Table_Process_Details[Unique Process Inputs],0))</f>
        <v>2.7147126679294471E-6</v>
      </c>
      <c r="GL33" s="22">
        <f ca="1">INDEX(Table_Process_Details[Total '[Acidification (kg SO2 equiv.) per kg API'] of Unique Inputs (ENZ&amp;PLNT)], MATCH(Table_Process_Details[[#This Row],[Unique Inputs Sorted by '[Acidification (kg SO2 equiv.) per kg API']]],Table_Process_Details[Unique Process Inputs],0))</f>
        <v>0</v>
      </c>
      <c r="GM33" s="22">
        <f ca="1">INDEX(Table_Process_Details[Total '[Acidification (kg SO2 equiv.) per kg API'] of Unique Inputs (OTHER)], MATCH(Table_Process_Details[[#This Row],[Unique Inputs Sorted by '[Acidification (kg SO2 equiv.) per kg API']]],Table_Process_Details[Unique Process Inputs],0))</f>
        <v>0</v>
      </c>
      <c r="GN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4.0960250009151139E-5</v>
      </c>
      <c r="GO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6.1668306622729204E-6</v>
      </c>
      <c r="GP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3.4793419346878223E-5</v>
      </c>
      <c r="GQ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3" s="22">
        <f ca="1">SUMIFS(Table_Process_Details[RV Eutrophication (kg phosphate equiv.) per kg API],Table_Process_Details[Display Name],Table_Process_Details[[#This Row],[Unique Process Inputs]],Table_Process_Details[Input or Output],"Input")</f>
        <v>1.2563246486744499E-3</v>
      </c>
      <c r="GV33" s="1">
        <f ca="1">SUMIFS(Table_Process_Details[RV Eutrophication (kg phosphate equiv.) per kg API (REAGENT)],Table_Process_Details[Display Name],Table_Process_Details[[#This Row],[Unique Process Inputs]],Table_Process_Details[Input or Output],"Input")</f>
        <v>1.2563246486744499E-3</v>
      </c>
      <c r="GW33" s="1">
        <f ca="1">SUMIFS(Table_Process_Details[RV Eutrophication (kg phosphate equiv.) per kg API (METAL)],Table_Process_Details[Display Name],Table_Process_Details[[#This Row],[Unique Process Inputs]],Table_Process_Details[Input or Output],"Input")</f>
        <v>0</v>
      </c>
      <c r="GX33" s="1">
        <f ca="1">SUMIFS(Table_Process_Details[RV Eutrophication (kg phosphate equiv.) per kg API (SOLVENT)],Table_Process_Details[Display Name],Table_Process_Details[[#This Row],[Unique Process Inputs]],Table_Process_Details[Input or Output],"Input")</f>
        <v>0</v>
      </c>
      <c r="GY33" s="1">
        <f ca="1">SUMIFS(Table_Process_Details[RV Eutrophication (kg phosphate equiv.) per kg API (WATER)],Table_Process_Details[Display Name],Table_Process_Details[[#This Row],[Unique Process Inputs]],Table_Process_Details[Input or Output],"Input")</f>
        <v>0</v>
      </c>
      <c r="GZ33" s="1">
        <f ca="1">SUMIFS(Table_Process_Details[RV Eutrophication (kg phosphate equiv.) per kg API (ENZ&amp;PLNT)],Table_Process_Details[Display Name],Table_Process_Details[[#This Row],[Unique Process Inputs]],Table_Process_Details[Input or Output],"Input")</f>
        <v>0</v>
      </c>
      <c r="HA33" s="1">
        <f ca="1">SUMIFS(Table_Process_Details[RV Eutrophication (kg phosphate equiv.) per kg API (OTHER)],Table_Process_Details[Display Name],Table_Process_Details[[#This Row],[Unique Process Inputs]],Table_Process_Details[Input or Output],"Input")</f>
        <v>0</v>
      </c>
      <c r="HB33"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Q (organic)</v>
      </c>
      <c r="HC33" s="22">
        <f ca="1">IF(LARGE(Table_Process_Details[Total '[Eutrophication (kg posphate equiv.) per kg API'] of Unique Inputs],Table_Process_Details[[#This Row],[Table Row]])=0,NA(),LARGE(Table_Process_Details[Total '[Eutrophication (kg posphate equiv.) per kg API'] of Unique Inputs],Table_Process_Details[[#This Row],[Table Row]]))</f>
        <v>6.2816232433757869E-6</v>
      </c>
      <c r="HD33" s="22">
        <f ca="1">SUM(OFFSET(Table_Process_Details['[Eutrophication (kg posphate equiv.) per kg API'] of Unique Inputs Sorted by '[Eutrophication (kg posphate equiv.) per kg API']],0,0,Table_Process_Details[[#This Row],[Table Row]]))</f>
        <v>1.3757132499687621</v>
      </c>
      <c r="HE33"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3" s="1">
        <f ca="1">INDEX(Table_Process_Details[Total '[Eutrophication (kg posphate equiv.) per kg API'] of Unique Inputs (REAGENT)], MATCH(Table_Process_Details[[#This Row],[Unique Inputs Sorted by '[Eutrophication (kg posphate equiv.) per kg API']]],Table_Process_Details[Unique Process Inputs],0))</f>
        <v>6.2816232433757869E-6</v>
      </c>
      <c r="HG33" s="1">
        <f ca="1">INDEX(Table_Process_Details[Total '[Eutrophication (kg posphate equiv.) per kg API'] of Unique Inputs (METAL)], MATCH(Table_Process_Details[[#This Row],[Unique Inputs Sorted by '[Eutrophication (kg posphate equiv.) per kg API']]],Table_Process_Details[Unique Process Inputs],0))</f>
        <v>0</v>
      </c>
      <c r="HH33" s="1">
        <f ca="1">INDEX(Table_Process_Details[Total '[Eutrophication (kg posphate equiv.) per kg API'] of Unique Inputs (SOLVENT)], MATCH(Table_Process_Details[[#This Row],[Unique Inputs Sorted by '[Eutrophication (kg posphate equiv.) per kg API']]],Table_Process_Details[Unique Process Inputs],0))</f>
        <v>0</v>
      </c>
      <c r="HI33" s="1">
        <f ca="1">INDEX(Table_Process_Details[Total '[Eutrophication (kg posphate equiv.) per kg API'] of Unique Inputs (WATER)], MATCH(Table_Process_Details[[#This Row],[Unique Inputs Sorted by '[Eutrophication (kg posphate equiv.) per kg API']]],Table_Process_Details[Unique Process Inputs],0))</f>
        <v>0</v>
      </c>
      <c r="HJ33" s="1">
        <f ca="1">INDEX(Table_Process_Details[Total '[Eutrophication (kg posphate equiv.) per kg API'] of Unique Inputs (ENZ&amp;PLNT)], MATCH(Table_Process_Details[[#This Row],[Unique Inputs Sorted by '[Eutrophication (kg posphate equiv.) per kg API']]],Table_Process_Details[Unique Process Inputs],0))</f>
        <v>0</v>
      </c>
      <c r="HK33" s="1">
        <f ca="1">INDEX(Table_Process_Details[Total '[Eutrophication (kg posphate equiv.) per kg API'] of Unique Inputs (OTHER)], MATCH(Table_Process_Details[[#This Row],[Unique Inputs Sorted by '[Eutrophication (kg posphate equiv.) per kg API']]],Table_Process_Details[Unique Process Inputs],0))</f>
        <v>0</v>
      </c>
      <c r="HL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7.8677459320125293E-2</v>
      </c>
      <c r="HM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6.0895690838327294E-3</v>
      </c>
      <c r="HN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7.2587890236292571E-2</v>
      </c>
      <c r="HO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3" s="1">
        <f ca="1">SUMIFS(Table_Process_Details[RV Water (kg) per kg API],Table_Process_Details[Display Name],Table_Process_Details[[#This Row],[Unique Process Inputs]],Table_Process_Details[Input or Output],"Input")</f>
        <v>2.0544357656817427</v>
      </c>
      <c r="HT33" s="1">
        <f ca="1">SUMIFS(Table_Process_Details[RV Water (kg) per kg API (REAGENT)],Table_Process_Details[Display Name],Table_Process_Details[[#This Row],[Unique Process Inputs]],Table_Process_Details[Input or Output],"Input")</f>
        <v>2.0544357656817427</v>
      </c>
      <c r="HU33" s="1">
        <f ca="1">SUMIFS(Table_Process_Details[RV Water (kg) per kg API (METAL)],Table_Process_Details[Display Name],Table_Process_Details[[#This Row],[Unique Process Inputs]],Table_Process_Details[Input or Output],"Input")</f>
        <v>0</v>
      </c>
      <c r="HV33" s="1">
        <f ca="1">SUMIFS(Table_Process_Details[RV Water (kg) per kg API (SOLVENT)],Table_Process_Details[Display Name],Table_Process_Details[[#This Row],[Unique Process Inputs]],Table_Process_Details[Input or Output],"Input")</f>
        <v>0</v>
      </c>
      <c r="HW33" s="1">
        <f ca="1">SUMIFS(Table_Process_Details[RV Water (kg) per kg API (WATER)],Table_Process_Details[Display Name],Table_Process_Details[[#This Row],[Unique Process Inputs]],Table_Process_Details[Input or Output],"Input")</f>
        <v>0</v>
      </c>
      <c r="HX33" s="1">
        <f ca="1">SUMIFS(Table_Process_Details[RV Water (kg) per kg API (ENZ&amp;PLNT)],Table_Process_Details[Display Name],Table_Process_Details[[#This Row],[Unique Process Inputs]],Table_Process_Details[Input or Output],"Input")</f>
        <v>0</v>
      </c>
      <c r="HY33" s="1">
        <f ca="1">SUMIFS(Table_Process_Details[RV Water (kg) per kg API (OTHER)],Table_Process_Details[Display Name],Table_Process_Details[[#This Row],[Unique Process Inputs]],Table_Process_Details[Input or Output],"Input")</f>
        <v>0</v>
      </c>
      <c r="HZ33" s="22" t="str">
        <f ca="1">INDEX(Table_Process_Details[Unique Process Inputs],MATCH(Table_Process_Details[[#This Row],['[Water (kg) per kg API'] of Unique Inputs Sorted by '[Water (kg) per kg API']]],Table_Process_Details[Total '[Water (kg) per kg API'] of Unique Inputs],0))</f>
        <v>nickel salt</v>
      </c>
      <c r="IA33" s="22">
        <f ca="1">IF(LARGE(Table_Process_Details[Total '[Water (kg) per kg API'] of Unique Inputs],Table_Process_Details[[#This Row],[Table Row]])=0,NA(),LARGE(Table_Process_Details[Total '[Water (kg) per kg API'] of Unique Inputs],Table_Process_Details[[#This Row],[Table Row]]))</f>
        <v>7.8677459320125293E-2</v>
      </c>
      <c r="IB33" s="1">
        <f ca="1">SUM(OFFSET(Table_Process_Details['[Water (kg) per kg API'] of Unique Inputs Sorted by '[Water (kg) per kg API']],0,0,Table_Process_Details[[#This Row],[Table Row]]))</f>
        <v>890.24600410339372</v>
      </c>
      <c r="IC33" s="1" t="str">
        <f ca="1">"("&amp;TEXT(Table_Process_Details[[#This Row],['[Water (kg) per kg API'] of Unique Inputs Sorted by '[Water (kg) per kg API']]]/SUMIF(Table_Process_Details['[Water (kg) per kg API'] of Unique Inputs Sorted by '[Water (kg) per kg API']],"&lt;&gt;#N/A"),"0%")&amp;")"</f>
        <v>(0%)</v>
      </c>
      <c r="ID33" s="1">
        <f ca="1">INDEX(Table_Process_Details[Total '[Water (kg) per kg API'] of Unique Inputs (REAGENT)], MATCH(Table_Process_Details[[#This Row],[Unique Inputs Sorted by '[Water (kg) per kg API']]],Table_Process_Details[Unique Process Inputs],0))</f>
        <v>6.0895690838327294E-3</v>
      </c>
      <c r="IE33" s="1">
        <f ca="1">INDEX(Table_Process_Details[Total '[Water (kg) per kg API'] of Unique Inputs (METAL)], MATCH(Table_Process_Details[[#This Row],[Unique Inputs Sorted by '[Water (kg) per kg API']]],Table_Process_Details[Unique Process Inputs],0))</f>
        <v>7.2587890236292571E-2</v>
      </c>
      <c r="IF33" s="1">
        <f ca="1">INDEX(Table_Process_Details[Total '[Water (kg) per kg API'] of Unique Inputs (SOLVENT)], MATCH(Table_Process_Details[[#This Row],[Unique Inputs Sorted by '[Water (kg) per kg API']]],Table_Process_Details[Unique Process Inputs],0))</f>
        <v>0</v>
      </c>
      <c r="IG33" s="1">
        <f ca="1">INDEX(Table_Process_Details[Total '[Water (kg) per kg API'] of Unique Inputs (WATER)], MATCH(Table_Process_Details[[#This Row],[Unique Inputs Sorted by '[Water (kg) per kg API']]],Table_Process_Details[Unique Process Inputs],0))</f>
        <v>0</v>
      </c>
      <c r="IH33" s="1">
        <f ca="1">INDEX(Table_Process_Details[Total '[Water (kg) per kg API'] of Unique Inputs (ENZ&amp;PLNT)], MATCH(Table_Process_Details[[#This Row],[Unique Inputs Sorted by '[Water (kg) per kg API']]],Table_Process_Details[Unique Process Inputs],0))</f>
        <v>0</v>
      </c>
      <c r="II33" s="1">
        <f ca="1">INDEX(Table_Process_Details[Total '[Water (kg) per kg API'] of Unique Inputs (OTHER)], MATCH(Table_Process_Details[[#This Row],[Unique Inputs Sorted by '[Water (kg) per kg API']]],Table_Process_Details[Unique Process Inputs],0))</f>
        <v>0</v>
      </c>
    </row>
    <row r="34" spans="1:243" customFormat="1" x14ac:dyDescent="0.25">
      <c r="A34" s="22" t="str">
        <f t="shared" si="0"/>
        <v>1) Synthesis of Intermediate (1)</v>
      </c>
      <c r="B34" s="21" t="s">
        <v>4</v>
      </c>
      <c r="C34" s="21" t="s">
        <v>170</v>
      </c>
      <c r="D34" s="22" t="str">
        <f>A22</f>
        <v>1f) Virtual solution prep for (1) and (3): 20 wt% reagent D (organic) in DMF</v>
      </c>
      <c r="E34" s="22" t="str">
        <f>E22</f>
        <v>20 wt% reagent D (organic) in DMF</v>
      </c>
      <c r="F34" s="26">
        <v>400</v>
      </c>
      <c r="G34" s="26"/>
      <c r="H34" s="26"/>
      <c r="I34" s="26"/>
      <c r="J34" s="26" t="str">
        <f>INDEX(Process_Steps[Reference],MATCH(Table_Process_Details[[#This Row],[Step Name]],Process_Steps[Name],0))</f>
        <v>Reference Document  for Step 1</v>
      </c>
      <c r="K34" s="27" t="str">
        <f>INDEX(Process_Steps[Real or Virtual?],MATCH(Table_Process_Details[[#This Row],[Step Name]],Process_Steps[Name],0))</f>
        <v>Real</v>
      </c>
      <c r="L3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3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34" s="26">
        <f>INDEX(Table_Process_Details[Physical Mass (kg)],MATCH(1,INDEX(((Table_Process_Details[Step Name]=Table_Process_Details[[#This Row],[Step Name]])*(Table_Process_Details[Input or Output]="Output")),0),0))</f>
        <v>51.020408163265309</v>
      </c>
      <c r="O34" s="29">
        <f ca="1">INDEX(Process_Steps[Step Scale Factor for 1kg Packaged API],MATCH(Table_Process_Details[[#This Row],[Step Name]],Process_Steps[Name],0))</f>
        <v>6.9901025556863543E-3</v>
      </c>
      <c r="P3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6.5</v>
      </c>
      <c r="Q3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14.5</v>
      </c>
      <c r="R34" s="26">
        <f ca="1">_xlfn.SWITCH(Run_Reset_PNG,"Reset",Table_Process_Details[[#This Row],[X Init]],"Run",Table_Process_Details[[#This Row],[X Moved]],"Freeze",Table_Process_Details[[#This Row],[X Mover]])</f>
        <v>7.8387282032329271</v>
      </c>
      <c r="S34" s="26">
        <f ca="1">_xlfn.SWITCH(Run_Reset_PNG,"Reset",Table_Process_Details[[#This Row],[Y Init]],"Run",Table_Process_Details[[#This Row],[Y Moved]],"Freeze",Table_Process_Details[[#This Row],[Y Mover]])</f>
        <v>20.928809946958452</v>
      </c>
      <c r="T34" s="26" cm="1">
        <f t="array" aca="1" ref="T3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9.9831050874237768</v>
      </c>
      <c r="U34" s="26" cm="1">
        <f t="array" aca="1" ref="U3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0.93338697310958907</v>
      </c>
      <c r="V34" s="26" cm="1">
        <f t="array" aca="1" ref="V34" ca="1">SUM(--(SQRT((Table_Process_Details[[#This Row],[X Mover]]-Table_Process_Details[X Mover])^2+(Table_Process_Details[[#This Row],[Y Mover]]-Table_Process_Details[Y Mover])^2)&lt;Collision_Distance))</f>
        <v>21</v>
      </c>
      <c r="W34" s="26" cm="1">
        <f t="array" aca="1" ref="W3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-0.9542566044863503</v>
      </c>
      <c r="X34" s="26" cm="1">
        <f t="array" aca="1" ref="X3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6.3152949096680816E-2</v>
      </c>
      <c r="Y34" s="26" cm="1">
        <f t="array" aca="1" ref="Y3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34" s="26">
        <f>0</f>
        <v>0</v>
      </c>
      <c r="AA34" s="26">
        <f>0</f>
        <v>0</v>
      </c>
      <c r="AB3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-3.9193641016164635</v>
      </c>
      <c r="AC34" s="26" cm="1">
        <f t="array" aca="1" ref="AC3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-10.464404973479226</v>
      </c>
      <c r="AD34" s="26">
        <f>MIN(1,COUNTA(Table_Process_Details[[#This Row],[target x]]),COUNTA(Table_Process_Details[[#This Row],[target y]]))*COUNTA(Table_Process_Details[Step Name])</f>
        <v>98</v>
      </c>
      <c r="AE3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7.7969923462927575</v>
      </c>
      <c r="AF3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20.898053777639774</v>
      </c>
      <c r="AG3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34" s="26" cm="1">
        <f t="array" aca="1" ref="AH34" ca="1">INDEX(Table_Process_Details[X Mover],MATCH(1,INDEX((Table_Process_Details[Input or Output]="Output")*(Table_Process_Details[Step Name]=Table_Process_Details[[#This Row],[Step Name]])*(Table_Process_Details[[#This Row],[Input or Output]]="Input"),0),0))</f>
        <v>0.78891624628593393</v>
      </c>
      <c r="AI34" s="26" cm="1">
        <f t="array" aca="1" ref="AI34" ca="1">INDEX(Table_Process_Details[Y Mover],MATCH(1,INDEX((Table_Process_Details[Input or Output]="Output")*(Table_Process_Details[Step Name]=Table_Process_Details[[#This Row],[Step Name]])*(Table_Process_Details[[#This Row],[Input or Output]]="Input"),0),0))</f>
        <v>21.555431875630404</v>
      </c>
      <c r="AJ34" s="26">
        <f ca="1">SQRT((Table_Process_Details[[#This Row],[X End (To Node Center)]]-Table_Process_Details[[#This Row],[X Guide]])^2+(Table_Process_Details[[#This Row],[Y End (to Node Center)]]-Table_Process_Details[[#This Row],[Y Guide]])^2)</f>
        <v>7.0776057865499507</v>
      </c>
      <c r="AK34" s="26" cm="1">
        <f t="array" aca="1" ref="AK34" ca="1">INDEX(Table_Process_Details[X Mover],MATCH(1,INDEX((Table_Process_Details[Step Name]=Table_Process_Details[[#This Row],[LCA Data Source Subclass]])*(Table_Process_Details[Input or Output]="Output"),0)*(Table_Process_Details[[#This Row],[Input or Output]]="Input"),0))</f>
        <v>12.974140333930144</v>
      </c>
      <c r="AL34" s="26" cm="1">
        <f t="array" aca="1" ref="AL34" ca="1">INDEX(Table_Process_Details[X Mover],MATCH(1,INDEX(((Table_Process_Details[Table Row]=Table_Process_Details[[#This Row],[Table Row]])*(1)),0)*(Table_Process_Details[[#This Row],[Input or Output]]="Input"),0))</f>
        <v>7.8387282032329271</v>
      </c>
      <c r="AM34" s="26" cm="1">
        <f t="array" aca="1" ref="AM34" ca="1">(Table_Process_Details[[#This Row],[X End (To Node Center)]]*Table_Process_Details[[#This Row],[r0]]-Table_Process_Details[[#This Row],[X End (To Node Center)]]*Arrow_Offset+Table_Process_Details[[#This Row],[X Guide]]*Arrow_Offset)/Table_Process_Details[[#This Row],[r0]]</f>
        <v>1.5857746381838522</v>
      </c>
      <c r="AN34" s="26">
        <f ca="1">IF(NOT(Table_Process_Details[[#This Row],[Display As]]="None"),Table_Process_Details[[#This Row],[X Start Prefilter]],NA())</f>
        <v>12.974140333930144</v>
      </c>
      <c r="AO34" s="26">
        <f ca="1">IF(NOT(Table_Process_Details[[#This Row],[Display As]]="None"),Table_Process_Details[[#This Row],[X Guide Prefilter]],NA())</f>
        <v>7.8387282032329271</v>
      </c>
      <c r="AP34" s="26">
        <f ca="1">IF(NOT(Table_Process_Details[[#This Row],[Display As]]="None"),Table_Process_Details[[#This Row],[X End (to Stop Radius) Prefilter]],NA())</f>
        <v>1.5857746381838522</v>
      </c>
      <c r="AQ34" s="26" t="e">
        <f>NA()</f>
        <v>#N/A</v>
      </c>
      <c r="AR34" s="26" cm="1">
        <f t="array" aca="1" ref="AR34" ca="1">INDEX(Table_Process_Details[Y Mover],MATCH(1,INDEX((Table_Process_Details[Step Name]=Table_Process_Details[[#This Row],[LCA Data Source Subclass]])*(Table_Process_Details[Input or Output]="Output"),0)*(Table_Process_Details[[#This Row],[Input or Output]]="Input"),0))</f>
        <v>20.368995765321468</v>
      </c>
      <c r="AS34" s="26" cm="1">
        <f t="array" aca="1" ref="AS34" ca="1">INDEX(Table_Process_Details[Y Mover],MATCH(1,INDEX(((Table_Process_Details[Table Row]=Table_Process_Details[[#This Row],[Table Row]])*(1)),0)*(Table_Process_Details[[#This Row],[Input or Output]]="Input"),0))</f>
        <v>20.928809946958452</v>
      </c>
      <c r="AT34" s="26" cm="1">
        <f t="array" aca="1" ref="AT34" ca="1">(Table_Process_Details[[#This Row],[Y Guide]]*Arrow_Offset-Table_Process_Details[[#This Row],[Y End (to Node Center)]]*Arrow_Offset+Table_Process_Details[[#This Row],[Y End (to Node Center)]]*Table_Process_Details[[#This Row],[r0]])/Table_Process_Details[[#This Row],[r0]]</f>
        <v>21.484603186091039</v>
      </c>
      <c r="AU34" s="26">
        <f ca="1">IF(NOT(Table_Process_Details[[#This Row],[Display As]]="None"),Table_Process_Details[[#This Row],[Y Start Prefilter]],NA())</f>
        <v>20.368995765321468</v>
      </c>
      <c r="AV34" s="26">
        <f ca="1">IF(NOT(Table_Process_Details[[#This Row],[Display As]]="None"),Table_Process_Details[[#This Row],[Y Guide Prefilter]],NA())</f>
        <v>20.928809946958452</v>
      </c>
      <c r="AW34" s="26">
        <f ca="1">IF(NOT(Table_Process_Details[[#This Row],[Display As]]="None"),Table_Process_Details[[#This Row],[Y End (to Stop Radius) Prefilter]],NA())</f>
        <v>21.484603186091039</v>
      </c>
      <c r="AX34" s="26" t="e">
        <f>NA()</f>
        <v>#N/A</v>
      </c>
      <c r="AY34" s="26" t="e">
        <f>IF(Table_Process_Details[[#This Row],[Display As]]="Real Step",Table_Process_Details[[#This Row],[X Mover]],NA())</f>
        <v>#N/A</v>
      </c>
      <c r="AZ34" s="26" t="e">
        <f>IF(Table_Process_Details[[#This Row],[Display As]]="Real Step",Table_Process_Details[[#This Row],[Y Mover]],NA())</f>
        <v>#N/A</v>
      </c>
      <c r="BA34" s="26" t="e">
        <f>IF(Table_Process_Details[[#This Row],[Display As]]="Raw Material",Table_Process_Details[[#This Row],[X Mover]],NA())</f>
        <v>#N/A</v>
      </c>
      <c r="BB34" s="26" t="e">
        <f>IF(Table_Process_Details[[#This Row],[Display As]]="Raw Material",Table_Process_Details[[#This Row],[Y Mover]],NA())</f>
        <v>#N/A</v>
      </c>
      <c r="BC34" s="26" t="e">
        <f>IF(OR(Table_Process_Details[[#This Row],[Display As]]="Real Step",Table_Process_Details[[#This Row],[Display As]]="Raw Material"),Table_Process_Details[[#This Row],[X Mover]],NA())</f>
        <v>#N/A</v>
      </c>
      <c r="BD34" s="26" t="e">
        <f>IF(OR(Table_Process_Details[[#This Row],[Display As]]="Real Step",Table_Process_Details[[#This Row],[Display As]]="Raw Material"),Table_Process_Details[[#This Row],[Y Mover]],NA())</f>
        <v>#N/A</v>
      </c>
      <c r="BE34" s="22">
        <f>ROW()-ROW(Table_Process_Details[[#Headers],[Table Row]])</f>
        <v>30</v>
      </c>
      <c r="BF34" s="23" t="str" cm="1">
        <f t="array" aca="1" ref="BF34" ca="1">INDEX(Table_Process_Details[Display Name],MATCH(0,IF(Table_Process_Details[Input or Output]="Input",INDEX(COUNTIF(OFFSET(Table_Process_Details[[#Headers],[Unique Process Inputs]],0,0,Table_Process_Details[[#This Row],[Table Row]],1),Table_Process_Details[Display Name]),),""),0))</f>
        <v>25 wt% reagent E (inorganic) in water</v>
      </c>
      <c r="BG34" s="23">
        <f ca="1">Table_Process_Details[[#This Row],[Physical Mass (kg)]]*Table_Process_Details[[#This Row],[Step Scale Factor for 1kg Packaged API]]</f>
        <v>2.7960410222745415</v>
      </c>
      <c r="BH3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0.45841251278956324</v>
      </c>
      <c r="BI34" s="23">
        <f ca="1">MATCH(Table_Process_Details[[#This Row],[LCA Data Source Class]],INDIRECT(Table_Process_Details[[#This Row],[Input or Output]]),0)</f>
        <v>1</v>
      </c>
      <c r="BJ34" s="23">
        <f ca="1">MATCH(Table_Process_Details[[#This Row],[LCA Data Source Subclass]],INDIRECT(Table_Process_Details[[#This Row],[LCA Data Source Class]]&amp;"[Name]"),0)</f>
        <v>6</v>
      </c>
      <c r="BK34" s="23">
        <f ca="1">IFERROR(INDEX(INDIRECT(Table_Process_Details[[#This Row],[LCA Data Source Class]]&amp;"[Mass Net (kg)]"),MATCH(Table_Process_Details[[#This Row],[LCA Data Source Subclass]],INDIRECT(Table_Process_Details[[#This Row],[LCA Data Source Class]]&amp;"[Name]"),0)),0)</f>
        <v>0</v>
      </c>
      <c r="BL34" s="23">
        <f ca="1">IFERROR(INDEX(INDIRECT(Table_Process_Details[[#This Row],[LCA Data Source Class]]&amp;"[Energy (MJ)]"),MATCH(Table_Process_Details[[#This Row],[LCA Data Source Subclass]],INDIRECT(Table_Process_Details[[#This Row],[LCA Data Source Class]]&amp;"[Name]"),0)),0)</f>
        <v>0</v>
      </c>
      <c r="BM34" s="23">
        <f ca="1">IFERROR(INDEX(INDIRECT(Table_Process_Details[[#This Row],[LCA Data Source Class]]&amp;"[GWP (kg CO2 equiv.)]"),MATCH(Table_Process_Details[[#This Row],[LCA Data Source Subclass]],INDIRECT(Table_Process_Details[[#This Row],[LCA Data Source Class]]&amp;"[Name]"),0)),0)</f>
        <v>0</v>
      </c>
      <c r="BN34" s="23">
        <f ca="1">IFERROR(INDEX(INDIRECT(Table_Process_Details[[#This Row],[LCA Data Source Class]]&amp;"[Acidification (kg SO2 equiv.)]"),MATCH(Table_Process_Details[[#This Row],[LCA Data Source Subclass]],INDIRECT(Table_Process_Details[[#This Row],[LCA Data Source Class]]&amp;"[Name]"),0)),0)</f>
        <v>0</v>
      </c>
      <c r="BO34" s="23">
        <f ca="1">IFERROR(INDEX(INDIRECT(Table_Process_Details[[#This Row],[LCA Data Source Class]]&amp;"[Eutrophication (kg posphate equiv.)]"),MATCH(Table_Process_Details[[#This Row],[LCA Data Source Subclass]],INDIRECT(Table_Process_Details[[#This Row],[LCA Data Source Class]]&amp;"[Name]"),0)),0)</f>
        <v>0</v>
      </c>
      <c r="BP34" s="23">
        <f ca="1">IFERROR(INDEX(INDIRECT(Table_Process_Details[[#This Row],[LCA Data Source Class]]&amp;"[Water (kg)]"),MATCH(Table_Process_Details[[#This Row],[LCA Data Source Subclass]],INDIRECT(Table_Process_Details[[#This Row],[LCA Data Source Class]]&amp;"[Name]"),0)),0)</f>
        <v>0</v>
      </c>
      <c r="BQ34" s="27">
        <f ca="1">(Table_Process_Details[[#This Row],[Input or Output]]="Input")*(Table_Process_Details[[#This Row],[LCA Data Source Class]]&lt;&gt;"Process_Steps")*Table_Process_Details[[#This Row],[Scaled Physical Mass per kg API for All Inputs &amp; Outputs]]</f>
        <v>0</v>
      </c>
      <c r="BR34" s="27">
        <f ca="1">(Table_Process_Details[[#This Row],[Material Class]]="REAGENT")*Table_Process_Details[[#This Row],[Physical Mass per kg API]]</f>
        <v>0</v>
      </c>
      <c r="BS34" s="27">
        <f ca="1">(Table_Process_Details[[#This Row],[Material Class]]="METAL")*Table_Process_Details[[#This Row],[Physical Mass per kg API]]</f>
        <v>0</v>
      </c>
      <c r="BT34" s="27">
        <f ca="1">(Table_Process_Details[[#This Row],[Material Class]]="SOLVENT")*Table_Process_Details[[#This Row],[Physical Mass per kg API]]</f>
        <v>0</v>
      </c>
      <c r="BU34" s="27">
        <f ca="1">(Table_Process_Details[[#This Row],[Material Class]]="WATER")*Table_Process_Details[[#This Row],[Physical Mass per kg API]]</f>
        <v>0</v>
      </c>
      <c r="BV34" s="27">
        <f ca="1">(Table_Process_Details[[#This Row],[Material Class]]="ENZ&amp;PLNT")*Table_Process_Details[[#This Row],[Physical Mass per kg API]]</f>
        <v>0</v>
      </c>
      <c r="BW34" s="27">
        <f ca="1">(Table_Process_Details[[#This Row],[Material Class]]="OTHER")*Table_Process_Details[[#This Row],[Physical Mass per kg API]]</f>
        <v>0</v>
      </c>
      <c r="BX3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3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4" s="1">
        <f ca="1">SUMIFS(Table_Process_Details[RV Physical Mass per kg API],Table_Process_Details[Display Name],Table_Process_Details[[#This Row],[Unique Process Inputs]],Table_Process_Details[Input or Output],"Input")</f>
        <v>0.13980205111364838</v>
      </c>
      <c r="CF34" s="1">
        <f ca="1">SUMIFS(Table_Process_Details[RV Physical Mass per kg API (REAGENT)],Table_Process_Details[Display Name],Table_Process_Details[[#This Row],[Unique Process Inputs]],Table_Process_Details[Input or Output],"Input")</f>
        <v>3.4950512778412095E-2</v>
      </c>
      <c r="CG34" s="1">
        <f ca="1">SUMIFS(Table_Process_Details[RV Physical Mass per kg API (METAL)],Table_Process_Details[Display Name],Table_Process_Details[[#This Row],[Unique Process Inputs]],Table_Process_Details[Input or Output],"Input")</f>
        <v>0</v>
      </c>
      <c r="CH34" s="1">
        <f ca="1">SUMIFS(Table_Process_Details[RV Physical Mass per kg API (SOLVENT)],Table_Process_Details[Display Name],Table_Process_Details[[#This Row],[Unique Process Inputs]],Table_Process_Details[Input or Output],"Input")</f>
        <v>0</v>
      </c>
      <c r="CI34" s="1">
        <f ca="1">SUMIFS(Table_Process_Details[RV Physical Mass per kg API (WATER)],Table_Process_Details[Display Name],Table_Process_Details[[#This Row],[Unique Process Inputs]],Table_Process_Details[Input or Output],"Input")</f>
        <v>0.10485153833523629</v>
      </c>
      <c r="CJ34" s="1">
        <f ca="1">SUMIFS(Table_Process_Details[RV Physical Mass per kg API (ENZ&amp;PLNT)],Table_Process_Details[Display Name],Table_Process_Details[[#This Row],[Unique Process Inputs]],Table_Process_Details[Input or Output],"Input")</f>
        <v>0</v>
      </c>
      <c r="CK34" s="1">
        <f ca="1">SUMIFS(Table_Process_Details[RV Physical Mass per kg API (OTHER)],Table_Process_Details[Display Name],Table_Process_Details[[#This Row],[Unique Process Inputs]],Table_Process_Details[Input or Output],"Input")</f>
        <v>0</v>
      </c>
      <c r="CL34" s="22" t="str">
        <f ca="1">INDEX(Table_Process_Details[Unique Process Inputs],MATCH(Table_Process_Details[[#This Row],['[Physical Mass per kg API'] of Unique Inputs Sorted by '[Physical Mass per kg API']]],Table_Process_Details[Total '[Physical Mass per kg API'] of Unique Inputs],0))</f>
        <v>reagent Q (organic)</v>
      </c>
      <c r="CM34" s="22">
        <f ca="1">IF(LARGE(Table_Process_Details[Total '[Physical Mass per kg API'] of Unique Inputs],Table_Process_Details[[#This Row],[Table Row]])=0,NA(),LARGE(Table_Process_Details[Total '[Physical Mass per kg API'] of Unique Inputs],Table_Process_Details[[#This Row],[Table Row]]))</f>
        <v>6.990102555686355E-4</v>
      </c>
      <c r="CN34" s="22">
        <f ca="1">SUM(OFFSET(Table_Process_Details['[Physical Mass per kg API'] of Unique Inputs Sorted by '[Physical Mass per kg API']],0,0,Table_Process_Details[[#This Row],[Table Row]]))</f>
        <v>147.57388358599388</v>
      </c>
      <c r="CO34" s="22" t="str">
        <f ca="1">"("&amp;TEXT(Table_Process_Details[[#This Row],['[Physical Mass per kg API'] of Unique Inputs Sorted by '[Physical Mass per kg API']]]/SUMIF(Table_Process_Details['[Physical Mass per kg API'] of Unique Inputs Sorted by '[Physical Mass per kg API']],"&lt;&gt;#N/A"),"0%")&amp;")"</f>
        <v>(0%)</v>
      </c>
      <c r="CP34" s="22">
        <f ca="1">INDEX(Table_Process_Details[Total '[Physical Mass per kg API'] of Unique Inputs (REAGENT)],MATCH(Table_Process_Details[[#This Row],[Unique Inputs Sorted by '[Physical Mass per kg API']]],Table_Process_Details[Unique Process Inputs],0))</f>
        <v>6.990102555686355E-4</v>
      </c>
      <c r="CQ34" s="22">
        <f ca="1">INDEX(Table_Process_Details[Total '[Physical Mass per kg API'] of Unique Inputs (METAL)],MATCH(Table_Process_Details[[#This Row],[Unique Inputs Sorted by '[Physical Mass per kg API']]],Table_Process_Details[Unique Process Inputs],0))</f>
        <v>0</v>
      </c>
      <c r="CR34" s="22">
        <f ca="1">INDEX(Table_Process_Details[Total '[Physical Mass per kg API'] of Unique Inputs (SOLVENT)],MATCH(Table_Process_Details[[#This Row],[Unique Inputs Sorted by '[Physical Mass per kg API']]],Table_Process_Details[Unique Process Inputs],0))</f>
        <v>0</v>
      </c>
      <c r="CS34" s="22">
        <f ca="1">INDEX(Table_Process_Details[Total '[Physical Mass per kg API'] of Unique Inputs (WATER)],MATCH(Table_Process_Details[[#This Row],[Unique Inputs Sorted by '[Physical Mass per kg API']]],Table_Process_Details[Unique Process Inputs],0))</f>
        <v>0</v>
      </c>
      <c r="CT34" s="22">
        <f ca="1">INDEX(Table_Process_Details[Total '[Physical Mass per kg API'] of Unique Inputs (ENZ&amp;PLNT)],MATCH(Table_Process_Details[[#This Row],[Unique Inputs Sorted by '[Physical Mass per kg API']]],Table_Process_Details[Unique Process Inputs],0))</f>
        <v>0</v>
      </c>
      <c r="CU34" s="22">
        <f ca="1">INDEX(Table_Process_Details[Total '[Physical Mass per kg API'] of Unique Inputs (OTHER)],MATCH(Table_Process_Details[[#This Row],[Unique Inputs Sorted by '[Physical Mass per kg API']]],Table_Process_Details[Unique Process Inputs],0))</f>
        <v>0</v>
      </c>
      <c r="CV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4" s="22">
        <f ca="1">SUMIFS(Table_Process_Details[RV Mass Net (kg) per kg API],Table_Process_Details[Display Name],Table_Process_Details[[#This Row],[Unique Process Inputs]],Table_Process_Details[Input or Output],"Input")</f>
        <v>4.6994137793838243E-2</v>
      </c>
      <c r="DD34" s="22">
        <f ca="1">SUMIFS(Table_Process_Details[RV Mass Net (kg) per kg API (REAGENT)],Table_Process_Details[Display Name],Table_Process_Details[[#This Row],[Unique Process Inputs]],Table_Process_Details[Input or Output],"Input")</f>
        <v>4.6833687123072211E-2</v>
      </c>
      <c r="DE34" s="22">
        <f ca="1">SUMIFS(Table_Process_Details[RV Mass Net (kg) per kg API (METAL)],Table_Process_Details[Display Name],Table_Process_Details[[#This Row],[Unique Process Inputs]],Table_Process_Details[Input or Output],"Input")</f>
        <v>0</v>
      </c>
      <c r="DF34" s="22">
        <f ca="1">SUMIFS(Table_Process_Details[RV Mass Net (kg) per kg API (SOLVENT)],Table_Process_Details[Display Name],Table_Process_Details[[#This Row],[Unique Process Inputs]],Table_Process_Details[Input or Output],"Input")</f>
        <v>0</v>
      </c>
      <c r="DG34" s="22">
        <f ca="1">SUMIFS(Table_Process_Details[RV Mass Net (kg) per kg API (WATER)],Table_Process_Details[Display Name],Table_Process_Details[[#This Row],[Unique Process Inputs]],Table_Process_Details[Input or Output],"Input")</f>
        <v>1.6045067076603185E-4</v>
      </c>
      <c r="DH34" s="22">
        <f ca="1">SUMIFS(Table_Process_Details[RV Mass Net (kg) per kg API (ENZ&amp;PLNT)],Table_Process_Details[Display Name],Table_Process_Details[[#This Row],[Unique Process Inputs]],Table_Process_Details[Input or Output],"Input")</f>
        <v>0</v>
      </c>
      <c r="DI34" s="22">
        <f ca="1">SUMIFS(Table_Process_Details[RV Mass Net (kg) per kg API (OTHER)],Table_Process_Details[Display Name],Table_Process_Details[[#This Row],[Unique Process Inputs]],Table_Process_Details[Input or Output],"Input")</f>
        <v>0</v>
      </c>
      <c r="DJ34" s="22" t="str">
        <f ca="1">INDEX(Table_Process_Details[Unique Process Inputs],MATCH(Table_Process_Details[[#This Row],['[Mass Net (kg) per kg API'] of Unique Inputs Sorted by '[Mass Net (kg) per kg API']]],Table_Process_Details[Total '[Mass Net (kg) per kg API'] of Unique Inputs],0))</f>
        <v>reagent Q (organic)</v>
      </c>
      <c r="DK34" s="22">
        <f ca="1">IF(LARGE(Table_Process_Details[Total '[Mass Net (kg) per kg API'] of Unique Inputs],Table_Process_Details[[#This Row],[Table Row]])=0,NA(),LARGE(Table_Process_Details[Total '[Mass Net (kg) per kg API'] of Unique Inputs],Table_Process_Details[[#This Row],[Table Row]]))</f>
        <v>1.4582198457313538E-3</v>
      </c>
      <c r="DL34" s="22">
        <f ca="1">SUM(OFFSET(Table_Process_Details['[Mass Net (kg) per kg API'] of Unique Inputs Sorted by '[Mass Net (kg) per kg API']],0,0,Table_Process_Details[[#This Row],[Table Row]]))</f>
        <v>127.08826337960117</v>
      </c>
      <c r="DM34" s="22" t="str">
        <f ca="1">"("&amp;TEXT(Table_Process_Details[[#This Row],['[Mass Net (kg) per kg API'] of Unique Inputs Sorted by '[Mass Net (kg) per kg API']]]/SUMIF(Table_Process_Details['[Mass Net (kg) per kg API'] of Unique Inputs Sorted by '[Mass Net (kg) per kg API']],"&lt;&gt;#N/A"),"0%")&amp;")"</f>
        <v>(0%)</v>
      </c>
      <c r="DN34" s="22">
        <f ca="1">INDEX(Table_Process_Details[Total '[Mass Net (kg) per kg API'] of Unique Inputs (REAGENT)], MATCH(Table_Process_Details[[#This Row],[Unique Inputs Sorted by '[Mass Net (kg) per kg API']]],Table_Process_Details[Unique Process Inputs],0))</f>
        <v>1.4582198457313538E-3</v>
      </c>
      <c r="DO34" s="22">
        <f ca="1">INDEX(Table_Process_Details[Total '[Mass Net (kg) per kg API'] of Unique Inputs (METAL)], MATCH(Table_Process_Details[[#This Row],[Unique Inputs Sorted by '[Mass Net (kg) per kg API']]],Table_Process_Details[Unique Process Inputs],0))</f>
        <v>0</v>
      </c>
      <c r="DP34" s="22">
        <f ca="1">INDEX(Table_Process_Details[Total '[Mass Net (kg) per kg API'] of Unique Inputs (SOLVENT)], MATCH(Table_Process_Details[[#This Row],[Unique Inputs Sorted by '[Mass Net (kg) per kg API']]],Table_Process_Details[Unique Process Inputs],0))</f>
        <v>0</v>
      </c>
      <c r="DQ34" s="22">
        <f ca="1">INDEX(Table_Process_Details[Total '[Mass Net (kg) per kg API'] of Unique Inputs (WATER)], MATCH(Table_Process_Details[[#This Row],[Unique Inputs Sorted by '[Mass Net (kg) per kg API']]],Table_Process_Details[Unique Process Inputs],0))</f>
        <v>0</v>
      </c>
      <c r="DR34" s="22">
        <f ca="1">INDEX(Table_Process_Details[Total '[Mass Net (kg) per kg API'] of Unique Inputs (ENZ&amp;PLNT)], MATCH(Table_Process_Details[[#This Row],[Unique Inputs Sorted by '[Mass Net (kg) per kg API']]],Table_Process_Details[Unique Process Inputs],0))</f>
        <v>0</v>
      </c>
      <c r="DS34" s="22">
        <f ca="1">INDEX(Table_Process_Details[Total '[Mass Net (kg) per kg API'] of Unique Inputs (OTHER)], MATCH(Table_Process_Details[[#This Row],[Unique Inputs Sorted by '[Mass Net (kg) per kg API']]],Table_Process_Details[Unique Process Inputs],0))</f>
        <v>0</v>
      </c>
      <c r="DT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4" s="1">
        <f ca="1">SUMIFS(Table_Process_Details[RV Energy (MJ) per kg API],Table_Process_Details[Display Name],Table_Process_Details[[#This Row],[Unique Process Inputs]],Table_Process_Details[Input or Output],"Input")</f>
        <v>0.37352223158360892</v>
      </c>
      <c r="EB34" s="1">
        <f ca="1">SUMIFS(Table_Process_Details[RV Energy (MJ) per kg API (REAGENT)],Table_Process_Details[Display Name],Table_Process_Details[[#This Row],[Unique Process Inputs]],Table_Process_Details[Input or Output],"Input")</f>
        <v>0.37152395083452061</v>
      </c>
      <c r="EC34" s="1">
        <f ca="1">SUMIFS(Table_Process_Details[RV Energy (MJ) per kg API (METAL)],Table_Process_Details[Display Name],Table_Process_Details[[#This Row],[Unique Process Inputs]],Table_Process_Details[Input or Output],"Input")</f>
        <v>0</v>
      </c>
      <c r="ED34" s="1">
        <f ca="1">SUMIFS(Table_Process_Details[RV Energy (MJ) per kg API (SOLVENT)],Table_Process_Details[Display Name],Table_Process_Details[[#This Row],[Unique Process Inputs]],Table_Process_Details[Input or Output],"Input")</f>
        <v>0</v>
      </c>
      <c r="EE34" s="1">
        <f ca="1">SUMIFS(Table_Process_Details[RV Energy (MJ) per kg API (WATER)],Table_Process_Details[Display Name],Table_Process_Details[[#This Row],[Unique Process Inputs]],Table_Process_Details[Input or Output],"Input")</f>
        <v>1.9982807490882938E-3</v>
      </c>
      <c r="EF34" s="1">
        <f ca="1">SUMIFS(Table_Process_Details[RV Energy (MJ) per kg API (ENZ&amp;PLNT)],Table_Process_Details[Display Name],Table_Process_Details[[#This Row],[Unique Process Inputs]],Table_Process_Details[Input or Output],"Input")</f>
        <v>0</v>
      </c>
      <c r="EG34" s="1">
        <f ca="1">SUMIFS(Table_Process_Details[RV Energy (MJ) per kg API (OTHER)],Table_Process_Details[Display Name],Table_Process_Details[[#This Row],[Unique Process Inputs]],Table_Process_Details[Input or Output],"Input")</f>
        <v>0</v>
      </c>
      <c r="EH34" s="1" t="str">
        <f ca="1">INDEX(Table_Process_Details[Unique Process Inputs],MATCH(Table_Process_Details[[#This Row],['[Energy (MJ) per kg API'] of Unique Inputs Sorted by '[Energy (MJ) per kg API']]],Table_Process_Details[Total '[Energy (MJ) per kg API'] of Unique Inputs],0))</f>
        <v>0.2 M reagent H (inorganic) in water</v>
      </c>
      <c r="EI34" s="22">
        <f ca="1">IF(LARGE(Table_Process_Details[Total '[Energy (MJ) per kg API'] of Unique Inputs],Table_Process_Details[[#This Row],[Table Row]])=0,NA(),LARGE(Table_Process_Details[Total '[Energy (MJ) per kg API'] of Unique Inputs],Table_Process_Details[[#This Row],[Table Row]]))</f>
        <v>2.8156185950648272E-2</v>
      </c>
      <c r="EJ34" s="22">
        <f ca="1">SUM(OFFSET(Table_Process_Details['[Energy (MJ) per kg API'] of Unique Inputs Sorted by '[Energy (MJ) per kg API']],0,0,Table_Process_Details[[#This Row],[Table Row]]))</f>
        <v>5064.7416649895495</v>
      </c>
      <c r="EK34" s="22" t="str">
        <f ca="1">"("&amp;TEXT(Table_Process_Details[[#This Row],['[Energy (MJ) per kg API'] of Unique Inputs Sorted by '[Energy (MJ) per kg API']]]/SUMIF(Table_Process_Details['[Energy (MJ) per kg API'] of Unique Inputs Sorted by '[Energy (MJ) per kg API']],"&lt;&gt;#N/A"),"0%")&amp;")"</f>
        <v>(0%)</v>
      </c>
      <c r="EL34" s="22">
        <f ca="1">INDEX(Table_Process_Details[Total '[Energy (MJ) per kg API'] of Unique Inputs (REAGENT)], MATCH(Table_Process_Details[[#This Row],[Unique Inputs Sorted by '[Energy (MJ) per kg API']]],Table_Process_Details[Unique Process Inputs],0))</f>
        <v>1.4860958033380825E-2</v>
      </c>
      <c r="EM34" s="22">
        <f ca="1">INDEX(Table_Process_Details[Total '[Energy (MJ) per kg API'] of Unique Inputs (METAL)], MATCH(Table_Process_Details[[#This Row],[Unique Inputs Sorted by '[Energy (MJ) per kg API']]],Table_Process_Details[Unique Process Inputs],0))</f>
        <v>0</v>
      </c>
      <c r="EN34" s="22">
        <f ca="1">INDEX(Table_Process_Details[Total '[Energy (MJ) per kg API'] of Unique Inputs (SOLVENT)], MATCH(Table_Process_Details[[#This Row],[Unique Inputs Sorted by '[Energy (MJ) per kg API']]],Table_Process_Details[Unique Process Inputs],0))</f>
        <v>0</v>
      </c>
      <c r="EO34" s="22">
        <f ca="1">INDEX(Table_Process_Details[Total '[Energy (MJ) per kg API'] of Unique Inputs (WATER)], MATCH(Table_Process_Details[[#This Row],[Unique Inputs Sorted by '[Energy (MJ) per kg API']]],Table_Process_Details[Unique Process Inputs],0))</f>
        <v>1.3295227917267448E-2</v>
      </c>
      <c r="EP34" s="22">
        <f ca="1">INDEX(Table_Process_Details[Total '[Energy (MJ) per kg API'] of Unique Inputs (ENZ&amp;PLNT)], MATCH(Table_Process_Details[[#This Row],[Unique Inputs Sorted by '[Energy (MJ) per kg API']]],Table_Process_Details[Unique Process Inputs],0))</f>
        <v>0</v>
      </c>
      <c r="EQ34" s="22">
        <f ca="1">INDEX(Table_Process_Details[Total '[Energy (MJ) per kg API'] of Unique Inputs (OTHER)], MATCH(Table_Process_Details[[#This Row],[Unique Inputs Sorted by '[Energy (MJ) per kg API']]],Table_Process_Details[Unique Process Inputs],0))</f>
        <v>0</v>
      </c>
      <c r="ER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4" s="22">
        <f ca="1">SUMIFS(Table_Process_Details[RV GWP (kg CO2 equiv.) per kg API],Table_Process_Details[Display Name],Table_Process_Details[[#This Row],[Unique Process Inputs]],Table_Process_Details[Input or Output],"Input")</f>
        <v>4.8526942514463822E-2</v>
      </c>
      <c r="EZ34" s="1">
        <f ca="1">SUMIFS(Table_Process_Details[RV GWP (kg CO2 equiv.) per kg API (REAGENT)],Table_Process_Details[Display Name],Table_Process_Details[[#This Row],[Unique Process Inputs]],Table_Process_Details[Input or Output],"Input")</f>
        <v>4.8420440403212112E-2</v>
      </c>
      <c r="FA34" s="1">
        <f ca="1">SUMIFS(Table_Process_Details[RV GWP (kg CO2 equiv.) per kg API (METAL)],Table_Process_Details[Display Name],Table_Process_Details[[#This Row],[Unique Process Inputs]],Table_Process_Details[Input or Output],"Input")</f>
        <v>0</v>
      </c>
      <c r="FB34" s="1">
        <f ca="1">SUMIFS(Table_Process_Details[RV GWP (kg CO2 equiv.) per kg API (SOLVENT)],Table_Process_Details[Display Name],Table_Process_Details[[#This Row],[Unique Process Inputs]],Table_Process_Details[Input or Output],"Input")</f>
        <v>0</v>
      </c>
      <c r="FC34" s="1">
        <f ca="1">SUMIFS(Table_Process_Details[RV GWP (kg CO2 equiv.) per kg API (WATER)],Table_Process_Details[Display Name],Table_Process_Details[[#This Row],[Unique Process Inputs]],Table_Process_Details[Input or Output],"Input")</f>
        <v>1.0650211125170959E-4</v>
      </c>
      <c r="FD34" s="1">
        <f ca="1">SUMIFS(Table_Process_Details[RV GWP (kg CO2 equiv.) per kg API (ENZ&amp;PLNT)],Table_Process_Details[Display Name],Table_Process_Details[[#This Row],[Unique Process Inputs]],Table_Process_Details[Input or Output],"Input")</f>
        <v>0</v>
      </c>
      <c r="FE34" s="1">
        <f ca="1">SUMIFS(Table_Process_Details[RV GWP (kg CO2 equiv.) per kg API (OTHER)],Table_Process_Details[Display Name],Table_Process_Details[[#This Row],[Unique Process Inputs]],Table_Process_Details[Input or Output],"Input")</f>
        <v>0</v>
      </c>
      <c r="FF34" s="22" t="str">
        <f ca="1">INDEX(Table_Process_Details[Unique Process Inputs],MATCH(Table_Process_Details[[#This Row],['[GWP (kg CO2 equiv.) per kg API'] of Unique Inputs Sorted by '[GWP (kg CO2 equiv.) per kg API']]],Table_Process_Details[Total '[GWP (kg CO2 equiv.) per kg API'] of Unique Inputs],0))</f>
        <v>reagent Q (organic)</v>
      </c>
      <c r="FG34" s="22">
        <f ca="1">IF(LARGE(Table_Process_Details[Total '[GWP (kg CO2 equiv.) per kg API'] of Unique Inputs],Table_Process_Details[[#This Row],[Table Row]])=0,NA(),LARGE(Table_Process_Details[Total '[GWP (kg CO2 equiv.) per kg API'] of Unique Inputs],Table_Process_Details[[#This Row],[Table Row]]))</f>
        <v>1.8344850002595032E-3</v>
      </c>
      <c r="FH34" s="22">
        <f ca="1">SUM(OFFSET(Table_Process_Details['[GWP (kg CO2 equiv.) per kg API'] of Unique Inputs Sorted by '[GWP (kg CO2 equiv.) per kg API']],0,0,Table_Process_Details[[#This Row],[Table Row]]))</f>
        <v>156.49857375308062</v>
      </c>
      <c r="FI34" s="22" t="str">
        <f ca="1">"("&amp;TEXT(Table_Process_Details[[#This Row],['[GWP (kg CO2 equiv.) per kg API'] of Unique Inputs Sorted by '[GWP (kg CO2 equiv.) per kg API']]]/SUMIF(Table_Process_Details['[GWP (kg CO2 equiv.) per kg API'] of Unique Inputs Sorted by '[GWP (kg CO2 equiv.) per kg API']],"&lt;&gt;#N/A"),"0%")&amp;")"</f>
        <v>(0%)</v>
      </c>
      <c r="FJ34" s="22">
        <f ca="1">INDEX(Table_Process_Details[Total '[GWP (kg CO2 equiv.) per kg API'] of Unique Inputs (REAGENT)], MATCH(Table_Process_Details[[#This Row],[Unique Inputs Sorted by '[GWP (kg CO2 equiv.) per kg API']]],Table_Process_Details[Unique Process Inputs],0))</f>
        <v>1.8344850002595032E-3</v>
      </c>
      <c r="FK34" s="22">
        <f ca="1">INDEX(Table_Process_Details[Total '[GWP (kg CO2 equiv.) per kg API'] of Unique Inputs (METAL)], MATCH(Table_Process_Details[[#This Row],[Unique Inputs Sorted by '[GWP (kg CO2 equiv.) per kg API']]],Table_Process_Details[Unique Process Inputs],0))</f>
        <v>0</v>
      </c>
      <c r="FL34" s="22">
        <f ca="1">INDEX(Table_Process_Details[Total '[GWP (kg CO2 equiv.) per kg API'] of Unique Inputs (SOLVENT)], MATCH(Table_Process_Details[[#This Row],[Unique Inputs Sorted by '[GWP (kg CO2 equiv.) per kg API']]],Table_Process_Details[Unique Process Inputs],0))</f>
        <v>0</v>
      </c>
      <c r="FM34" s="22">
        <f ca="1">INDEX(Table_Process_Details[Total '[GWP (kg CO2 equiv.) per kg API'] of Unique Inputs (WATER)], MATCH(Table_Process_Details[[#This Row],[Unique Inputs Sorted by '[GWP (kg CO2 equiv.) per kg API']]],Table_Process_Details[Unique Process Inputs],0))</f>
        <v>0</v>
      </c>
      <c r="FN34" s="22">
        <f ca="1">INDEX(Table_Process_Details[Total '[GWP (kg CO2 equiv.) per kg API'] of Unique Inputs (ENZ&amp;PLNT)], MATCH(Table_Process_Details[[#This Row],[Unique Inputs Sorted by '[GWP (kg CO2 equiv.) per kg API']]],Table_Process_Details[Unique Process Inputs],0))</f>
        <v>0</v>
      </c>
      <c r="FO34" s="22">
        <f ca="1">INDEX(Table_Process_Details[Total '[GWP (kg CO2 equiv.) per kg API'] of Unique Inputs (OTHER)], MATCH(Table_Process_Details[[#This Row],[Unique Inputs Sorted by '[GWP (kg CO2 equiv.) per kg API']]],Table_Process_Details[Unique Process Inputs],0))</f>
        <v>0</v>
      </c>
      <c r="FP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4" s="22">
        <f ca="1">SUMIFS(Table_Process_Details[RV Acidification (kg SO2 equiv.) per kg API],Table_Process_Details[Display Name],Table_Process_Details[[#This Row],[Unique Process Inputs]],Table_Process_Details[Input or Output],"Input")</f>
        <v>4.8622015056600968E-4</v>
      </c>
      <c r="FX34" s="1">
        <f ca="1">SUMIFS(Table_Process_Details[RV Acidification (kg SO2 equiv.) per kg API (REAGENT)],Table_Process_Details[Display Name],Table_Process_Details[[#This Row],[Unique Process Inputs]],Table_Process_Details[Input or Output],"Input")</f>
        <v>4.8581212761992815E-4</v>
      </c>
      <c r="FY34" s="1">
        <f ca="1">SUMIFS(Table_Process_Details[RV Acidification (kg SO2 equiv.) per kg API (METAL)],Table_Process_Details[Display Name],Table_Process_Details[[#This Row],[Unique Process Inputs]],Table_Process_Details[Input or Output],"Input")</f>
        <v>0</v>
      </c>
      <c r="FZ34" s="1">
        <f ca="1">SUMIFS(Table_Process_Details[RV Acidification (kg SO2 equiv.) per kg API (SOLVENT)],Table_Process_Details[Display Name],Table_Process_Details[[#This Row],[Unique Process Inputs]],Table_Process_Details[Input or Output],"Input")</f>
        <v>0</v>
      </c>
      <c r="GA34" s="1">
        <f ca="1">SUMIFS(Table_Process_Details[RV Acidification (kg SO2 equiv.) per kg API (WATER)],Table_Process_Details[Display Name],Table_Process_Details[[#This Row],[Unique Process Inputs]],Table_Process_Details[Input or Output],"Input")</f>
        <v>4.0802294608158025E-7</v>
      </c>
      <c r="GB34" s="1">
        <f ca="1">SUMIFS(Table_Process_Details[RV Acidification (kg SO2 equiv.) per kg API (ENZ&amp;PLNT)],Table_Process_Details[Display Name],Table_Process_Details[[#This Row],[Unique Process Inputs]],Table_Process_Details[Input or Output],"Input")</f>
        <v>0</v>
      </c>
      <c r="GC34" s="1">
        <f ca="1">SUMIFS(Table_Process_Details[RV Acidification (kg SO2 equiv.) per kg API (OTHER)],Table_Process_Details[Display Name],Table_Process_Details[[#This Row],[Unique Process Inputs]],Table_Process_Details[Input or Output],"Input")</f>
        <v>0</v>
      </c>
      <c r="GD34"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Q (organic)</v>
      </c>
      <c r="GE34" s="22">
        <f ca="1">IF(LARGE(Table_Process_Details[Total '[Acidification (kg SO2 equiv.) per kg API'] of Unique Inputs],Table_Process_Details[[#This Row],[Table Row]])=0,NA(),LARGE(Table_Process_Details[Total '[Acidification (kg SO2 equiv.) per kg API'] of Unique Inputs],Table_Process_Details[[#This Row],[Table Row]]))</f>
        <v>7.845071606153624E-6</v>
      </c>
      <c r="GF34" s="22">
        <f ca="1">SUM(OFFSET(Table_Process_Details['[Acidification (kg SO2 equiv.) per kg API'] of Unique Inputs Sorted by '[Acidification (kg SO2 equiv.) per kg API']],0,0,Table_Process_Details[[#This Row],[Table Row]]))</f>
        <v>0.6552989599548209</v>
      </c>
      <c r="GG34"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4" s="22">
        <f ca="1">INDEX(Table_Process_Details[Total '[Acidification (kg SO2 equiv.) per kg API'] of Unique Inputs (REAGENT)], MATCH(Table_Process_Details[[#This Row],[Unique Inputs Sorted by '[Acidification (kg SO2 equiv.) per kg API']]],Table_Process_Details[Unique Process Inputs],0))</f>
        <v>7.845071606153624E-6</v>
      </c>
      <c r="GI34" s="22">
        <f ca="1">INDEX(Table_Process_Details[Total '[Acidification (kg SO2 equiv.) per kg API'] of Unique Inputs (METAL)], MATCH(Table_Process_Details[[#This Row],[Unique Inputs Sorted by '[Acidification (kg SO2 equiv.) per kg API']]],Table_Process_Details[Unique Process Inputs],0))</f>
        <v>0</v>
      </c>
      <c r="GJ34" s="22">
        <f ca="1">INDEX(Table_Process_Details[Total '[Acidification (kg SO2 equiv.) per kg API'] of Unique Inputs (SOLVENT)], MATCH(Table_Process_Details[[#This Row],[Unique Inputs Sorted by '[Acidification (kg SO2 equiv.) per kg API']]],Table_Process_Details[Unique Process Inputs],0))</f>
        <v>0</v>
      </c>
      <c r="GK34" s="22">
        <f ca="1">INDEX(Table_Process_Details[Total '[Acidification (kg SO2 equiv.) per kg API'] of Unique Inputs (WATER)], MATCH(Table_Process_Details[[#This Row],[Unique Inputs Sorted by '[Acidification (kg SO2 equiv.) per kg API']]],Table_Process_Details[Unique Process Inputs],0))</f>
        <v>0</v>
      </c>
      <c r="GL34" s="22">
        <f ca="1">INDEX(Table_Process_Details[Total '[Acidification (kg SO2 equiv.) per kg API'] of Unique Inputs (ENZ&amp;PLNT)], MATCH(Table_Process_Details[[#This Row],[Unique Inputs Sorted by '[Acidification (kg SO2 equiv.) per kg API']]],Table_Process_Details[Unique Process Inputs],0))</f>
        <v>0</v>
      </c>
      <c r="GM34" s="22">
        <f ca="1">INDEX(Table_Process_Details[Total '[Acidification (kg SO2 equiv.) per kg API'] of Unique Inputs (OTHER)], MATCH(Table_Process_Details[[#This Row],[Unique Inputs Sorted by '[Acidification (kg SO2 equiv.) per kg API']]],Table_Process_Details[Unique Process Inputs],0))</f>
        <v>0</v>
      </c>
      <c r="GN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4" s="22">
        <f ca="1">SUMIFS(Table_Process_Details[RV Eutrophication (kg phosphate equiv.) per kg API],Table_Process_Details[Display Name],Table_Process_Details[[#This Row],[Unique Process Inputs]],Table_Process_Details[Input or Output],"Input")</f>
        <v>2.4708422572600136E-5</v>
      </c>
      <c r="GV34" s="1">
        <f ca="1">SUMIFS(Table_Process_Details[RV Eutrophication (kg phosphate equiv.) per kg API (REAGENT)],Table_Process_Details[Display Name],Table_Process_Details[[#This Row],[Unique Process Inputs]],Table_Process_Details[Input or Output],"Input")</f>
        <v>2.4465358944888468E-5</v>
      </c>
      <c r="GW34" s="1">
        <f ca="1">SUMIFS(Table_Process_Details[RV Eutrophication (kg phosphate equiv.) per kg API (METAL)],Table_Process_Details[Display Name],Table_Process_Details[[#This Row],[Unique Process Inputs]],Table_Process_Details[Input or Output],"Input")</f>
        <v>0</v>
      </c>
      <c r="GX34" s="1">
        <f ca="1">SUMIFS(Table_Process_Details[RV Eutrophication (kg phosphate equiv.) per kg API (SOLVENT)],Table_Process_Details[Display Name],Table_Process_Details[[#This Row],[Unique Process Inputs]],Table_Process_Details[Input or Output],"Input")</f>
        <v>0</v>
      </c>
      <c r="GY34" s="1">
        <f ca="1">SUMIFS(Table_Process_Details[RV Eutrophication (kg phosphate equiv.) per kg API (WATER)],Table_Process_Details[Display Name],Table_Process_Details[[#This Row],[Unique Process Inputs]],Table_Process_Details[Input or Output],"Input")</f>
        <v>2.4306362771167172E-7</v>
      </c>
      <c r="GZ34" s="1">
        <f ca="1">SUMIFS(Table_Process_Details[RV Eutrophication (kg phosphate equiv.) per kg API (ENZ&amp;PLNT)],Table_Process_Details[Display Name],Table_Process_Details[[#This Row],[Unique Process Inputs]],Table_Process_Details[Input or Output],"Input")</f>
        <v>0</v>
      </c>
      <c r="HA34" s="1">
        <f ca="1">SUMIFS(Table_Process_Details[RV Eutrophication (kg phosphate equiv.) per kg API (OTHER)],Table_Process_Details[Display Name],Table_Process_Details[[#This Row],[Unique Process Inputs]],Table_Process_Details[Input or Output],"Input")</f>
        <v>0</v>
      </c>
      <c r="HB34"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reagent R (organic)</v>
      </c>
      <c r="HC34" s="22">
        <f ca="1">IF(LARGE(Table_Process_Details[Total '[Eutrophication (kg posphate equiv.) per kg API'] of Unique Inputs],Table_Process_Details[[#This Row],[Table Row]])=0,NA(),LARGE(Table_Process_Details[Total '[Eutrophication (kg posphate equiv.) per kg API'] of Unique Inputs],Table_Process_Details[[#This Row],[Table Row]]))</f>
        <v>3.1408116216878934E-6</v>
      </c>
      <c r="HD34" s="22">
        <f ca="1">SUM(OFFSET(Table_Process_Details['[Eutrophication (kg posphate equiv.) per kg API'] of Unique Inputs Sorted by '[Eutrophication (kg posphate equiv.) per kg API']],0,0,Table_Process_Details[[#This Row],[Table Row]]))</f>
        <v>1.3757163907803838</v>
      </c>
      <c r="HE34"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4" s="1">
        <f ca="1">INDEX(Table_Process_Details[Total '[Eutrophication (kg posphate equiv.) per kg API'] of Unique Inputs (REAGENT)], MATCH(Table_Process_Details[[#This Row],[Unique Inputs Sorted by '[Eutrophication (kg posphate equiv.) per kg API']]],Table_Process_Details[Unique Process Inputs],0))</f>
        <v>3.1408116216878934E-6</v>
      </c>
      <c r="HG34" s="1">
        <f ca="1">INDEX(Table_Process_Details[Total '[Eutrophication (kg posphate equiv.) per kg API'] of Unique Inputs (METAL)], MATCH(Table_Process_Details[[#This Row],[Unique Inputs Sorted by '[Eutrophication (kg posphate equiv.) per kg API']]],Table_Process_Details[Unique Process Inputs],0))</f>
        <v>0</v>
      </c>
      <c r="HH34" s="1">
        <f ca="1">INDEX(Table_Process_Details[Total '[Eutrophication (kg posphate equiv.) per kg API'] of Unique Inputs (SOLVENT)], MATCH(Table_Process_Details[[#This Row],[Unique Inputs Sorted by '[Eutrophication (kg posphate equiv.) per kg API']]],Table_Process_Details[Unique Process Inputs],0))</f>
        <v>0</v>
      </c>
      <c r="HI34" s="1">
        <f ca="1">INDEX(Table_Process_Details[Total '[Eutrophication (kg posphate equiv.) per kg API'] of Unique Inputs (WATER)], MATCH(Table_Process_Details[[#This Row],[Unique Inputs Sorted by '[Eutrophication (kg posphate equiv.) per kg API']]],Table_Process_Details[Unique Process Inputs],0))</f>
        <v>0</v>
      </c>
      <c r="HJ34" s="1">
        <f ca="1">INDEX(Table_Process_Details[Total '[Eutrophication (kg posphate equiv.) per kg API'] of Unique Inputs (ENZ&amp;PLNT)], MATCH(Table_Process_Details[[#This Row],[Unique Inputs Sorted by '[Eutrophication (kg posphate equiv.) per kg API']]],Table_Process_Details[Unique Process Inputs],0))</f>
        <v>0</v>
      </c>
      <c r="HK34" s="1">
        <f ca="1">INDEX(Table_Process_Details[Total '[Eutrophication (kg posphate equiv.) per kg API'] of Unique Inputs (OTHER)], MATCH(Table_Process_Details[[#This Row],[Unique Inputs Sorted by '[Eutrophication (kg posphate equiv.) per kg API']]],Table_Process_Details[Unique Process Inputs],0))</f>
        <v>0</v>
      </c>
      <c r="HL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4" s="1">
        <f ca="1">SUMIFS(Table_Process_Details[RV Water (kg) per kg API],Table_Process_Details[Display Name],Table_Process_Details[[#This Row],[Unique Process Inputs]],Table_Process_Details[Input or Output],"Input")</f>
        <v>0.15662293953725806</v>
      </c>
      <c r="HT34" s="1">
        <f ca="1">SUMIFS(Table_Process_Details[RV Water (kg) per kg API (REAGENT)],Table_Process_Details[Display Name],Table_Process_Details[[#This Row],[Unique Process Inputs]],Table_Process_Details[Input or Output],"Input")</f>
        <v>2.4158842947821797E-2</v>
      </c>
      <c r="HU34" s="1">
        <f ca="1">SUMIFS(Table_Process_Details[RV Water (kg) per kg API (METAL)],Table_Process_Details[Display Name],Table_Process_Details[[#This Row],[Unique Process Inputs]],Table_Process_Details[Input or Output],"Input")</f>
        <v>0</v>
      </c>
      <c r="HV34" s="1">
        <f ca="1">SUMIFS(Table_Process_Details[RV Water (kg) per kg API (SOLVENT)],Table_Process_Details[Display Name],Table_Process_Details[[#This Row],[Unique Process Inputs]],Table_Process_Details[Input or Output],"Input")</f>
        <v>0</v>
      </c>
      <c r="HW34" s="1">
        <f ca="1">SUMIFS(Table_Process_Details[RV Water (kg) per kg API (WATER)],Table_Process_Details[Display Name],Table_Process_Details[[#This Row],[Unique Process Inputs]],Table_Process_Details[Input or Output],"Input")</f>
        <v>0.13246409658943625</v>
      </c>
      <c r="HX34" s="1">
        <f ca="1">SUMIFS(Table_Process_Details[RV Water (kg) per kg API (ENZ&amp;PLNT)],Table_Process_Details[Display Name],Table_Process_Details[[#This Row],[Unique Process Inputs]],Table_Process_Details[Input or Output],"Input")</f>
        <v>0</v>
      </c>
      <c r="HY34" s="1">
        <f ca="1">SUMIFS(Table_Process_Details[RV Water (kg) per kg API (OTHER)],Table_Process_Details[Display Name],Table_Process_Details[[#This Row],[Unique Process Inputs]],Table_Process_Details[Input or Output],"Input")</f>
        <v>0</v>
      </c>
      <c r="HZ34" s="22" t="str">
        <f ca="1">INDEX(Table_Process_Details[Unique Process Inputs],MATCH(Table_Process_Details[[#This Row],['[Water (kg) per kg API'] of Unique Inputs Sorted by '[Water (kg) per kg API']]],Table_Process_Details[Total '[Water (kg) per kg API'] of Unique Inputs],0))</f>
        <v>reagent Q (organic)</v>
      </c>
      <c r="IA34" s="22">
        <f ca="1">IF(LARGE(Table_Process_Details[Total '[Water (kg) per kg API'] of Unique Inputs],Table_Process_Details[[#This Row],[Table Row]])=0,NA(),LARGE(Table_Process_Details[Total '[Water (kg) per kg API'] of Unique Inputs],Table_Process_Details[[#This Row],[Table Row]]))</f>
        <v>1.0272178828414497E-2</v>
      </c>
      <c r="IB34" s="1">
        <f ca="1">SUM(OFFSET(Table_Process_Details['[Water (kg) per kg API'] of Unique Inputs Sorted by '[Water (kg) per kg API']],0,0,Table_Process_Details[[#This Row],[Table Row]]))</f>
        <v>890.25627628222207</v>
      </c>
      <c r="IC34" s="1" t="str">
        <f ca="1">"("&amp;TEXT(Table_Process_Details[[#This Row],['[Water (kg) per kg API'] of Unique Inputs Sorted by '[Water (kg) per kg API']]]/SUMIF(Table_Process_Details['[Water (kg) per kg API'] of Unique Inputs Sorted by '[Water (kg) per kg API']],"&lt;&gt;#N/A"),"0%")&amp;")"</f>
        <v>(0%)</v>
      </c>
      <c r="ID34" s="1">
        <f ca="1">INDEX(Table_Process_Details[Total '[Water (kg) per kg API'] of Unique Inputs (REAGENT)], MATCH(Table_Process_Details[[#This Row],[Unique Inputs Sorted by '[Water (kg) per kg API']]],Table_Process_Details[Unique Process Inputs],0))</f>
        <v>1.0272178828414497E-2</v>
      </c>
      <c r="IE34" s="1">
        <f ca="1">INDEX(Table_Process_Details[Total '[Water (kg) per kg API'] of Unique Inputs (METAL)], MATCH(Table_Process_Details[[#This Row],[Unique Inputs Sorted by '[Water (kg) per kg API']]],Table_Process_Details[Unique Process Inputs],0))</f>
        <v>0</v>
      </c>
      <c r="IF34" s="1">
        <f ca="1">INDEX(Table_Process_Details[Total '[Water (kg) per kg API'] of Unique Inputs (SOLVENT)], MATCH(Table_Process_Details[[#This Row],[Unique Inputs Sorted by '[Water (kg) per kg API']]],Table_Process_Details[Unique Process Inputs],0))</f>
        <v>0</v>
      </c>
      <c r="IG34" s="1">
        <f ca="1">INDEX(Table_Process_Details[Total '[Water (kg) per kg API'] of Unique Inputs (WATER)], MATCH(Table_Process_Details[[#This Row],[Unique Inputs Sorted by '[Water (kg) per kg API']]],Table_Process_Details[Unique Process Inputs],0))</f>
        <v>0</v>
      </c>
      <c r="IH34" s="1">
        <f ca="1">INDEX(Table_Process_Details[Total '[Water (kg) per kg API'] of Unique Inputs (ENZ&amp;PLNT)], MATCH(Table_Process_Details[[#This Row],[Unique Inputs Sorted by '[Water (kg) per kg API']]],Table_Process_Details[Unique Process Inputs],0))</f>
        <v>0</v>
      </c>
      <c r="II34" s="1">
        <f ca="1">INDEX(Table_Process_Details[Total '[Water (kg) per kg API'] of Unique Inputs (OTHER)], MATCH(Table_Process_Details[[#This Row],[Unique Inputs Sorted by '[Water (kg) per kg API']]],Table_Process_Details[Unique Process Inputs],0))</f>
        <v>0</v>
      </c>
    </row>
    <row r="35" spans="1:243" customFormat="1" x14ac:dyDescent="0.25">
      <c r="A35" s="22" t="str">
        <f t="shared" si="0"/>
        <v>1) Synthesis of Intermediate (1)</v>
      </c>
      <c r="B35" s="21" t="s">
        <v>4</v>
      </c>
      <c r="C35" s="21" t="s">
        <v>170</v>
      </c>
      <c r="D35" s="22" t="str">
        <f>A19</f>
        <v>1e) Virtual solution prep for (1): 6 M HCl (aq)</v>
      </c>
      <c r="E35" s="22" t="str">
        <f>E19</f>
        <v>6 M HCl (aq)</v>
      </c>
      <c r="F35" s="26">
        <v>400</v>
      </c>
      <c r="G35" s="26"/>
      <c r="H35" s="26"/>
      <c r="I35" s="26"/>
      <c r="J35" s="26" t="str">
        <f>INDEX(Process_Steps[Reference],MATCH(Table_Process_Details[[#This Row],[Step Name]],Process_Steps[Name],0))</f>
        <v>Reference Document  for Step 1</v>
      </c>
      <c r="K35" s="27" t="str">
        <f>INDEX(Process_Steps[Real or Virtual?],MATCH(Table_Process_Details[[#This Row],[Step Name]],Process_Steps[Name],0))</f>
        <v>Real</v>
      </c>
      <c r="L3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3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35" s="26">
        <f>INDEX(Table_Process_Details[Physical Mass (kg)],MATCH(1,INDEX(((Table_Process_Details[Step Name]=Table_Process_Details[[#This Row],[Step Name]])*(Table_Process_Details[Input or Output]="Output")),0),0))</f>
        <v>51.020408163265309</v>
      </c>
      <c r="O35" s="29">
        <f ca="1">INDEX(Process_Steps[Step Scale Factor for 1kg Packaged API],MATCH(Table_Process_Details[[#This Row],[Step Name]],Process_Steps[Name],0))</f>
        <v>6.9901025556863543E-3</v>
      </c>
      <c r="P3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v>
      </c>
      <c r="Q3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v>
      </c>
      <c r="R35" s="26">
        <f ca="1">_xlfn.SWITCH(Run_Reset_PNG,"Reset",Table_Process_Details[[#This Row],[X Init]],"Run",Table_Process_Details[[#This Row],[X Moved]],"Freeze",Table_Process_Details[[#This Row],[X Mover]])</f>
        <v>6.4645394019293203</v>
      </c>
      <c r="S35" s="26">
        <f ca="1">_xlfn.SWITCH(Run_Reset_PNG,"Reset",Table_Process_Details[[#This Row],[Y Init]],"Run",Table_Process_Details[[#This Row],[Y Moved]],"Freeze",Table_Process_Details[[#This Row],[Y Mover]])</f>
        <v>25.820552061494336</v>
      </c>
      <c r="T35" s="26" cm="1">
        <f t="array" aca="1" ref="T3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8.1339831511728207</v>
      </c>
      <c r="U35" s="26" cm="1">
        <f t="array" aca="1" ref="U3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7.2589848680835685</v>
      </c>
      <c r="V35" s="26" cm="1">
        <f t="array" aca="1" ref="V35" ca="1">SUM(--(SQRT((Table_Process_Details[[#This Row],[X Mover]]-Table_Process_Details[X Mover])^2+(Table_Process_Details[[#This Row],[Y Mover]]-Table_Process_Details[Y Mover])^2)&lt;Collision_Distance))</f>
        <v>17</v>
      </c>
      <c r="W35" s="26" cm="1">
        <f t="array" aca="1" ref="W3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-0.89777387459685543</v>
      </c>
      <c r="X35" s="26" cm="1">
        <f t="array" aca="1" ref="X3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-0.58807527674141402</v>
      </c>
      <c r="Y35" s="26" cm="1">
        <f t="array" aca="1" ref="Y3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35" s="26">
        <f>0</f>
        <v>0</v>
      </c>
      <c r="AA35" s="26">
        <f>0</f>
        <v>0</v>
      </c>
      <c r="AB3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-3.2322697009646602</v>
      </c>
      <c r="AC35" s="26" cm="1">
        <f t="array" aca="1" ref="AC3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-12.910276030747168</v>
      </c>
      <c r="AD35" s="26">
        <f>MIN(1,COUNTA(Table_Process_Details[[#This Row],[target x]]),COUNTA(Table_Process_Details[[#This Row],[target y]]))*COUNTA(Table_Process_Details[Step Name])</f>
        <v>98</v>
      </c>
      <c r="AE3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6.4611397178713101</v>
      </c>
      <c r="AF3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25.821776022493069</v>
      </c>
      <c r="AG3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35" s="26" cm="1">
        <f t="array" aca="1" ref="AH35" ca="1">INDEX(Table_Process_Details[X Mover],MATCH(1,INDEX((Table_Process_Details[Input or Output]="Output")*(Table_Process_Details[Step Name]=Table_Process_Details[[#This Row],[Step Name]])*(Table_Process_Details[[#This Row],[Input or Output]]="Input"),0),0))</f>
        <v>0.78891624628593393</v>
      </c>
      <c r="AI35" s="26" cm="1">
        <f t="array" aca="1" ref="AI35" ca="1">INDEX(Table_Process_Details[Y Mover],MATCH(1,INDEX((Table_Process_Details[Input or Output]="Output")*(Table_Process_Details[Step Name]=Table_Process_Details[[#This Row],[Step Name]])*(Table_Process_Details[[#This Row],[Input or Output]]="Input"),0),0))</f>
        <v>21.555431875630404</v>
      </c>
      <c r="AJ35" s="26">
        <f ca="1">SQRT((Table_Process_Details[[#This Row],[X End (To Node Center)]]-Table_Process_Details[[#This Row],[X Guide]])^2+(Table_Process_Details[[#This Row],[Y End (to Node Center)]]-Table_Process_Details[[#This Row],[Y Guide]])^2)</f>
        <v>7.0995738185287829</v>
      </c>
      <c r="AK35" s="26" cm="1">
        <f t="array" aca="1" ref="AK35" ca="1">INDEX(Table_Process_Details[X Mover],MATCH(1,INDEX((Table_Process_Details[Step Name]=Table_Process_Details[[#This Row],[LCA Data Source Subclass]])*(Table_Process_Details[Input or Output]="Output"),0)*(Table_Process_Details[[#This Row],[Input or Output]]="Input"),0))</f>
        <v>10.21150408293698</v>
      </c>
      <c r="AL35" s="26" cm="1">
        <f t="array" aca="1" ref="AL35" ca="1">INDEX(Table_Process_Details[X Mover],MATCH(1,INDEX(((Table_Process_Details[Table Row]=Table_Process_Details[[#This Row],[Table Row]])*(1)),0)*(Table_Process_Details[[#This Row],[Input or Output]]="Input"),0))</f>
        <v>6.4645394019293203</v>
      </c>
      <c r="AM35" s="26" cm="1">
        <f t="array" aca="1" ref="AM35" ca="1">(Table_Process_Details[[#This Row],[X End (To Node Center)]]*Table_Process_Details[[#This Row],[r0]]-Table_Process_Details[[#This Row],[X End (To Node Center)]]*Arrow_Offset+Table_Process_Details[[#This Row],[X Guide]]*Arrow_Offset)/Table_Process_Details[[#This Row],[r0]]</f>
        <v>1.4284614697843805</v>
      </c>
      <c r="AN35" s="26">
        <f ca="1">IF(NOT(Table_Process_Details[[#This Row],[Display As]]="None"),Table_Process_Details[[#This Row],[X Start Prefilter]],NA())</f>
        <v>10.21150408293698</v>
      </c>
      <c r="AO35" s="26">
        <f ca="1">IF(NOT(Table_Process_Details[[#This Row],[Display As]]="None"),Table_Process_Details[[#This Row],[X Guide Prefilter]],NA())</f>
        <v>6.4645394019293203</v>
      </c>
      <c r="AP35" s="26">
        <f ca="1">IF(NOT(Table_Process_Details[[#This Row],[Display As]]="None"),Table_Process_Details[[#This Row],[X End (to Stop Radius) Prefilter]],NA())</f>
        <v>1.4284614697843805</v>
      </c>
      <c r="AQ35" s="26" t="e">
        <f>NA()</f>
        <v>#N/A</v>
      </c>
      <c r="AR35" s="26" cm="1">
        <f t="array" aca="1" ref="AR35" ca="1">INDEX(Table_Process_Details[Y Mover],MATCH(1,INDEX((Table_Process_Details[Step Name]=Table_Process_Details[[#This Row],[LCA Data Source Subclass]])*(Table_Process_Details[Input or Output]="Output"),0)*(Table_Process_Details[[#This Row],[Input or Output]]="Input"),0))</f>
        <v>29.074212703146806</v>
      </c>
      <c r="AS35" s="26" cm="1">
        <f t="array" aca="1" ref="AS35" ca="1">INDEX(Table_Process_Details[Y Mover],MATCH(1,INDEX(((Table_Process_Details[Table Row]=Table_Process_Details[[#This Row],[Table Row]])*(1)),0)*(Table_Process_Details[[#This Row],[Input or Output]]="Input"),0))</f>
        <v>25.820552061494336</v>
      </c>
      <c r="AT35" s="26" cm="1">
        <f t="array" aca="1" ref="AT35" ca="1">(Table_Process_Details[[#This Row],[Y Guide]]*Arrow_Offset-Table_Process_Details[[#This Row],[Y End (to Node Center)]]*Arrow_Offset+Table_Process_Details[[#This Row],[Y End (to Node Center)]]*Table_Process_Details[[#This Row],[r0]])/Table_Process_Details[[#This Row],[r0]]</f>
        <v>22.03603764661149</v>
      </c>
      <c r="AU35" s="26">
        <f ca="1">IF(NOT(Table_Process_Details[[#This Row],[Display As]]="None"),Table_Process_Details[[#This Row],[Y Start Prefilter]],NA())</f>
        <v>29.074212703146806</v>
      </c>
      <c r="AV35" s="26">
        <f ca="1">IF(NOT(Table_Process_Details[[#This Row],[Display As]]="None"),Table_Process_Details[[#This Row],[Y Guide Prefilter]],NA())</f>
        <v>25.820552061494336</v>
      </c>
      <c r="AW35" s="26">
        <f ca="1">IF(NOT(Table_Process_Details[[#This Row],[Display As]]="None"),Table_Process_Details[[#This Row],[Y End (to Stop Radius) Prefilter]],NA())</f>
        <v>22.03603764661149</v>
      </c>
      <c r="AX35" s="26" t="e">
        <f>NA()</f>
        <v>#N/A</v>
      </c>
      <c r="AY35" s="26" t="e">
        <f>IF(Table_Process_Details[[#This Row],[Display As]]="Real Step",Table_Process_Details[[#This Row],[X Mover]],NA())</f>
        <v>#N/A</v>
      </c>
      <c r="AZ35" s="26" t="e">
        <f>IF(Table_Process_Details[[#This Row],[Display As]]="Real Step",Table_Process_Details[[#This Row],[Y Mover]],NA())</f>
        <v>#N/A</v>
      </c>
      <c r="BA35" s="26" t="e">
        <f>IF(Table_Process_Details[[#This Row],[Display As]]="Raw Material",Table_Process_Details[[#This Row],[X Mover]],NA())</f>
        <v>#N/A</v>
      </c>
      <c r="BB35" s="26" t="e">
        <f>IF(Table_Process_Details[[#This Row],[Display As]]="Raw Material",Table_Process_Details[[#This Row],[Y Mover]],NA())</f>
        <v>#N/A</v>
      </c>
      <c r="BC35" s="26" t="e">
        <f>IF(OR(Table_Process_Details[[#This Row],[Display As]]="Real Step",Table_Process_Details[[#This Row],[Display As]]="Raw Material"),Table_Process_Details[[#This Row],[X Mover]],NA())</f>
        <v>#N/A</v>
      </c>
      <c r="BD35" s="26" t="e">
        <f>IF(OR(Table_Process_Details[[#This Row],[Display As]]="Real Step",Table_Process_Details[[#This Row],[Display As]]="Raw Material"),Table_Process_Details[[#This Row],[Y Mover]],NA())</f>
        <v>#N/A</v>
      </c>
      <c r="BE35" s="22">
        <f>ROW()-ROW(Table_Process_Details[[#Headers],[Table Row]])</f>
        <v>31</v>
      </c>
      <c r="BF35" s="23" t="str" cm="1">
        <f t="array" aca="1" ref="BF35" ca="1">INDEX(Table_Process_Details[Display Name],MATCH(0,IF(Table_Process_Details[Input or Output]="Input",INDEX(COUNTIF(OFFSET(Table_Process_Details[[#Headers],[Unique Process Inputs]],0,0,Table_Process_Details[[#This Row],[Table Row]],1),Table_Process_Details[Display Name]),),""),0))</f>
        <v>30 wt% reagent F (inorganic) in water</v>
      </c>
      <c r="BG35" s="23">
        <f ca="1">Table_Process_Details[[#This Row],[Physical Mass (kg)]]*Table_Process_Details[[#This Row],[Step Scale Factor for 1kg Packaged API]]</f>
        <v>2.7960410222745415</v>
      </c>
      <c r="BH3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0.99999999999474554</v>
      </c>
      <c r="BI35" s="23">
        <f ca="1">MATCH(Table_Process_Details[[#This Row],[LCA Data Source Class]],INDIRECT(Table_Process_Details[[#This Row],[Input or Output]]),0)</f>
        <v>1</v>
      </c>
      <c r="BJ35" s="23">
        <f ca="1">MATCH(Table_Process_Details[[#This Row],[LCA Data Source Subclass]],INDIRECT(Table_Process_Details[[#This Row],[LCA Data Source Class]]&amp;"[Name]"),0)</f>
        <v>5</v>
      </c>
      <c r="BK35" s="23">
        <f ca="1">IFERROR(INDEX(INDIRECT(Table_Process_Details[[#This Row],[LCA Data Source Class]]&amp;"[Mass Net (kg)]"),MATCH(Table_Process_Details[[#This Row],[LCA Data Source Subclass]],INDIRECT(Table_Process_Details[[#This Row],[LCA Data Source Class]]&amp;"[Name]"),0)),0)</f>
        <v>0</v>
      </c>
      <c r="BL35" s="23">
        <f ca="1">IFERROR(INDEX(INDIRECT(Table_Process_Details[[#This Row],[LCA Data Source Class]]&amp;"[Energy (MJ)]"),MATCH(Table_Process_Details[[#This Row],[LCA Data Source Subclass]],INDIRECT(Table_Process_Details[[#This Row],[LCA Data Source Class]]&amp;"[Name]"),0)),0)</f>
        <v>0</v>
      </c>
      <c r="BM35" s="23">
        <f ca="1">IFERROR(INDEX(INDIRECT(Table_Process_Details[[#This Row],[LCA Data Source Class]]&amp;"[GWP (kg CO2 equiv.)]"),MATCH(Table_Process_Details[[#This Row],[LCA Data Source Subclass]],INDIRECT(Table_Process_Details[[#This Row],[LCA Data Source Class]]&amp;"[Name]"),0)),0)</f>
        <v>0</v>
      </c>
      <c r="BN35" s="23">
        <f ca="1">IFERROR(INDEX(INDIRECT(Table_Process_Details[[#This Row],[LCA Data Source Class]]&amp;"[Acidification (kg SO2 equiv.)]"),MATCH(Table_Process_Details[[#This Row],[LCA Data Source Subclass]],INDIRECT(Table_Process_Details[[#This Row],[LCA Data Source Class]]&amp;"[Name]"),0)),0)</f>
        <v>0</v>
      </c>
      <c r="BO35" s="23">
        <f ca="1">IFERROR(INDEX(INDIRECT(Table_Process_Details[[#This Row],[LCA Data Source Class]]&amp;"[Eutrophication (kg posphate equiv.)]"),MATCH(Table_Process_Details[[#This Row],[LCA Data Source Subclass]],INDIRECT(Table_Process_Details[[#This Row],[LCA Data Source Class]]&amp;"[Name]"),0)),0)</f>
        <v>0</v>
      </c>
      <c r="BP35" s="23">
        <f ca="1">IFERROR(INDEX(INDIRECT(Table_Process_Details[[#This Row],[LCA Data Source Class]]&amp;"[Water (kg)]"),MATCH(Table_Process_Details[[#This Row],[LCA Data Source Subclass]],INDIRECT(Table_Process_Details[[#This Row],[LCA Data Source Class]]&amp;"[Name]"),0)),0)</f>
        <v>0</v>
      </c>
      <c r="BQ35" s="27">
        <f ca="1">(Table_Process_Details[[#This Row],[Input or Output]]="Input")*(Table_Process_Details[[#This Row],[LCA Data Source Class]]&lt;&gt;"Process_Steps")*Table_Process_Details[[#This Row],[Scaled Physical Mass per kg API for All Inputs &amp; Outputs]]</f>
        <v>0</v>
      </c>
      <c r="BR35" s="27">
        <f ca="1">(Table_Process_Details[[#This Row],[Material Class]]="REAGENT")*Table_Process_Details[[#This Row],[Physical Mass per kg API]]</f>
        <v>0</v>
      </c>
      <c r="BS35" s="27">
        <f ca="1">(Table_Process_Details[[#This Row],[Material Class]]="METAL")*Table_Process_Details[[#This Row],[Physical Mass per kg API]]</f>
        <v>0</v>
      </c>
      <c r="BT35" s="27">
        <f ca="1">(Table_Process_Details[[#This Row],[Material Class]]="SOLVENT")*Table_Process_Details[[#This Row],[Physical Mass per kg API]]</f>
        <v>0</v>
      </c>
      <c r="BU35" s="27">
        <f ca="1">(Table_Process_Details[[#This Row],[Material Class]]="WATER")*Table_Process_Details[[#This Row],[Physical Mass per kg API]]</f>
        <v>0</v>
      </c>
      <c r="BV35" s="27">
        <f ca="1">(Table_Process_Details[[#This Row],[Material Class]]="ENZ&amp;PLNT")*Table_Process_Details[[#This Row],[Physical Mass per kg API]]</f>
        <v>0</v>
      </c>
      <c r="BW35" s="27">
        <f ca="1">(Table_Process_Details[[#This Row],[Material Class]]="OTHER")*Table_Process_Details[[#This Row],[Physical Mass per kg API]]</f>
        <v>0</v>
      </c>
      <c r="BX3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2.7960410222745415</v>
      </c>
      <c r="BY3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0.56901521401064736</v>
      </c>
      <c r="BZ3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2.2270258082638943</v>
      </c>
      <c r="CC3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5" s="1">
        <f ca="1">SUMIFS(Table_Process_Details[RV Physical Mass per kg API],Table_Process_Details[Display Name],Table_Process_Details[[#This Row],[Unique Process Inputs]],Table_Process_Details[Input or Output],"Input")</f>
        <v>0.69901025556824192</v>
      </c>
      <c r="CF35" s="1">
        <f ca="1">SUMIFS(Table_Process_Details[RV Physical Mass per kg API (REAGENT)],Table_Process_Details[Display Name],Table_Process_Details[[#This Row],[Unique Process Inputs]],Table_Process_Details[Input or Output],"Input")</f>
        <v>0.19063916060952052</v>
      </c>
      <c r="CG35" s="1">
        <f ca="1">SUMIFS(Table_Process_Details[RV Physical Mass per kg API (METAL)],Table_Process_Details[Display Name],Table_Process_Details[[#This Row],[Unique Process Inputs]],Table_Process_Details[Input or Output],"Input")</f>
        <v>0</v>
      </c>
      <c r="CH35" s="1">
        <f ca="1">SUMIFS(Table_Process_Details[RV Physical Mass per kg API (SOLVENT)],Table_Process_Details[Display Name],Table_Process_Details[[#This Row],[Unique Process Inputs]],Table_Process_Details[Input or Output],"Input")</f>
        <v>0</v>
      </c>
      <c r="CI35" s="1">
        <f ca="1">SUMIFS(Table_Process_Details[RV Physical Mass per kg API (WATER)],Table_Process_Details[Display Name],Table_Process_Details[[#This Row],[Unique Process Inputs]],Table_Process_Details[Input or Output],"Input")</f>
        <v>0.50837109495872146</v>
      </c>
      <c r="CJ35" s="1">
        <f ca="1">SUMIFS(Table_Process_Details[RV Physical Mass per kg API (ENZ&amp;PLNT)],Table_Process_Details[Display Name],Table_Process_Details[[#This Row],[Unique Process Inputs]],Table_Process_Details[Input or Output],"Input")</f>
        <v>0</v>
      </c>
      <c r="CK35" s="1">
        <f ca="1">SUMIFS(Table_Process_Details[RV Physical Mass per kg API (OTHER)],Table_Process_Details[Display Name],Table_Process_Details[[#This Row],[Unique Process Inputs]],Table_Process_Details[Input or Output],"Input")</f>
        <v>0</v>
      </c>
      <c r="CL35" s="22" t="str">
        <f ca="1">INDEX(Table_Process_Details[Unique Process Inputs],MATCH(Table_Process_Details[[#This Row],['[Physical Mass per kg API'] of Unique Inputs Sorted by '[Physical Mass per kg API']]],Table_Process_Details[Total '[Physical Mass per kg API'] of Unique Inputs],0))</f>
        <v>reagent R (organic)</v>
      </c>
      <c r="CM35" s="22">
        <f ca="1">IF(LARGE(Table_Process_Details[Total '[Physical Mass per kg API'] of Unique Inputs],Table_Process_Details[[#This Row],[Table Row]])=0,NA(),LARGE(Table_Process_Details[Total '[Physical Mass per kg API'] of Unique Inputs],Table_Process_Details[[#This Row],[Table Row]]))</f>
        <v>3.4950512778431775E-4</v>
      </c>
      <c r="CN35" s="22">
        <f ca="1">SUM(OFFSET(Table_Process_Details['[Physical Mass per kg API'] of Unique Inputs Sorted by '[Physical Mass per kg API']],0,0,Table_Process_Details[[#This Row],[Table Row]]))</f>
        <v>147.57423309112167</v>
      </c>
      <c r="CO35" s="22" t="str">
        <f ca="1">"("&amp;TEXT(Table_Process_Details[[#This Row],['[Physical Mass per kg API'] of Unique Inputs Sorted by '[Physical Mass per kg API']]]/SUMIF(Table_Process_Details['[Physical Mass per kg API'] of Unique Inputs Sorted by '[Physical Mass per kg API']],"&lt;&gt;#N/A"),"0%")&amp;")"</f>
        <v>(0%)</v>
      </c>
      <c r="CP35" s="22">
        <f ca="1">INDEX(Table_Process_Details[Total '[Physical Mass per kg API'] of Unique Inputs (REAGENT)],MATCH(Table_Process_Details[[#This Row],[Unique Inputs Sorted by '[Physical Mass per kg API']]],Table_Process_Details[Unique Process Inputs],0))</f>
        <v>3.4950512778431775E-4</v>
      </c>
      <c r="CQ35" s="22">
        <f ca="1">INDEX(Table_Process_Details[Total '[Physical Mass per kg API'] of Unique Inputs (METAL)],MATCH(Table_Process_Details[[#This Row],[Unique Inputs Sorted by '[Physical Mass per kg API']]],Table_Process_Details[Unique Process Inputs],0))</f>
        <v>0</v>
      </c>
      <c r="CR35" s="22">
        <f ca="1">INDEX(Table_Process_Details[Total '[Physical Mass per kg API'] of Unique Inputs (SOLVENT)],MATCH(Table_Process_Details[[#This Row],[Unique Inputs Sorted by '[Physical Mass per kg API']]],Table_Process_Details[Unique Process Inputs],0))</f>
        <v>0</v>
      </c>
      <c r="CS35" s="22">
        <f ca="1">INDEX(Table_Process_Details[Total '[Physical Mass per kg API'] of Unique Inputs (WATER)],MATCH(Table_Process_Details[[#This Row],[Unique Inputs Sorted by '[Physical Mass per kg API']]],Table_Process_Details[Unique Process Inputs],0))</f>
        <v>0</v>
      </c>
      <c r="CT35" s="22">
        <f ca="1">INDEX(Table_Process_Details[Total '[Physical Mass per kg API'] of Unique Inputs (ENZ&amp;PLNT)],MATCH(Table_Process_Details[[#This Row],[Unique Inputs Sorted by '[Physical Mass per kg API']]],Table_Process_Details[Unique Process Inputs],0))</f>
        <v>0</v>
      </c>
      <c r="CU35" s="22">
        <f ca="1">INDEX(Table_Process_Details[Total '[Physical Mass per kg API'] of Unique Inputs (OTHER)],MATCH(Table_Process_Details[[#This Row],[Unique Inputs Sorted by '[Physical Mass per kg API']]],Table_Process_Details[Unique Process Inputs],0))</f>
        <v>0</v>
      </c>
      <c r="CV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0.76588832709085819</v>
      </c>
      <c r="CW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0.76248038677426744</v>
      </c>
      <c r="CX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3.4079403165906907E-3</v>
      </c>
      <c r="DA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5" s="22">
        <f ca="1">SUMIFS(Table_Process_Details[RV Mass Net (kg) per kg API],Table_Process_Details[Display Name],Table_Process_Details[[#This Row],[Unique Process Inputs]],Table_Process_Details[Input or Output],"Input")</f>
        <v>0.25623441786289586</v>
      </c>
      <c r="DD35" s="22">
        <f ca="1">SUMIFS(Table_Process_Details[RV Mass Net (kg) per kg API (REAGENT)],Table_Process_Details[Display Name],Table_Process_Details[[#This Row],[Unique Process Inputs]],Table_Process_Details[Input or Output],"Input")</f>
        <v>0.25545647521675752</v>
      </c>
      <c r="DE35" s="22">
        <f ca="1">SUMIFS(Table_Process_Details[RV Mass Net (kg) per kg API (METAL)],Table_Process_Details[Display Name],Table_Process_Details[[#This Row],[Unique Process Inputs]],Table_Process_Details[Input or Output],"Input")</f>
        <v>0</v>
      </c>
      <c r="DF35" s="22">
        <f ca="1">SUMIFS(Table_Process_Details[RV Mass Net (kg) per kg API (SOLVENT)],Table_Process_Details[Display Name],Table_Process_Details[[#This Row],[Unique Process Inputs]],Table_Process_Details[Input or Output],"Input")</f>
        <v>0</v>
      </c>
      <c r="DG35" s="22">
        <f ca="1">SUMIFS(Table_Process_Details[RV Mass Net (kg) per kg API (WATER)],Table_Process_Details[Display Name],Table_Process_Details[[#This Row],[Unique Process Inputs]],Table_Process_Details[Input or Output],"Input")</f>
        <v>7.779426461383363E-4</v>
      </c>
      <c r="DH35" s="22">
        <f ca="1">SUMIFS(Table_Process_Details[RV Mass Net (kg) per kg API (ENZ&amp;PLNT)],Table_Process_Details[Display Name],Table_Process_Details[[#This Row],[Unique Process Inputs]],Table_Process_Details[Input or Output],"Input")</f>
        <v>0</v>
      </c>
      <c r="DI35" s="22">
        <f ca="1">SUMIFS(Table_Process_Details[RV Mass Net (kg) per kg API (OTHER)],Table_Process_Details[Display Name],Table_Process_Details[[#This Row],[Unique Process Inputs]],Table_Process_Details[Input or Output],"Input")</f>
        <v>0</v>
      </c>
      <c r="DJ35" s="22" t="str">
        <f ca="1">INDEX(Table_Process_Details[Unique Process Inputs],MATCH(Table_Process_Details[[#This Row],['[Mass Net (kg) per kg API'] of Unique Inputs Sorted by '[Mass Net (kg) per kg API']]],Table_Process_Details[Total '[Mass Net (kg) per kg API'] of Unique Inputs],0))</f>
        <v>reagent R (organic)</v>
      </c>
      <c r="DK35" s="22">
        <f ca="1">IF(LARGE(Table_Process_Details[Total '[Mass Net (kg) per kg API'] of Unique Inputs],Table_Process_Details[[#This Row],[Table Row]])=0,NA(),LARGE(Table_Process_Details[Total '[Mass Net (kg) per kg API'] of Unique Inputs],Table_Process_Details[[#This Row],[Table Row]]))</f>
        <v>7.2910992286567692E-4</v>
      </c>
      <c r="DL35" s="22">
        <f ca="1">SUM(OFFSET(Table_Process_Details['[Mass Net (kg) per kg API'] of Unique Inputs Sorted by '[Mass Net (kg) per kg API']],0,0,Table_Process_Details[[#This Row],[Table Row]]))</f>
        <v>127.08899248952405</v>
      </c>
      <c r="DM35" s="22" t="str">
        <f ca="1">"("&amp;TEXT(Table_Process_Details[[#This Row],['[Mass Net (kg) per kg API'] of Unique Inputs Sorted by '[Mass Net (kg) per kg API']]]/SUMIF(Table_Process_Details['[Mass Net (kg) per kg API'] of Unique Inputs Sorted by '[Mass Net (kg) per kg API']],"&lt;&gt;#N/A"),"0%")&amp;")"</f>
        <v>(0%)</v>
      </c>
      <c r="DN35" s="22">
        <f ca="1">INDEX(Table_Process_Details[Total '[Mass Net (kg) per kg API'] of Unique Inputs (REAGENT)], MATCH(Table_Process_Details[[#This Row],[Unique Inputs Sorted by '[Mass Net (kg) per kg API']]],Table_Process_Details[Unique Process Inputs],0))</f>
        <v>7.2910992286567692E-4</v>
      </c>
      <c r="DO35" s="22">
        <f ca="1">INDEX(Table_Process_Details[Total '[Mass Net (kg) per kg API'] of Unique Inputs (METAL)], MATCH(Table_Process_Details[[#This Row],[Unique Inputs Sorted by '[Mass Net (kg) per kg API']]],Table_Process_Details[Unique Process Inputs],0))</f>
        <v>0</v>
      </c>
      <c r="DP35" s="22">
        <f ca="1">INDEX(Table_Process_Details[Total '[Mass Net (kg) per kg API'] of Unique Inputs (SOLVENT)], MATCH(Table_Process_Details[[#This Row],[Unique Inputs Sorted by '[Mass Net (kg) per kg API']]],Table_Process_Details[Unique Process Inputs],0))</f>
        <v>0</v>
      </c>
      <c r="DQ35" s="22">
        <f ca="1">INDEX(Table_Process_Details[Total '[Mass Net (kg) per kg API'] of Unique Inputs (WATER)], MATCH(Table_Process_Details[[#This Row],[Unique Inputs Sorted by '[Mass Net (kg) per kg API']]],Table_Process_Details[Unique Process Inputs],0))</f>
        <v>0</v>
      </c>
      <c r="DR35" s="22">
        <f ca="1">INDEX(Table_Process_Details[Total '[Mass Net (kg) per kg API'] of Unique Inputs (ENZ&amp;PLNT)], MATCH(Table_Process_Details[[#This Row],[Unique Inputs Sorted by '[Mass Net (kg) per kg API']]],Table_Process_Details[Unique Process Inputs],0))</f>
        <v>0</v>
      </c>
      <c r="DS35" s="22">
        <f ca="1">INDEX(Table_Process_Details[Total '[Mass Net (kg) per kg API'] of Unique Inputs (OTHER)], MATCH(Table_Process_Details[[#This Row],[Unique Inputs Sorted by '[Mass Net (kg) per kg API']]],Table_Process_Details[Unique Process Inputs],0))</f>
        <v>0</v>
      </c>
      <c r="DT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6.0910748103760302</v>
      </c>
      <c r="DU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6.0486317249331814</v>
      </c>
      <c r="DV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4.2443085442848486E-2</v>
      </c>
      <c r="DY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5" s="1">
        <f ca="1">SUMIFS(Table_Process_Details[RV Energy (MJ) per kg API],Table_Process_Details[Display Name],Table_Process_Details[[#This Row],[Unique Process Inputs]],Table_Process_Details[Input or Output],"Input")</f>
        <v>2.0361829112141767</v>
      </c>
      <c r="EB35" s="1">
        <f ca="1">SUMIFS(Table_Process_Details[RV Energy (MJ) per kg API (REAGENT)],Table_Process_Details[Display Name],Table_Process_Details[[#This Row],[Unique Process Inputs]],Table_Process_Details[Input or Output],"Input")</f>
        <v>2.0264942772792032</v>
      </c>
      <c r="EC35" s="1">
        <f ca="1">SUMIFS(Table_Process_Details[RV Energy (MJ) per kg API (METAL)],Table_Process_Details[Display Name],Table_Process_Details[[#This Row],[Unique Process Inputs]],Table_Process_Details[Input or Output],"Input")</f>
        <v>0</v>
      </c>
      <c r="ED35" s="1">
        <f ca="1">SUMIFS(Table_Process_Details[RV Energy (MJ) per kg API (SOLVENT)],Table_Process_Details[Display Name],Table_Process_Details[[#This Row],[Unique Process Inputs]],Table_Process_Details[Input or Output],"Input")</f>
        <v>0</v>
      </c>
      <c r="EE35" s="1">
        <f ca="1">SUMIFS(Table_Process_Details[RV Energy (MJ) per kg API (WATER)],Table_Process_Details[Display Name],Table_Process_Details[[#This Row],[Unique Process Inputs]],Table_Process_Details[Input or Output],"Input")</f>
        <v>9.6886339349735451E-3</v>
      </c>
      <c r="EF35" s="1">
        <f ca="1">SUMIFS(Table_Process_Details[RV Energy (MJ) per kg API (ENZ&amp;PLNT)],Table_Process_Details[Display Name],Table_Process_Details[[#This Row],[Unique Process Inputs]],Table_Process_Details[Input or Output],"Input")</f>
        <v>0</v>
      </c>
      <c r="EG35" s="1">
        <f ca="1">SUMIFS(Table_Process_Details[RV Energy (MJ) per kg API (OTHER)],Table_Process_Details[Display Name],Table_Process_Details[[#This Row],[Unique Process Inputs]],Table_Process_Details[Input or Output],"Input")</f>
        <v>0</v>
      </c>
      <c r="EH35" s="1" t="str">
        <f ca="1">INDEX(Table_Process_Details[Unique Process Inputs],MATCH(Table_Process_Details[[#This Row],['[Energy (MJ) per kg API'] of Unique Inputs Sorted by '[Energy (MJ) per kg API']]],Table_Process_Details[Total '[Energy (MJ) per kg API'] of Unique Inputs],0))</f>
        <v>reagent R (organic)</v>
      </c>
      <c r="EI35" s="22">
        <f ca="1">IF(LARGE(Table_Process_Details[Total '[Energy (MJ) per kg API'] of Unique Inputs],Table_Process_Details[[#This Row],[Table Row]])=0,NA(),LARGE(Table_Process_Details[Total '[Energy (MJ) per kg API'] of Unique Inputs],Table_Process_Details[[#This Row],[Table Row]]))</f>
        <v>2.6166501273518144E-2</v>
      </c>
      <c r="EJ35" s="22">
        <f ca="1">SUM(OFFSET(Table_Process_Details['[Energy (MJ) per kg API'] of Unique Inputs Sorted by '[Energy (MJ) per kg API']],0,0,Table_Process_Details[[#This Row],[Table Row]]))</f>
        <v>5064.7678314908226</v>
      </c>
      <c r="EK35" s="22" t="str">
        <f ca="1">"("&amp;TEXT(Table_Process_Details[[#This Row],['[Energy (MJ) per kg API'] of Unique Inputs Sorted by '[Energy (MJ) per kg API']]]/SUMIF(Table_Process_Details['[Energy (MJ) per kg API'] of Unique Inputs Sorted by '[Energy (MJ) per kg API']],"&lt;&gt;#N/A"),"0%")&amp;")"</f>
        <v>(0%)</v>
      </c>
      <c r="EL35" s="22">
        <f ca="1">INDEX(Table_Process_Details[Total '[Energy (MJ) per kg API'] of Unique Inputs (REAGENT)], MATCH(Table_Process_Details[[#This Row],[Unique Inputs Sorted by '[Energy (MJ) per kg API']]],Table_Process_Details[Unique Process Inputs],0))</f>
        <v>2.6166501273518144E-2</v>
      </c>
      <c r="EM35" s="22">
        <f ca="1">INDEX(Table_Process_Details[Total '[Energy (MJ) per kg API'] of Unique Inputs (METAL)], MATCH(Table_Process_Details[[#This Row],[Unique Inputs Sorted by '[Energy (MJ) per kg API']]],Table_Process_Details[Unique Process Inputs],0))</f>
        <v>0</v>
      </c>
      <c r="EN35" s="22">
        <f ca="1">INDEX(Table_Process_Details[Total '[Energy (MJ) per kg API'] of Unique Inputs (SOLVENT)], MATCH(Table_Process_Details[[#This Row],[Unique Inputs Sorted by '[Energy (MJ) per kg API']]],Table_Process_Details[Unique Process Inputs],0))</f>
        <v>0</v>
      </c>
      <c r="EO35" s="22">
        <f ca="1">INDEX(Table_Process_Details[Total '[Energy (MJ) per kg API'] of Unique Inputs (WATER)], MATCH(Table_Process_Details[[#This Row],[Unique Inputs Sorted by '[Energy (MJ) per kg API']]],Table_Process_Details[Unique Process Inputs],0))</f>
        <v>0</v>
      </c>
      <c r="EP35" s="22">
        <f ca="1">INDEX(Table_Process_Details[Total '[Energy (MJ) per kg API'] of Unique Inputs (ENZ&amp;PLNT)], MATCH(Table_Process_Details[[#This Row],[Unique Inputs Sorted by '[Energy (MJ) per kg API']]],Table_Process_Details[Unique Process Inputs],0))</f>
        <v>0</v>
      </c>
      <c r="EQ35" s="22">
        <f ca="1">INDEX(Table_Process_Details[Total '[Energy (MJ) per kg API'] of Unique Inputs (OTHER)], MATCH(Table_Process_Details[[#This Row],[Unique Inputs Sorted by '[Energy (MJ) per kg API']]],Table_Process_Details[Unique Process Inputs],0))</f>
        <v>0</v>
      </c>
      <c r="ER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0.7905757611388885</v>
      </c>
      <c r="ES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0.78831367749035086</v>
      </c>
      <c r="ET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2.2620836485375845E-3</v>
      </c>
      <c r="EW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5" s="22">
        <f ca="1">SUMIFS(Table_Process_Details[RV GWP (kg CO2 equiv.) per kg API],Table_Process_Details[Display Name],Table_Process_Details[[#This Row],[Unique Process Inputs]],Table_Process_Details[Input or Output],"Input")</f>
        <v>0.26462786698116531</v>
      </c>
      <c r="EZ35" s="1">
        <f ca="1">SUMIFS(Table_Process_Details[RV GWP (kg CO2 equiv.) per kg API (REAGENT)],Table_Process_Details[Display Name],Table_Process_Details[[#This Row],[Unique Process Inputs]],Table_Process_Details[Input or Output],"Input")</f>
        <v>0.26411149310842974</v>
      </c>
      <c r="FA35" s="1">
        <f ca="1">SUMIFS(Table_Process_Details[RV GWP (kg CO2 equiv.) per kg API (METAL)],Table_Process_Details[Display Name],Table_Process_Details[[#This Row],[Unique Process Inputs]],Table_Process_Details[Input or Output],"Input")</f>
        <v>0</v>
      </c>
      <c r="FB35" s="1">
        <f ca="1">SUMIFS(Table_Process_Details[RV GWP (kg CO2 equiv.) per kg API (SOLVENT)],Table_Process_Details[Display Name],Table_Process_Details[[#This Row],[Unique Process Inputs]],Table_Process_Details[Input or Output],"Input")</f>
        <v>0</v>
      </c>
      <c r="FC35" s="1">
        <f ca="1">SUMIFS(Table_Process_Details[RV GWP (kg CO2 equiv.) per kg API (WATER)],Table_Process_Details[Display Name],Table_Process_Details[[#This Row],[Unique Process Inputs]],Table_Process_Details[Input or Output],"Input")</f>
        <v>5.1637387273556165E-4</v>
      </c>
      <c r="FD35" s="1">
        <f ca="1">SUMIFS(Table_Process_Details[RV GWP (kg CO2 equiv.) per kg API (ENZ&amp;PLNT)],Table_Process_Details[Display Name],Table_Process_Details[[#This Row],[Unique Process Inputs]],Table_Process_Details[Input or Output],"Input")</f>
        <v>0</v>
      </c>
      <c r="FE35" s="1">
        <f ca="1">SUMIFS(Table_Process_Details[RV GWP (kg CO2 equiv.) per kg API (OTHER)],Table_Process_Details[Display Name],Table_Process_Details[[#This Row],[Unique Process Inputs]],Table_Process_Details[Input or Output],"Input")</f>
        <v>0</v>
      </c>
      <c r="FF35" s="22" t="str">
        <f ca="1">INDEX(Table_Process_Details[Unique Process Inputs],MATCH(Table_Process_Details[[#This Row],['[GWP (kg CO2 equiv.) per kg API'] of Unique Inputs Sorted by '[GWP (kg CO2 equiv.) per kg API']]],Table_Process_Details[Total '[GWP (kg CO2 equiv.) per kg API'] of Unique Inputs],0))</f>
        <v>reagent R (organic)</v>
      </c>
      <c r="FG35" s="22">
        <f ca="1">IF(LARGE(Table_Process_Details[Total '[GWP (kg CO2 equiv.) per kg API'] of Unique Inputs],Table_Process_Details[[#This Row],[Table Row]])=0,NA(),LARGE(Table_Process_Details[Total '[GWP (kg CO2 equiv.) per kg API'] of Unique Inputs],Table_Process_Details[[#This Row],[Table Row]]))</f>
        <v>9.172425001297516E-4</v>
      </c>
      <c r="FH35" s="22">
        <f ca="1">SUM(OFFSET(Table_Process_Details['[GWP (kg CO2 equiv.) per kg API'] of Unique Inputs Sorted by '[GWP (kg CO2 equiv.) per kg API']],0,0,Table_Process_Details[[#This Row],[Table Row]]))</f>
        <v>156.49949099558074</v>
      </c>
      <c r="FI35" s="22" t="str">
        <f ca="1">"("&amp;TEXT(Table_Process_Details[[#This Row],['[GWP (kg CO2 equiv.) per kg API'] of Unique Inputs Sorted by '[GWP (kg CO2 equiv.) per kg API']]]/SUMIF(Table_Process_Details['[GWP (kg CO2 equiv.) per kg API'] of Unique Inputs Sorted by '[GWP (kg CO2 equiv.) per kg API']],"&lt;&gt;#N/A"),"0%")&amp;")"</f>
        <v>(0%)</v>
      </c>
      <c r="FJ35" s="22">
        <f ca="1">INDEX(Table_Process_Details[Total '[GWP (kg CO2 equiv.) per kg API'] of Unique Inputs (REAGENT)], MATCH(Table_Process_Details[[#This Row],[Unique Inputs Sorted by '[GWP (kg CO2 equiv.) per kg API']]],Table_Process_Details[Unique Process Inputs],0))</f>
        <v>9.172425001297516E-4</v>
      </c>
      <c r="FK35" s="22">
        <f ca="1">INDEX(Table_Process_Details[Total '[GWP (kg CO2 equiv.) per kg API'] of Unique Inputs (METAL)], MATCH(Table_Process_Details[[#This Row],[Unique Inputs Sorted by '[GWP (kg CO2 equiv.) per kg API']]],Table_Process_Details[Unique Process Inputs],0))</f>
        <v>0</v>
      </c>
      <c r="FL35" s="22">
        <f ca="1">INDEX(Table_Process_Details[Total '[GWP (kg CO2 equiv.) per kg API'] of Unique Inputs (SOLVENT)], MATCH(Table_Process_Details[[#This Row],[Unique Inputs Sorted by '[GWP (kg CO2 equiv.) per kg API']]],Table_Process_Details[Unique Process Inputs],0))</f>
        <v>0</v>
      </c>
      <c r="FM35" s="22">
        <f ca="1">INDEX(Table_Process_Details[Total '[GWP (kg CO2 equiv.) per kg API'] of Unique Inputs (WATER)], MATCH(Table_Process_Details[[#This Row],[Unique Inputs Sorted by '[GWP (kg CO2 equiv.) per kg API']]],Table_Process_Details[Unique Process Inputs],0))</f>
        <v>0</v>
      </c>
      <c r="FN35" s="22">
        <f ca="1">INDEX(Table_Process_Details[Total '[GWP (kg CO2 equiv.) per kg API'] of Unique Inputs (ENZ&amp;PLNT)], MATCH(Table_Process_Details[[#This Row],[Unique Inputs Sorted by '[GWP (kg CO2 equiv.) per kg API']]],Table_Process_Details[Unique Process Inputs],0))</f>
        <v>0</v>
      </c>
      <c r="FO35" s="22">
        <f ca="1">INDEX(Table_Process_Details[Total '[GWP (kg CO2 equiv.) per kg API'] of Unique Inputs (OTHER)], MATCH(Table_Process_Details[[#This Row],[Unique Inputs Sorted by '[GWP (kg CO2 equiv.) per kg API']]],Table_Process_Details[Unique Process Inputs],0))</f>
        <v>0</v>
      </c>
      <c r="FP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7.9179778009241808E-3</v>
      </c>
      <c r="FQ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7.9093114747479983E-3</v>
      </c>
      <c r="FR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8.6663261761814061E-6</v>
      </c>
      <c r="FU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5" s="22">
        <f ca="1">SUMIFS(Table_Process_Details[RV Acidification (kg SO2 equiv.) per kg API],Table_Process_Details[Display Name],Table_Process_Details[[#This Row],[Unique Process Inputs]],Table_Process_Details[Input or Output],"Input")</f>
        <v>2.6518626255442458E-3</v>
      </c>
      <c r="FX35" s="1">
        <f ca="1">SUMIFS(Table_Process_Details[RV Acidification (kg SO2 equiv.) per kg API (REAGENT)],Table_Process_Details[Display Name],Table_Process_Details[[#This Row],[Unique Process Inputs]],Table_Process_Details[Input or Output],"Input")</f>
        <v>2.6498843324723352E-3</v>
      </c>
      <c r="FY35" s="1">
        <f ca="1">SUMIFS(Table_Process_Details[RV Acidification (kg SO2 equiv.) per kg API (METAL)],Table_Process_Details[Display Name],Table_Process_Details[[#This Row],[Unique Process Inputs]],Table_Process_Details[Input or Output],"Input")</f>
        <v>0</v>
      </c>
      <c r="FZ35" s="1">
        <f ca="1">SUMIFS(Table_Process_Details[RV Acidification (kg SO2 equiv.) per kg API (SOLVENT)],Table_Process_Details[Display Name],Table_Process_Details[[#This Row],[Unique Process Inputs]],Table_Process_Details[Input or Output],"Input")</f>
        <v>0</v>
      </c>
      <c r="GA35" s="1">
        <f ca="1">SUMIFS(Table_Process_Details[RV Acidification (kg SO2 equiv.) per kg API (WATER)],Table_Process_Details[Display Name],Table_Process_Details[[#This Row],[Unique Process Inputs]],Table_Process_Details[Input or Output],"Input")</f>
        <v>1.9782930719106919E-6</v>
      </c>
      <c r="GB35" s="1">
        <f ca="1">SUMIFS(Table_Process_Details[RV Acidification (kg SO2 equiv.) per kg API (ENZ&amp;PLNT)],Table_Process_Details[Display Name],Table_Process_Details[[#This Row],[Unique Process Inputs]],Table_Process_Details[Input or Output],"Input")</f>
        <v>0</v>
      </c>
      <c r="GC35" s="1">
        <f ca="1">SUMIFS(Table_Process_Details[RV Acidification (kg SO2 equiv.) per kg API (OTHER)],Table_Process_Details[Display Name],Table_Process_Details[[#This Row],[Unique Process Inputs]],Table_Process_Details[Input or Output],"Input")</f>
        <v>0</v>
      </c>
      <c r="GD35" s="22" t="str">
        <f ca="1">INDEX(Table_Process_Details[Unique Process Inputs],MATCH(Table_Process_Details[[#This Row],['[Acidification (kg SO2 equiv.) per kg API'] of Unique Inputs Sorted by '[Acidification (kg SO2 equiv.) per kg API']]],Table_Process_Details[Total '[Acidification (kg SO2 equiv.) per kg API'] of Unique Inputs],0))</f>
        <v>reagent R (organic)</v>
      </c>
      <c r="GE35" s="22">
        <f ca="1">IF(LARGE(Table_Process_Details[Total '[Acidification (kg SO2 equiv.) per kg API'] of Unique Inputs],Table_Process_Details[[#This Row],[Table Row]])=0,NA(),LARGE(Table_Process_Details[Total '[Acidification (kg SO2 equiv.) per kg API'] of Unique Inputs],Table_Process_Details[[#This Row],[Table Row]]))</f>
        <v>3.922535803076812E-6</v>
      </c>
      <c r="GF35" s="22">
        <f ca="1">SUM(OFFSET(Table_Process_Details['[Acidification (kg SO2 equiv.) per kg API'] of Unique Inputs Sorted by '[Acidification (kg SO2 equiv.) per kg API']],0,0,Table_Process_Details[[#This Row],[Table Row]]))</f>
        <v>0.65530288249062396</v>
      </c>
      <c r="GG35" s="22" t="str">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(0%)</v>
      </c>
      <c r="GH35" s="22">
        <f ca="1">INDEX(Table_Process_Details[Total '[Acidification (kg SO2 equiv.) per kg API'] of Unique Inputs (REAGENT)], MATCH(Table_Process_Details[[#This Row],[Unique Inputs Sorted by '[Acidification (kg SO2 equiv.) per kg API']]],Table_Process_Details[Unique Process Inputs],0))</f>
        <v>3.922535803076812E-6</v>
      </c>
      <c r="GI35" s="22">
        <f ca="1">INDEX(Table_Process_Details[Total '[Acidification (kg SO2 equiv.) per kg API'] of Unique Inputs (METAL)], MATCH(Table_Process_Details[[#This Row],[Unique Inputs Sorted by '[Acidification (kg SO2 equiv.) per kg API']]],Table_Process_Details[Unique Process Inputs],0))</f>
        <v>0</v>
      </c>
      <c r="GJ35" s="22">
        <f ca="1">INDEX(Table_Process_Details[Total '[Acidification (kg SO2 equiv.) per kg API'] of Unique Inputs (SOLVENT)], MATCH(Table_Process_Details[[#This Row],[Unique Inputs Sorted by '[Acidification (kg SO2 equiv.) per kg API']]],Table_Process_Details[Unique Process Inputs],0))</f>
        <v>0</v>
      </c>
      <c r="GK35" s="22">
        <f ca="1">INDEX(Table_Process_Details[Total '[Acidification (kg SO2 equiv.) per kg API'] of Unique Inputs (WATER)], MATCH(Table_Process_Details[[#This Row],[Unique Inputs Sorted by '[Acidification (kg SO2 equiv.) per kg API']]],Table_Process_Details[Unique Process Inputs],0))</f>
        <v>0</v>
      </c>
      <c r="GL35" s="22">
        <f ca="1">INDEX(Table_Process_Details[Total '[Acidification (kg SO2 equiv.) per kg API'] of Unique Inputs (ENZ&amp;PLNT)], MATCH(Table_Process_Details[[#This Row],[Unique Inputs Sorted by '[Acidification (kg SO2 equiv.) per kg API']]],Table_Process_Details[Unique Process Inputs],0))</f>
        <v>0</v>
      </c>
      <c r="GM35" s="22">
        <f ca="1">INDEX(Table_Process_Details[Total '[Acidification (kg SO2 equiv.) per kg API'] of Unique Inputs (OTHER)], MATCH(Table_Process_Details[[#This Row],[Unique Inputs Sorted by '[Acidification (kg SO2 equiv.) per kg API']]],Table_Process_Details[Unique Process Inputs],0))</f>
        <v>0</v>
      </c>
      <c r="GN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4.0347327288918077E-4</v>
      </c>
      <c r="GO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3.9831064980745315E-4</v>
      </c>
      <c r="GP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5.1626230817276264E-6</v>
      </c>
      <c r="GS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5" s="22">
        <f ca="1">SUMIFS(Table_Process_Details[RV Eutrophication (kg phosphate equiv.) per kg API],Table_Process_Details[Display Name],Table_Process_Details[[#This Row],[Unique Process Inputs]],Table_Process_Details[Input or Output],"Input")</f>
        <v>1.3462590274284216E-4</v>
      </c>
      <c r="GV35" s="1">
        <f ca="1">SUMIFS(Table_Process_Details[RV Eutrophication (kg phosphate equiv.) per kg API (REAGENT)],Table_Process_Details[Display Name],Table_Process_Details[[#This Row],[Unique Process Inputs]],Table_Process_Details[Input or Output],"Input")</f>
        <v>1.3344741242666438E-4</v>
      </c>
      <c r="GW35" s="1">
        <f ca="1">SUMIFS(Table_Process_Details[RV Eutrophication (kg phosphate equiv.) per kg API (METAL)],Table_Process_Details[Display Name],Table_Process_Details[[#This Row],[Unique Process Inputs]],Table_Process_Details[Input or Output],"Input")</f>
        <v>0</v>
      </c>
      <c r="GX35" s="1">
        <f ca="1">SUMIFS(Table_Process_Details[RV Eutrophication (kg phosphate equiv.) per kg API (SOLVENT)],Table_Process_Details[Display Name],Table_Process_Details[[#This Row],[Unique Process Inputs]],Table_Process_Details[Input or Output],"Input")</f>
        <v>0</v>
      </c>
      <c r="GY35" s="1">
        <f ca="1">SUMIFS(Table_Process_Details[RV Eutrophication (kg phosphate equiv.) per kg API (WATER)],Table_Process_Details[Display Name],Table_Process_Details[[#This Row],[Unique Process Inputs]],Table_Process_Details[Input or Output],"Input")</f>
        <v>1.1784903161778022E-6</v>
      </c>
      <c r="GZ35" s="1">
        <f ca="1">SUMIFS(Table_Process_Details[RV Eutrophication (kg phosphate equiv.) per kg API (ENZ&amp;PLNT)],Table_Process_Details[Display Name],Table_Process_Details[[#This Row],[Unique Process Inputs]],Table_Process_Details[Input or Output],"Input")</f>
        <v>0</v>
      </c>
      <c r="HA35" s="1">
        <f ca="1">SUMIFS(Table_Process_Details[RV Eutrophication (kg phosphate equiv.) per kg API (OTHER)],Table_Process_Details[Display Name],Table_Process_Details[[#This Row],[Unique Process Inputs]],Table_Process_Details[Input or Output],"Input")</f>
        <v>0</v>
      </c>
      <c r="HB35" s="22" t="str">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0.2 M reagent H (inorganic) in water</v>
      </c>
      <c r="HC35" s="22">
        <f ca="1">IF(LARGE(Table_Process_Details[Total '[Eutrophication (kg posphate equiv.) per kg API'] of Unique Inputs],Table_Process_Details[[#This Row],[Table Row]])=0,NA(),LARGE(Table_Process_Details[Total '[Eutrophication (kg posphate equiv.) per kg API'] of Unique Inputs],Table_Process_Details[[#This Row],[Table Row]]))</f>
        <v>2.5957976941705282E-6</v>
      </c>
      <c r="HD35" s="22">
        <f ca="1">SUM(OFFSET(Table_Process_Details['[Eutrophication (kg posphate equiv.) per kg API'] of Unique Inputs Sorted by '[Eutrophication (kg posphate equiv.) per kg API']],0,0,Table_Process_Details[[#This Row],[Table Row]]))</f>
        <v>1.3757189865780779</v>
      </c>
      <c r="HE35" s="22" t="str">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(0%)</v>
      </c>
      <c r="HF35" s="1">
        <f ca="1">INDEX(Table_Process_Details[Total '[Eutrophication (kg posphate equiv.) per kg API'] of Unique Inputs (REAGENT)], MATCH(Table_Process_Details[[#This Row],[Unique Inputs Sorted by '[Eutrophication (kg posphate equiv.) per kg API']]],Table_Process_Details[Unique Process Inputs],0))</f>
        <v>9.7861435779553877E-7</v>
      </c>
      <c r="HG35" s="1">
        <f ca="1">INDEX(Table_Process_Details[Total '[Eutrophication (kg posphate equiv.) per kg API'] of Unique Inputs (METAL)], MATCH(Table_Process_Details[[#This Row],[Unique Inputs Sorted by '[Eutrophication (kg posphate equiv.) per kg API']]],Table_Process_Details[Unique Process Inputs],0))</f>
        <v>0</v>
      </c>
      <c r="HH35" s="1">
        <f ca="1">INDEX(Table_Process_Details[Total '[Eutrophication (kg posphate equiv.) per kg API'] of Unique Inputs (SOLVENT)], MATCH(Table_Process_Details[[#This Row],[Unique Inputs Sorted by '[Eutrophication (kg posphate equiv.) per kg API']]],Table_Process_Details[Unique Process Inputs],0))</f>
        <v>0</v>
      </c>
      <c r="HI35" s="1">
        <f ca="1">INDEX(Table_Process_Details[Total '[Eutrophication (kg posphate equiv.) per kg API'] of Unique Inputs (WATER)], MATCH(Table_Process_Details[[#This Row],[Unique Inputs Sorted by '[Eutrophication (kg posphate equiv.) per kg API']]],Table_Process_Details[Unique Process Inputs],0))</f>
        <v>1.6171833363749892E-6</v>
      </c>
      <c r="HJ35" s="1">
        <f ca="1">INDEX(Table_Process_Details[Total '[Eutrophication (kg posphate equiv.) per kg API'] of Unique Inputs (ENZ&amp;PLNT)], MATCH(Table_Process_Details[[#This Row],[Unique Inputs Sorted by '[Eutrophication (kg posphate equiv.) per kg API']]],Table_Process_Details[Unique Process Inputs],0))</f>
        <v>0</v>
      </c>
      <c r="HK35" s="1">
        <f ca="1">INDEX(Table_Process_Details[Total '[Eutrophication (kg posphate equiv.) per kg API'] of Unique Inputs (OTHER)], MATCH(Table_Process_Details[[#This Row],[Unique Inputs Sorted by '[Eutrophication (kg posphate equiv.) per kg API']]],Table_Process_Details[Unique Process Inputs],0))</f>
        <v>0</v>
      </c>
      <c r="HL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3.2068314369275428</v>
      </c>
      <c r="HM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0.39332038638057976</v>
      </c>
      <c r="HN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2.8135110505469632</v>
      </c>
      <c r="HQ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5" s="1">
        <f ca="1">SUMIFS(Table_Process_Details[RV Water (kg) per kg API],Table_Process_Details[Display Name],Table_Process_Details[[#This Row],[Unique Process Inputs]],Table_Process_Details[Input or Output],"Input")</f>
        <v>0.77402567227023411</v>
      </c>
      <c r="HT35" s="1">
        <f ca="1">SUMIFS(Table_Process_Details[RV Water (kg) per kg API (REAGENT)],Table_Process_Details[Display Name],Table_Process_Details[[#This Row],[Unique Process Inputs]],Table_Process_Details[Input or Output],"Input")</f>
        <v>0.13177550698811888</v>
      </c>
      <c r="HU35" s="1">
        <f ca="1">SUMIFS(Table_Process_Details[RV Water (kg) per kg API (METAL)],Table_Process_Details[Display Name],Table_Process_Details[[#This Row],[Unique Process Inputs]],Table_Process_Details[Input or Output],"Input")</f>
        <v>0</v>
      </c>
      <c r="HV35" s="1">
        <f ca="1">SUMIFS(Table_Process_Details[RV Water (kg) per kg API (SOLVENT)],Table_Process_Details[Display Name],Table_Process_Details[[#This Row],[Unique Process Inputs]],Table_Process_Details[Input or Output],"Input")</f>
        <v>0</v>
      </c>
      <c r="HW35" s="1">
        <f ca="1">SUMIFS(Table_Process_Details[RV Water (kg) per kg API (WATER)],Table_Process_Details[Display Name],Table_Process_Details[[#This Row],[Unique Process Inputs]],Table_Process_Details[Input or Output],"Input")</f>
        <v>0.6422501652821152</v>
      </c>
      <c r="HX35" s="1">
        <f ca="1">SUMIFS(Table_Process_Details[RV Water (kg) per kg API (ENZ&amp;PLNT)],Table_Process_Details[Display Name],Table_Process_Details[[#This Row],[Unique Process Inputs]],Table_Process_Details[Input or Output],"Input")</f>
        <v>0</v>
      </c>
      <c r="HY35" s="1">
        <f ca="1">SUMIFS(Table_Process_Details[RV Water (kg) per kg API (OTHER)],Table_Process_Details[Display Name],Table_Process_Details[[#This Row],[Unique Process Inputs]],Table_Process_Details[Input or Output],"Input")</f>
        <v>0</v>
      </c>
      <c r="HZ35" s="22" t="str">
        <f ca="1">INDEX(Table_Process_Details[Unique Process Inputs],MATCH(Table_Process_Details[[#This Row],['[Water (kg) per kg API'] of Unique Inputs Sorted by '[Water (kg) per kg API']]],Table_Process_Details[Total '[Water (kg) per kg API'] of Unique Inputs],0))</f>
        <v>reagent R (organic)</v>
      </c>
      <c r="IA35" s="22">
        <f ca="1">IF(LARGE(Table_Process_Details[Total '[Water (kg) per kg API'] of Unique Inputs],Table_Process_Details[[#This Row],[Table Row]])=0,NA(),LARGE(Table_Process_Details[Total '[Water (kg) per kg API'] of Unique Inputs],Table_Process_Details[[#This Row],[Table Row]]))</f>
        <v>5.1360894142072483E-3</v>
      </c>
      <c r="IB35" s="1">
        <f ca="1">SUM(OFFSET(Table_Process_Details['[Water (kg) per kg API'] of Unique Inputs Sorted by '[Water (kg) per kg API']],0,0,Table_Process_Details[[#This Row],[Table Row]]))</f>
        <v>890.26141237163631</v>
      </c>
      <c r="IC35" s="1" t="str">
        <f ca="1">"("&amp;TEXT(Table_Process_Details[[#This Row],['[Water (kg) per kg API'] of Unique Inputs Sorted by '[Water (kg) per kg API']]]/SUMIF(Table_Process_Details['[Water (kg) per kg API'] of Unique Inputs Sorted by '[Water (kg) per kg API']],"&lt;&gt;#N/A"),"0%")&amp;")"</f>
        <v>(0%)</v>
      </c>
      <c r="ID35" s="1">
        <f ca="1">INDEX(Table_Process_Details[Total '[Water (kg) per kg API'] of Unique Inputs (REAGENT)], MATCH(Table_Process_Details[[#This Row],[Unique Inputs Sorted by '[Water (kg) per kg API']]],Table_Process_Details[Unique Process Inputs],0))</f>
        <v>5.1360894142072483E-3</v>
      </c>
      <c r="IE35" s="1">
        <f ca="1">INDEX(Table_Process_Details[Total '[Water (kg) per kg API'] of Unique Inputs (METAL)], MATCH(Table_Process_Details[[#This Row],[Unique Inputs Sorted by '[Water (kg) per kg API']]],Table_Process_Details[Unique Process Inputs],0))</f>
        <v>0</v>
      </c>
      <c r="IF35" s="1">
        <f ca="1">INDEX(Table_Process_Details[Total '[Water (kg) per kg API'] of Unique Inputs (SOLVENT)], MATCH(Table_Process_Details[[#This Row],[Unique Inputs Sorted by '[Water (kg) per kg API']]],Table_Process_Details[Unique Process Inputs],0))</f>
        <v>0</v>
      </c>
      <c r="IG35" s="1">
        <f ca="1">INDEX(Table_Process_Details[Total '[Water (kg) per kg API'] of Unique Inputs (WATER)], MATCH(Table_Process_Details[[#This Row],[Unique Inputs Sorted by '[Water (kg) per kg API']]],Table_Process_Details[Unique Process Inputs],0))</f>
        <v>0</v>
      </c>
      <c r="IH35" s="1">
        <f ca="1">INDEX(Table_Process_Details[Total '[Water (kg) per kg API'] of Unique Inputs (ENZ&amp;PLNT)], MATCH(Table_Process_Details[[#This Row],[Unique Inputs Sorted by '[Water (kg) per kg API']]],Table_Process_Details[Unique Process Inputs],0))</f>
        <v>0</v>
      </c>
      <c r="II35" s="1">
        <f ca="1">INDEX(Table_Process_Details[Total '[Water (kg) per kg API'] of Unique Inputs (OTHER)], MATCH(Table_Process_Details[[#This Row],[Unique Inputs Sorted by '[Water (kg) per kg API']]],Table_Process_Details[Unique Process Inputs],0))</f>
        <v>0</v>
      </c>
    </row>
    <row r="36" spans="1:243" customFormat="1" x14ac:dyDescent="0.25">
      <c r="A36" s="22" t="str">
        <f t="shared" si="0"/>
        <v>1) Synthesis of Intermediate (1)</v>
      </c>
      <c r="B36" s="21" t="s">
        <v>4</v>
      </c>
      <c r="C36" s="21" t="s">
        <v>6</v>
      </c>
      <c r="D36" s="22" t="s">
        <v>122</v>
      </c>
      <c r="E36" s="22" t="s">
        <v>820</v>
      </c>
      <c r="F36" s="26">
        <v>40</v>
      </c>
      <c r="G36" s="26"/>
      <c r="H36" s="26"/>
      <c r="I36" s="26"/>
      <c r="J36" s="26" t="str">
        <f>INDEX(Process_Steps[Reference],MATCH(Table_Process_Details[[#This Row],[Step Name]],Process_Steps[Name],0))</f>
        <v>Reference Document  for Step 1</v>
      </c>
      <c r="K36" s="27" t="str">
        <f>INDEX(Process_Steps[Real or Virtual?],MATCH(Table_Process_Details[[#This Row],[Step Name]],Process_Steps[Name],0))</f>
        <v>Real</v>
      </c>
      <c r="L3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68-12-2</v>
      </c>
      <c r="M3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36" s="26">
        <f>INDEX(Table_Process_Details[Physical Mass (kg)],MATCH(1,INDEX(((Table_Process_Details[Step Name]=Table_Process_Details[[#This Row],[Step Name]])*(Table_Process_Details[Input or Output]="Output")),0),0))</f>
        <v>51.020408163265309</v>
      </c>
      <c r="O36" s="29">
        <f ca="1">INDEX(Process_Steps[Step Scale Factor for 1kg Packaged API],MATCH(Table_Process_Details[[#This Row],[Step Name]],Process_Steps[Name],0))</f>
        <v>6.9901025556863543E-3</v>
      </c>
      <c r="P3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6.666666666666667</v>
      </c>
      <c r="Q3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13.666666666666668</v>
      </c>
      <c r="R36" s="26">
        <f ca="1">_xlfn.SWITCH(Run_Reset_PNG,"Reset",Table_Process_Details[[#This Row],[X Init]],"Run",Table_Process_Details[[#This Row],[X Moved]],"Freeze",Table_Process_Details[[#This Row],[X Mover]])</f>
        <v>4.5915520595937629</v>
      </c>
      <c r="S36" s="26">
        <f ca="1">_xlfn.SWITCH(Run_Reset_PNG,"Reset",Table_Process_Details[[#This Row],[Y Init]],"Run",Table_Process_Details[[#This Row],[Y Moved]],"Freeze",Table_Process_Details[[#This Row],[Y Mover]])</f>
        <v>22.728136909564732</v>
      </c>
      <c r="T36" s="26" cm="1">
        <f t="array" aca="1" ref="T3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9.4615672796544512</v>
      </c>
      <c r="U36" s="26" cm="1">
        <f t="array" aca="1" ref="U3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4.9805082995615324</v>
      </c>
      <c r="V36" s="26" cm="1">
        <f t="array" aca="1" ref="V36" ca="1">SUM(--(SQRT((Table_Process_Details[[#This Row],[X Mover]]-Table_Process_Details[X Mover])^2+(Table_Process_Details[[#This Row],[Y Mover]]-Table_Process_Details[Y Mover])^2)&lt;Collision_Distance))</f>
        <v>21</v>
      </c>
      <c r="W36" s="26" cm="1">
        <f t="array" aca="1" ref="W3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-0.46793186362192796</v>
      </c>
      <c r="X36" s="26" cm="1">
        <f t="array" aca="1" ref="X3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-0.14430675956064387</v>
      </c>
      <c r="Y36" s="26" cm="1">
        <f t="array" aca="1" ref="Y3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6" s="26">
        <f>0</f>
        <v>0</v>
      </c>
      <c r="AA36" s="26">
        <f>0</f>
        <v>0</v>
      </c>
      <c r="AB3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-2.2957760297968814</v>
      </c>
      <c r="AC36" s="26" cm="1">
        <f t="array" aca="1" ref="AC3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-11.364068454782366</v>
      </c>
      <c r="AD36" s="26">
        <f>MIN(1,COUNTA(Table_Process_Details[[#This Row],[target x]]),COUNTA(Table_Process_Details[[#This Row],[target y]]))*COUNTA(Table_Process_Details[Step Name])</f>
        <v>98</v>
      </c>
      <c r="AE3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4.550744732794187</v>
      </c>
      <c r="AF3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22.705037329696317</v>
      </c>
      <c r="AG3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6" s="26" cm="1">
        <f t="array" aca="1" ref="AH36" ca="1">INDEX(Table_Process_Details[X Mover],MATCH(1,INDEX((Table_Process_Details[Input or Output]="Output")*(Table_Process_Details[Step Name]=Table_Process_Details[[#This Row],[Step Name]])*(Table_Process_Details[[#This Row],[Input or Output]]="Input"),0),0))</f>
        <v>0.78891624628593393</v>
      </c>
      <c r="AI36" s="26" cm="1">
        <f t="array" aca="1" ref="AI36" ca="1">INDEX(Table_Process_Details[Y Mover],MATCH(1,INDEX((Table_Process_Details[Input or Output]="Output")*(Table_Process_Details[Step Name]=Table_Process_Details[[#This Row],[Step Name]])*(Table_Process_Details[[#This Row],[Input or Output]]="Input"),0),0))</f>
        <v>21.555431875630404</v>
      </c>
      <c r="AJ36" s="26">
        <f ca="1">SQRT((Table_Process_Details[[#This Row],[X End (To Node Center)]]-Table_Process_Details[[#This Row],[X Guide]])^2+(Table_Process_Details[[#This Row],[Y End (to Node Center)]]-Table_Process_Details[[#This Row],[Y Guide]])^2)</f>
        <v>3.9793562576459784</v>
      </c>
      <c r="AK36" s="26" t="e" cm="1">
        <f t="array" ref="AK36">INDEX(Table_Process_Details[X Mover],MATCH(1,INDEX((Table_Process_Details[Step Name]=Table_Process_Details[[#This Row],[LCA Data Source Subclass]])*(Table_Process_Details[Input or Output]="Output"),0)*(Table_Process_Details[[#This Row],[Input or Output]]="Input"),0))</f>
        <v>#N/A</v>
      </c>
      <c r="AL36" s="26" cm="1">
        <f t="array" aca="1" ref="AL36" ca="1">INDEX(Table_Process_Details[X Mover],MATCH(1,INDEX(((Table_Process_Details[Table Row]=Table_Process_Details[[#This Row],[Table Row]])*(1)),0)*(Table_Process_Details[[#This Row],[Input or Output]]="Input"),0))</f>
        <v>4.5915520595937629</v>
      </c>
      <c r="AM36" s="26" cm="1">
        <f t="array" aca="1" ref="AM36" ca="1">(Table_Process_Details[[#This Row],[X End (To Node Center)]]*Table_Process_Details[[#This Row],[r0]]-Table_Process_Details[[#This Row],[X End (To Node Center)]]*Arrow_Offset+Table_Process_Details[[#This Row],[X Guide]]*Arrow_Offset)/Table_Process_Details[[#This Row],[r0]]</f>
        <v>1.5533888025696601</v>
      </c>
      <c r="AN36" s="26" t="e">
        <f>IF(NOT(Table_Process_Details[[#This Row],[Display As]]="None"),Table_Process_Details[[#This Row],[X Start Prefilter]],NA())</f>
        <v>#N/A</v>
      </c>
      <c r="AO36" s="26">
        <f ca="1">IF(NOT(Table_Process_Details[[#This Row],[Display As]]="None"),Table_Process_Details[[#This Row],[X Guide Prefilter]],NA())</f>
        <v>4.5915520595937629</v>
      </c>
      <c r="AP36" s="26">
        <f ca="1">IF(NOT(Table_Process_Details[[#This Row],[Display As]]="None"),Table_Process_Details[[#This Row],[X End (to Stop Radius) Prefilter]],NA())</f>
        <v>1.5533888025696601</v>
      </c>
      <c r="AQ36" s="26" t="e">
        <f>NA()</f>
        <v>#N/A</v>
      </c>
      <c r="AR36" s="26" t="e" cm="1">
        <f t="array" ref="AR36">INDEX(Table_Process_Details[Y Mover],MATCH(1,INDEX((Table_Process_Details[Step Name]=Table_Process_Details[[#This Row],[LCA Data Source Subclass]])*(Table_Process_Details[Input or Output]="Output"),0)*(Table_Process_Details[[#This Row],[Input or Output]]="Input"),0))</f>
        <v>#N/A</v>
      </c>
      <c r="AS36" s="26" cm="1">
        <f t="array" aca="1" ref="AS36" ca="1">INDEX(Table_Process_Details[Y Mover],MATCH(1,INDEX(((Table_Process_Details[Table Row]=Table_Process_Details[[#This Row],[Table Row]])*(1)),0)*(Table_Process_Details[[#This Row],[Input or Output]]="Input"),0))</f>
        <v>22.728136909564732</v>
      </c>
      <c r="AT36" s="26" cm="1">
        <f t="array" aca="1" ref="AT36" ca="1">(Table_Process_Details[[#This Row],[Y Guide]]*Arrow_Offset-Table_Process_Details[[#This Row],[Y End (to Node Center)]]*Arrow_Offset+Table_Process_Details[[#This Row],[Y End (to Node Center)]]*Table_Process_Details[[#This Row],[r0]])/Table_Process_Details[[#This Row],[r0]]</f>
        <v>21.791189612913882</v>
      </c>
      <c r="AU36" s="26" t="e">
        <f>IF(NOT(Table_Process_Details[[#This Row],[Display As]]="None"),Table_Process_Details[[#This Row],[Y Start Prefilter]],NA())</f>
        <v>#N/A</v>
      </c>
      <c r="AV36" s="26">
        <f ca="1">IF(NOT(Table_Process_Details[[#This Row],[Display As]]="None"),Table_Process_Details[[#This Row],[Y Guide Prefilter]],NA())</f>
        <v>22.728136909564732</v>
      </c>
      <c r="AW36" s="26">
        <f ca="1">IF(NOT(Table_Process_Details[[#This Row],[Display As]]="None"),Table_Process_Details[[#This Row],[Y End (to Stop Radius) Prefilter]],NA())</f>
        <v>21.791189612913882</v>
      </c>
      <c r="AX36" s="26" t="e">
        <f>NA()</f>
        <v>#N/A</v>
      </c>
      <c r="AY36" s="26" t="e">
        <f>IF(Table_Process_Details[[#This Row],[Display As]]="Real Step",Table_Process_Details[[#This Row],[X Mover]],NA())</f>
        <v>#N/A</v>
      </c>
      <c r="AZ36" s="26" t="e">
        <f>IF(Table_Process_Details[[#This Row],[Display As]]="Real Step",Table_Process_Details[[#This Row],[Y Mover]],NA())</f>
        <v>#N/A</v>
      </c>
      <c r="BA36" s="26">
        <f ca="1">IF(Table_Process_Details[[#This Row],[Display As]]="Raw Material",Table_Process_Details[[#This Row],[X Mover]],NA())</f>
        <v>4.5915520595937629</v>
      </c>
      <c r="BB36" s="26">
        <f ca="1">IF(Table_Process_Details[[#This Row],[Display As]]="Raw Material",Table_Process_Details[[#This Row],[Y Mover]],NA())</f>
        <v>22.728136909564732</v>
      </c>
      <c r="BC36" s="26">
        <f ca="1">IF(OR(Table_Process_Details[[#This Row],[Display As]]="Real Step",Table_Process_Details[[#This Row],[Display As]]="Raw Material"),Table_Process_Details[[#This Row],[X Mover]],NA())</f>
        <v>4.5915520595937629</v>
      </c>
      <c r="BD36" s="26">
        <f ca="1">IF(OR(Table_Process_Details[[#This Row],[Display As]]="Real Step",Table_Process_Details[[#This Row],[Display As]]="Raw Material"),Table_Process_Details[[#This Row],[Y Mover]],NA())</f>
        <v>22.728136909564732</v>
      </c>
      <c r="BE36" s="22">
        <f>ROW()-ROW(Table_Process_Details[[#Headers],[Table Row]])</f>
        <v>32</v>
      </c>
      <c r="BF36" s="23" t="str" cm="1">
        <f t="array" aca="1" ref="BF36" ca="1">INDEX(Table_Process_Details[Display Name],MATCH(0,IF(Table_Process_Details[Input or Output]="Input",INDEX(COUNTIF(OFFSET(Table_Process_Details[[#Headers],[Unique Process Inputs]],0,0,Table_Process_Details[[#This Row],[Table Row]],1),Table_Process_Details[Display Name]),),""),0))</f>
        <v>0.1 M reagent G (inorganic) in water</v>
      </c>
      <c r="BG36" s="23">
        <f ca="1">Table_Process_Details[[#This Row],[Physical Mass (kg)]]*Table_Process_Details[[#This Row],[Step Scale Factor for 1kg Packaged API]]</f>
        <v>0.27960410222745419</v>
      </c>
      <c r="BH3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6" s="23">
        <f ca="1">MATCH(Table_Process_Details[[#This Row],[LCA Data Source Class]],INDIRECT(Table_Process_Details[[#This Row],[Input or Output]]),0)</f>
        <v>2</v>
      </c>
      <c r="BJ36" s="23">
        <f ca="1">MATCH(Table_Process_Details[[#This Row],[LCA Data Source Subclass]],INDIRECT(Table_Process_Details[[#This Row],[LCA Data Source Class]]&amp;"[Name]"),0)</f>
        <v>51</v>
      </c>
      <c r="BK36" s="23">
        <f ca="1">IFERROR(INDEX(INDIRECT(Table_Process_Details[[#This Row],[LCA Data Source Class]]&amp;"[Mass Net (kg)]"),MATCH(Table_Process_Details[[#This Row],[LCA Data Source Subclass]],INDIRECT(Table_Process_Details[[#This Row],[LCA Data Source Class]]&amp;"[Name]"),0)),0)</f>
        <v>1.6613169000000001</v>
      </c>
      <c r="BL36" s="23">
        <f ca="1">IFERROR(INDEX(INDIRECT(Table_Process_Details[[#This Row],[LCA Data Source Class]]&amp;"[Energy (MJ)]"),MATCH(Table_Process_Details[[#This Row],[LCA Data Source Subclass]],INDIRECT(Table_Process_Details[[#This Row],[LCA Data Source Class]]&amp;"[Name]"),0)),0)</f>
        <v>57.590679999999999</v>
      </c>
      <c r="BM36" s="23">
        <f ca="1">IFERROR(INDEX(INDIRECT(Table_Process_Details[[#This Row],[LCA Data Source Class]]&amp;"[GWP (kg CO2 equiv.)]"),MATCH(Table_Process_Details[[#This Row],[LCA Data Source Subclass]],INDIRECT(Table_Process_Details[[#This Row],[LCA Data Source Class]]&amp;"[Name]"),0)),0)</f>
        <v>1.8856040999999999</v>
      </c>
      <c r="BN36" s="23">
        <f ca="1">IFERROR(INDEX(INDIRECT(Table_Process_Details[[#This Row],[LCA Data Source Class]]&amp;"[Acidification (kg SO2 equiv.)]"),MATCH(Table_Process_Details[[#This Row],[LCA Data Source Subclass]],INDIRECT(Table_Process_Details[[#This Row],[LCA Data Source Class]]&amp;"[Name]"),0)),0)</f>
        <v>8.3330487999999994E-3</v>
      </c>
      <c r="BO36" s="23">
        <f ca="1">IFERROR(INDEX(INDIRECT(Table_Process_Details[[#This Row],[LCA Data Source Class]]&amp;"[Eutrophication (kg posphate equiv.)]"),MATCH(Table_Process_Details[[#This Row],[LCA Data Source Subclass]],INDIRECT(Table_Process_Details[[#This Row],[LCA Data Source Class]]&amp;"[Name]"),0)),0)</f>
        <v>8.8847363999999998E-2</v>
      </c>
      <c r="BP36" s="23">
        <f ca="1">IFERROR(INDEX(INDIRECT(Table_Process_Details[[#This Row],[LCA Data Source Class]]&amp;"[Water (kg)]"),MATCH(Table_Process_Details[[#This Row],[LCA Data Source Subclass]],INDIRECT(Table_Process_Details[[#This Row],[LCA Data Source Class]]&amp;"[Name]"),0)),0)</f>
        <v>9.6611399999999996</v>
      </c>
      <c r="BQ36" s="27">
        <f ca="1">(Table_Process_Details[[#This Row],[Input or Output]]="Input")*(Table_Process_Details[[#This Row],[LCA Data Source Class]]&lt;&gt;"Process_Steps")*Table_Process_Details[[#This Row],[Scaled Physical Mass per kg API for All Inputs &amp; Outputs]]</f>
        <v>0.27960410222745419</v>
      </c>
      <c r="BR36" s="27">
        <f ca="1">(Table_Process_Details[[#This Row],[Material Class]]="REAGENT")*Table_Process_Details[[#This Row],[Physical Mass per kg API]]</f>
        <v>0</v>
      </c>
      <c r="BS36" s="27">
        <f ca="1">(Table_Process_Details[[#This Row],[Material Class]]="METAL")*Table_Process_Details[[#This Row],[Physical Mass per kg API]]</f>
        <v>0</v>
      </c>
      <c r="BT36" s="27">
        <f ca="1">(Table_Process_Details[[#This Row],[Material Class]]="SOLVENT")*Table_Process_Details[[#This Row],[Physical Mass per kg API]]</f>
        <v>0.27960410222745419</v>
      </c>
      <c r="BU36" s="27">
        <f ca="1">(Table_Process_Details[[#This Row],[Material Class]]="WATER")*Table_Process_Details[[#This Row],[Physical Mass per kg API]]</f>
        <v>0</v>
      </c>
      <c r="BV36" s="27">
        <f ca="1">(Table_Process_Details[[#This Row],[Material Class]]="ENZ&amp;PLNT")*Table_Process_Details[[#This Row],[Physical Mass per kg API]]</f>
        <v>0</v>
      </c>
      <c r="BW36" s="27">
        <f ca="1">(Table_Process_Details[[#This Row],[Material Class]]="OTHER")*Table_Process_Details[[#This Row],[Physical Mass per kg API]]</f>
        <v>0</v>
      </c>
      <c r="BX3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0.27960410222745419</v>
      </c>
      <c r="BY3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0.27960410222745419</v>
      </c>
      <c r="CB3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6" s="1">
        <f ca="1">SUMIFS(Table_Process_Details[RV Physical Mass per kg API],Table_Process_Details[Display Name],Table_Process_Details[[#This Row],[Unique Process Inputs]],Table_Process_Details[Input or Output],"Input")</f>
        <v>4.1940615334094513</v>
      </c>
      <c r="CF36" s="1">
        <f ca="1">SUMIFS(Table_Process_Details[RV Physical Mass per kg API (REAGENT)],Table_Process_Details[Display Name],Table_Process_Details[[#This Row],[Unique Process Inputs]],Table_Process_Details[Input or Output],"Input")</f>
        <v>1.8867616615357928E-2</v>
      </c>
      <c r="CG36" s="1">
        <f ca="1">SUMIFS(Table_Process_Details[RV Physical Mass per kg API (METAL)],Table_Process_Details[Display Name],Table_Process_Details[[#This Row],[Unique Process Inputs]],Table_Process_Details[Input or Output],"Input")</f>
        <v>0</v>
      </c>
      <c r="CH36" s="1">
        <f ca="1">SUMIFS(Table_Process_Details[RV Physical Mass per kg API (SOLVENT)],Table_Process_Details[Display Name],Table_Process_Details[[#This Row],[Unique Process Inputs]],Table_Process_Details[Input or Output],"Input")</f>
        <v>0</v>
      </c>
      <c r="CI36" s="1">
        <f ca="1">SUMIFS(Table_Process_Details[RV Physical Mass per kg API (WATER)],Table_Process_Details[Display Name],Table_Process_Details[[#This Row],[Unique Process Inputs]],Table_Process_Details[Input or Output],"Input")</f>
        <v>4.1751939167940932</v>
      </c>
      <c r="CJ36" s="1">
        <f ca="1">SUMIFS(Table_Process_Details[RV Physical Mass per kg API (ENZ&amp;PLNT)],Table_Process_Details[Display Name],Table_Process_Details[[#This Row],[Unique Process Inputs]],Table_Process_Details[Input or Output],"Input")</f>
        <v>0</v>
      </c>
      <c r="CK36" s="1">
        <f ca="1">SUMIFS(Table_Process_Details[RV Physical Mass per kg API (OTHER)],Table_Process_Details[Display Name],Table_Process_Details[[#This Row],[Unique Process Inputs]],Table_Process_Details[Input or Output],"Input")</f>
        <v>0</v>
      </c>
      <c r="CL36" s="22" t="e">
        <f ca="1">INDEX(Table_Process_Details[Unique Process Inputs],MATCH(Table_Process_Details[[#This Row],['[Physical Mass per kg API'] of Unique Inputs Sorted by '[Physical Mass per kg API']]],Table_Process_Details[Total '[Physical Mass per kg API'] of Unique Inputs],0))</f>
        <v>#N/A</v>
      </c>
      <c r="CM36" s="22" t="e">
        <f ca="1">IF(LARGE(Table_Process_Details[Total '[Physical Mass per kg API'] of Unique Inputs],Table_Process_Details[[#This Row],[Table Row]])=0,NA(),LARGE(Table_Process_Details[Total '[Physical Mass per kg API'] of Unique Inputs],Table_Process_Details[[#This Row],[Table Row]]))</f>
        <v>#N/A</v>
      </c>
      <c r="CN36" s="22" t="e">
        <f ca="1">SUM(OFFSET(Table_Process_Details['[Physical Mass per kg API'] of Unique Inputs Sorted by '[Physical Mass per kg API']],0,0,Table_Process_Details[[#This Row],[Table Row]]))</f>
        <v>#N/A</v>
      </c>
      <c r="CO36" s="22" t="e">
        <f ca="1">"("&amp;TEXT(Table_Process_Details[[#This Row],['[Physical Mass per kg API'] of Unique Inputs Sorted by '[Physical Mass per kg API']]]/SUMIF(Table_Process_Details['[Physical Mass per kg API'] of Unique Inputs Sorted by '[Physical Mass per kg API']],"&lt;&gt;#N/A"),"0%")&amp;")"</f>
        <v>#N/A</v>
      </c>
      <c r="CP36" s="22" t="e">
        <f ca="1">INDEX(Table_Process_Details[Total '[Physical Mass per kg API'] of Unique Inputs (REAGENT)],MATCH(Table_Process_Details[[#This Row],[Unique Inputs Sorted by '[Physical Mass per kg API']]],Table_Process_Details[Unique Process Inputs],0))</f>
        <v>#N/A</v>
      </c>
      <c r="CQ36" s="22" t="e">
        <f ca="1">INDEX(Table_Process_Details[Total '[Physical Mass per kg API'] of Unique Inputs (METAL)],MATCH(Table_Process_Details[[#This Row],[Unique Inputs Sorted by '[Physical Mass per kg API']]],Table_Process_Details[Unique Process Inputs],0))</f>
        <v>#N/A</v>
      </c>
      <c r="CR36" s="22" t="e">
        <f ca="1">INDEX(Table_Process_Details[Total '[Physical Mass per kg API'] of Unique Inputs (SOLVENT)],MATCH(Table_Process_Details[[#This Row],[Unique Inputs Sorted by '[Physical Mass per kg API']]],Table_Process_Details[Unique Process Inputs],0))</f>
        <v>#N/A</v>
      </c>
      <c r="CS36" s="22" t="e">
        <f ca="1">INDEX(Table_Process_Details[Total '[Physical Mass per kg API'] of Unique Inputs (WATER)],MATCH(Table_Process_Details[[#This Row],[Unique Inputs Sorted by '[Physical Mass per kg API']]],Table_Process_Details[Unique Process Inputs],0))</f>
        <v>#N/A</v>
      </c>
      <c r="CT36" s="22" t="e">
        <f ca="1">INDEX(Table_Process_Details[Total '[Physical Mass per kg API'] of Unique Inputs (ENZ&amp;PLNT)],MATCH(Table_Process_Details[[#This Row],[Unique Inputs Sorted by '[Physical Mass per kg API']]],Table_Process_Details[Unique Process Inputs],0))</f>
        <v>#N/A</v>
      </c>
      <c r="CU36" s="22" t="e">
        <f ca="1">INDEX(Table_Process_Details[Total '[Physical Mass per kg API'] of Unique Inputs (OTHER)],MATCH(Table_Process_Details[[#This Row],[Unique Inputs Sorted by '[Physical Mass per kg API']]],Table_Process_Details[Unique Process Inputs],0))</f>
        <v>#N/A</v>
      </c>
      <c r="CV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0.4645110203397973</v>
      </c>
      <c r="CW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0.4645110203397973</v>
      </c>
      <c r="CZ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6" s="22">
        <f ca="1">SUMIFS(Table_Process_Details[RV Mass Net (kg) per kg API],Table_Process_Details[Display Name],Table_Process_Details[[#This Row],[Unique Process Inputs]],Table_Process_Details[Input or Output],"Input")</f>
        <v>3.1671760636220715E-2</v>
      </c>
      <c r="DD36" s="22">
        <f ca="1">SUMIFS(Table_Process_Details[RV Mass Net (kg) per kg API (REAGENT)],Table_Process_Details[Display Name],Table_Process_Details[[#This Row],[Unique Process Inputs]],Table_Process_Details[Input or Output],"Input")</f>
        <v>2.5282606264579625E-2</v>
      </c>
      <c r="DE36" s="22">
        <f ca="1">SUMIFS(Table_Process_Details[RV Mass Net (kg) per kg API (METAL)],Table_Process_Details[Display Name],Table_Process_Details[[#This Row],[Unique Process Inputs]],Table_Process_Details[Input or Output],"Input")</f>
        <v>0</v>
      </c>
      <c r="DF36" s="22">
        <f ca="1">SUMIFS(Table_Process_Details[RV Mass Net (kg) per kg API (SOLVENT)],Table_Process_Details[Display Name],Table_Process_Details[[#This Row],[Unique Process Inputs]],Table_Process_Details[Input or Output],"Input")</f>
        <v>0</v>
      </c>
      <c r="DG36" s="22">
        <f ca="1">SUMIFS(Table_Process_Details[RV Mass Net (kg) per kg API (WATER)],Table_Process_Details[Display Name],Table_Process_Details[[#This Row],[Unique Process Inputs]],Table_Process_Details[Input or Output],"Input")</f>
        <v>6.3891543716410879E-3</v>
      </c>
      <c r="DH36" s="22">
        <f ca="1">SUMIFS(Table_Process_Details[RV Mass Net (kg) per kg API (ENZ&amp;PLNT)],Table_Process_Details[Display Name],Table_Process_Details[[#This Row],[Unique Process Inputs]],Table_Process_Details[Input or Output],"Input")</f>
        <v>0</v>
      </c>
      <c r="DI36" s="22">
        <f ca="1">SUMIFS(Table_Process_Details[RV Mass Net (kg) per kg API (OTHER)],Table_Process_Details[Display Name],Table_Process_Details[[#This Row],[Unique Process Inputs]],Table_Process_Details[Input or Output],"Input")</f>
        <v>0</v>
      </c>
      <c r="DJ36" s="22" t="e">
        <f ca="1">INDEX(Table_Process_Details[Unique Process Inputs],MATCH(Table_Process_Details[[#This Row],['[Mass Net (kg) per kg API'] of Unique Inputs Sorted by '[Mass Net (kg) per kg API']]],Table_Process_Details[Total '[Mass Net (kg) per kg API'] of Unique Inputs],0))</f>
        <v>#N/A</v>
      </c>
      <c r="DK36" s="22" t="e">
        <f ca="1">IF(LARGE(Table_Process_Details[Total '[Mass Net (kg) per kg API'] of Unique Inputs],Table_Process_Details[[#This Row],[Table Row]])=0,NA(),LARGE(Table_Process_Details[Total '[Mass Net (kg) per kg API'] of Unique Inputs],Table_Process_Details[[#This Row],[Table Row]]))</f>
        <v>#N/A</v>
      </c>
      <c r="DL36" s="22" t="e">
        <f ca="1">SUM(OFFSET(Table_Process_Details['[Mass Net (kg) per kg API'] of Unique Inputs Sorted by '[Mass Net (kg) per kg API']],0,0,Table_Process_Details[[#This Row],[Table Row]]))</f>
        <v>#N/A</v>
      </c>
      <c r="DM36" s="22" t="e">
        <f ca="1">"("&amp;TEXT(Table_Process_Details[[#This Row],['[Mass Net (kg) per kg API'] of Unique Inputs Sorted by '[Mass Net (kg) per kg API']]]/SUMIF(Table_Process_Details['[Mass Net (kg) per kg API'] of Unique Inputs Sorted by '[Mass Net (kg) per kg API']],"&lt;&gt;#N/A"),"0%")&amp;")"</f>
        <v>#N/A</v>
      </c>
      <c r="DN36" s="22" t="e">
        <f ca="1">INDEX(Table_Process_Details[Total '[Mass Net (kg) per kg API'] of Unique Inputs (REAGENT)], MATCH(Table_Process_Details[[#This Row],[Unique Inputs Sorted by '[Mass Net (kg) per kg API']]],Table_Process_Details[Unique Process Inputs],0))</f>
        <v>#N/A</v>
      </c>
      <c r="DO36" s="22" t="e">
        <f ca="1">INDEX(Table_Process_Details[Total '[Mass Net (kg) per kg API'] of Unique Inputs (METAL)], MATCH(Table_Process_Details[[#This Row],[Unique Inputs Sorted by '[Mass Net (kg) per kg API']]],Table_Process_Details[Unique Process Inputs],0))</f>
        <v>#N/A</v>
      </c>
      <c r="DP36" s="22" t="e">
        <f ca="1">INDEX(Table_Process_Details[Total '[Mass Net (kg) per kg API'] of Unique Inputs (SOLVENT)], MATCH(Table_Process_Details[[#This Row],[Unique Inputs Sorted by '[Mass Net (kg) per kg API']]],Table_Process_Details[Unique Process Inputs],0))</f>
        <v>#N/A</v>
      </c>
      <c r="DQ36" s="22" t="e">
        <f ca="1">INDEX(Table_Process_Details[Total '[Mass Net (kg) per kg API'] of Unique Inputs (WATER)], MATCH(Table_Process_Details[[#This Row],[Unique Inputs Sorted by '[Mass Net (kg) per kg API']]],Table_Process_Details[Unique Process Inputs],0))</f>
        <v>#N/A</v>
      </c>
      <c r="DR36" s="22" t="e">
        <f ca="1">INDEX(Table_Process_Details[Total '[Mass Net (kg) per kg API'] of Unique Inputs (ENZ&amp;PLNT)], MATCH(Table_Process_Details[[#This Row],[Unique Inputs Sorted by '[Mass Net (kg) per kg API']]],Table_Process_Details[Unique Process Inputs],0))</f>
        <v>#N/A</v>
      </c>
      <c r="DS36" s="22" t="e">
        <f ca="1">INDEX(Table_Process_Details[Total '[Mass Net (kg) per kg API'] of Unique Inputs (OTHER)], MATCH(Table_Process_Details[[#This Row],[Unique Inputs Sorted by '[Mass Net (kg) per kg API']]],Table_Process_Details[Unique Process Inputs],0))</f>
        <v>#N/A</v>
      </c>
      <c r="DT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16.102590378068601</v>
      </c>
      <c r="DU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16.102590378068601</v>
      </c>
      <c r="DX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6" s="1">
        <f ca="1">SUMIFS(Table_Process_Details[RV Energy (MJ) per kg API],Table_Process_Details[Display Name],Table_Process_Details[[#This Row],[Unique Process Inputs]],Table_Process_Details[Input or Output],"Input")</f>
        <v>0.28013441192474864</v>
      </c>
      <c r="EB36" s="1">
        <f ca="1">SUMIFS(Table_Process_Details[RV Energy (MJ) per kg API (REAGENT)],Table_Process_Details[Display Name],Table_Process_Details[[#This Row],[Unique Process Inputs]],Table_Process_Details[Input or Output],"Input")</f>
        <v>0.20056276462125477</v>
      </c>
      <c r="EC36" s="1">
        <f ca="1">SUMIFS(Table_Process_Details[RV Energy (MJ) per kg API (METAL)],Table_Process_Details[Display Name],Table_Process_Details[[#This Row],[Unique Process Inputs]],Table_Process_Details[Input or Output],"Input")</f>
        <v>0</v>
      </c>
      <c r="ED36" s="1">
        <f ca="1">SUMIFS(Table_Process_Details[RV Energy (MJ) per kg API (SOLVENT)],Table_Process_Details[Display Name],Table_Process_Details[[#This Row],[Unique Process Inputs]],Table_Process_Details[Input or Output],"Input")</f>
        <v>0</v>
      </c>
      <c r="EE36" s="1">
        <f ca="1">SUMIFS(Table_Process_Details[RV Energy (MJ) per kg API (WATER)],Table_Process_Details[Display Name],Table_Process_Details[[#This Row],[Unique Process Inputs]],Table_Process_Details[Input or Output],"Input")</f>
        <v>7.957164730349385E-2</v>
      </c>
      <c r="EF36" s="1">
        <f ca="1">SUMIFS(Table_Process_Details[RV Energy (MJ) per kg API (ENZ&amp;PLNT)],Table_Process_Details[Display Name],Table_Process_Details[[#This Row],[Unique Process Inputs]],Table_Process_Details[Input or Output],"Input")</f>
        <v>0</v>
      </c>
      <c r="EG36" s="1">
        <f ca="1">SUMIFS(Table_Process_Details[RV Energy (MJ) per kg API (OTHER)],Table_Process_Details[Display Name],Table_Process_Details[[#This Row],[Unique Process Inputs]],Table_Process_Details[Input or Output],"Input")</f>
        <v>0</v>
      </c>
      <c r="EH36" s="1" t="e">
        <f ca="1">INDEX(Table_Process_Details[Unique Process Inputs],MATCH(Table_Process_Details[[#This Row],['[Energy (MJ) per kg API'] of Unique Inputs Sorted by '[Energy (MJ) per kg API']]],Table_Process_Details[Total '[Energy (MJ) per kg API'] of Unique Inputs],0))</f>
        <v>#N/A</v>
      </c>
      <c r="EI36" s="22" t="e">
        <f ca="1">IF(LARGE(Table_Process_Details[Total '[Energy (MJ) per kg API'] of Unique Inputs],Table_Process_Details[[#This Row],[Table Row]])=0,NA(),LARGE(Table_Process_Details[Total '[Energy (MJ) per kg API'] of Unique Inputs],Table_Process_Details[[#This Row],[Table Row]]))</f>
        <v>#N/A</v>
      </c>
      <c r="EJ36" s="22" t="e">
        <f ca="1">SUM(OFFSET(Table_Process_Details['[Energy (MJ) per kg API'] of Unique Inputs Sorted by '[Energy (MJ) per kg API']],0,0,Table_Process_Details[[#This Row],[Table Row]]))</f>
        <v>#N/A</v>
      </c>
      <c r="EK36" s="22" t="e">
        <f ca="1">"("&amp;TEXT(Table_Process_Details[[#This Row],['[Energy (MJ) per kg API'] of Unique Inputs Sorted by '[Energy (MJ) per kg API']]]/SUMIF(Table_Process_Details['[Energy (MJ) per kg API'] of Unique Inputs Sorted by '[Energy (MJ) per kg API']],"&lt;&gt;#N/A"),"0%")&amp;")"</f>
        <v>#N/A</v>
      </c>
      <c r="EL36" s="22" t="e">
        <f ca="1">INDEX(Table_Process_Details[Total '[Energy (MJ) per kg API'] of Unique Inputs (REAGENT)], MATCH(Table_Process_Details[[#This Row],[Unique Inputs Sorted by '[Energy (MJ) per kg API']]],Table_Process_Details[Unique Process Inputs],0))</f>
        <v>#N/A</v>
      </c>
      <c r="EM36" s="22" t="e">
        <f ca="1">INDEX(Table_Process_Details[Total '[Energy (MJ) per kg API'] of Unique Inputs (METAL)], MATCH(Table_Process_Details[[#This Row],[Unique Inputs Sorted by '[Energy (MJ) per kg API']]],Table_Process_Details[Unique Process Inputs],0))</f>
        <v>#N/A</v>
      </c>
      <c r="EN36" s="22" t="e">
        <f ca="1">INDEX(Table_Process_Details[Total '[Energy (MJ) per kg API'] of Unique Inputs (SOLVENT)], MATCH(Table_Process_Details[[#This Row],[Unique Inputs Sorted by '[Energy (MJ) per kg API']]],Table_Process_Details[Unique Process Inputs],0))</f>
        <v>#N/A</v>
      </c>
      <c r="EO36" s="22" t="e">
        <f ca="1">INDEX(Table_Process_Details[Total '[Energy (MJ) per kg API'] of Unique Inputs (WATER)], MATCH(Table_Process_Details[[#This Row],[Unique Inputs Sorted by '[Energy (MJ) per kg API']]],Table_Process_Details[Unique Process Inputs],0))</f>
        <v>#N/A</v>
      </c>
      <c r="EP36" s="22" t="e">
        <f ca="1">INDEX(Table_Process_Details[Total '[Energy (MJ) per kg API'] of Unique Inputs (ENZ&amp;PLNT)], MATCH(Table_Process_Details[[#This Row],[Unique Inputs Sorted by '[Energy (MJ) per kg API']]],Table_Process_Details[Unique Process Inputs],0))</f>
        <v>#N/A</v>
      </c>
      <c r="EQ36" s="22" t="e">
        <f ca="1">INDEX(Table_Process_Details[Total '[Energy (MJ) per kg API'] of Unique Inputs (OTHER)], MATCH(Table_Process_Details[[#This Row],[Unique Inputs Sorted by '[Energy (MJ) per kg API']]],Table_Process_Details[Unique Process Inputs],0))</f>
        <v>#N/A</v>
      </c>
      <c r="ER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0.52722264153690668</v>
      </c>
      <c r="ES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0.52722264153690668</v>
      </c>
      <c r="EV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6" s="22">
        <f ca="1">SUMIFS(Table_Process_Details[RV GWP (kg CO2 equiv.) per kg API],Table_Process_Details[Display Name],Table_Process_Details[[#This Row],[Unique Process Inputs]],Table_Process_Details[Input or Output],"Input")</f>
        <v>3.0380115878349139E-2</v>
      </c>
      <c r="EZ36" s="1">
        <f ca="1">SUMIFS(Table_Process_Details[RV GWP (kg CO2 equiv.) per kg API (REAGENT)],Table_Process_Details[Display Name],Table_Process_Details[[#This Row],[Unique Process Inputs]],Table_Process_Details[Input or Output],"Input")</f>
        <v>2.6139196058916875E-2</v>
      </c>
      <c r="FA36" s="1">
        <f ca="1">SUMIFS(Table_Process_Details[RV GWP (kg CO2 equiv.) per kg API (METAL)],Table_Process_Details[Display Name],Table_Process_Details[[#This Row],[Unique Process Inputs]],Table_Process_Details[Input or Output],"Input")</f>
        <v>0</v>
      </c>
      <c r="FB36" s="1">
        <f ca="1">SUMIFS(Table_Process_Details[RV GWP (kg CO2 equiv.) per kg API (SOLVENT)],Table_Process_Details[Display Name],Table_Process_Details[[#This Row],[Unique Process Inputs]],Table_Process_Details[Input or Output],"Input")</f>
        <v>0</v>
      </c>
      <c r="FC36" s="1">
        <f ca="1">SUMIFS(Table_Process_Details[RV GWP (kg CO2 equiv.) per kg API (WATER)],Table_Process_Details[Display Name],Table_Process_Details[[#This Row],[Unique Process Inputs]],Table_Process_Details[Input or Output],"Input")</f>
        <v>4.2409198194322661E-3</v>
      </c>
      <c r="FD36" s="1">
        <f ca="1">SUMIFS(Table_Process_Details[RV GWP (kg CO2 equiv.) per kg API (ENZ&amp;PLNT)],Table_Process_Details[Display Name],Table_Process_Details[[#This Row],[Unique Process Inputs]],Table_Process_Details[Input or Output],"Input")</f>
        <v>0</v>
      </c>
      <c r="FE36" s="1">
        <f ca="1">SUMIFS(Table_Process_Details[RV GWP (kg CO2 equiv.) per kg API (OTHER)],Table_Process_Details[Display Name],Table_Process_Details[[#This Row],[Unique Process Inputs]],Table_Process_Details[Input or Output],"Input")</f>
        <v>0</v>
      </c>
      <c r="FF36" s="22" t="e">
        <f ca="1">INDEX(Table_Process_Details[Unique Process Inputs],MATCH(Table_Process_Details[[#This Row],['[GWP (kg CO2 equiv.) per kg API'] of Unique Inputs Sorted by '[GWP (kg CO2 equiv.) per kg API']]],Table_Process_Details[Total '[GWP (kg CO2 equiv.) per kg API'] of Unique Inputs],0))</f>
        <v>#N/A</v>
      </c>
      <c r="FG36" s="22" t="e">
        <f ca="1">IF(LARGE(Table_Process_Details[Total '[GWP (kg CO2 equiv.) per kg API'] of Unique Inputs],Table_Process_Details[[#This Row],[Table Row]])=0,NA(),LARGE(Table_Process_Details[Total '[GWP (kg CO2 equiv.) per kg API'] of Unique Inputs],Table_Process_Details[[#This Row],[Table Row]]))</f>
        <v>#N/A</v>
      </c>
      <c r="FH36" s="22" t="e">
        <f ca="1">SUM(OFFSET(Table_Process_Details['[GWP (kg CO2 equiv.) per kg API'] of Unique Inputs Sorted by '[GWP (kg CO2 equiv.) per kg API']],0,0,Table_Process_Details[[#This Row],[Table Row]]))</f>
        <v>#N/A</v>
      </c>
      <c r="FI36" s="22" t="e">
        <f ca="1">"("&amp;TEXT(Table_Process_Details[[#This Row],['[GWP (kg CO2 equiv.) per kg API'] of Unique Inputs Sorted by '[GWP (kg CO2 equiv.) per kg API']]]/SUMIF(Table_Process_Details['[GWP (kg CO2 equiv.) per kg API'] of Unique Inputs Sorted by '[GWP (kg CO2 equiv.) per kg API']],"&lt;&gt;#N/A"),"0%")&amp;")"</f>
        <v>#N/A</v>
      </c>
      <c r="FJ36" s="22" t="e">
        <f ca="1">INDEX(Table_Process_Details[Total '[GWP (kg CO2 equiv.) per kg API'] of Unique Inputs (REAGENT)], MATCH(Table_Process_Details[[#This Row],[Unique Inputs Sorted by '[GWP (kg CO2 equiv.) per kg API']]],Table_Process_Details[Unique Process Inputs],0))</f>
        <v>#N/A</v>
      </c>
      <c r="FK36" s="22" t="e">
        <f ca="1">INDEX(Table_Process_Details[Total '[GWP (kg CO2 equiv.) per kg API'] of Unique Inputs (METAL)], MATCH(Table_Process_Details[[#This Row],[Unique Inputs Sorted by '[GWP (kg CO2 equiv.) per kg API']]],Table_Process_Details[Unique Process Inputs],0))</f>
        <v>#N/A</v>
      </c>
      <c r="FL36" s="22" t="e">
        <f ca="1">INDEX(Table_Process_Details[Total '[GWP (kg CO2 equiv.) per kg API'] of Unique Inputs (SOLVENT)], MATCH(Table_Process_Details[[#This Row],[Unique Inputs Sorted by '[GWP (kg CO2 equiv.) per kg API']]],Table_Process_Details[Unique Process Inputs],0))</f>
        <v>#N/A</v>
      </c>
      <c r="FM36" s="22" t="e">
        <f ca="1">INDEX(Table_Process_Details[Total '[GWP (kg CO2 equiv.) per kg API'] of Unique Inputs (WATER)], MATCH(Table_Process_Details[[#This Row],[Unique Inputs Sorted by '[GWP (kg CO2 equiv.) per kg API']]],Table_Process_Details[Unique Process Inputs],0))</f>
        <v>#N/A</v>
      </c>
      <c r="FN36" s="22" t="e">
        <f ca="1">INDEX(Table_Process_Details[Total '[GWP (kg CO2 equiv.) per kg API'] of Unique Inputs (ENZ&amp;PLNT)], MATCH(Table_Process_Details[[#This Row],[Unique Inputs Sorted by '[GWP (kg CO2 equiv.) per kg API']]],Table_Process_Details[Unique Process Inputs],0))</f>
        <v>#N/A</v>
      </c>
      <c r="FO36" s="22" t="e">
        <f ca="1">INDEX(Table_Process_Details[Total '[GWP (kg CO2 equiv.) per kg API'] of Unique Inputs (OTHER)], MATCH(Table_Process_Details[[#This Row],[Unique Inputs Sorted by '[GWP (kg CO2 equiv.) per kg API']]],Table_Process_Details[Unique Process Inputs],0))</f>
        <v>#N/A</v>
      </c>
      <c r="FP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2.3299546285415642E-3</v>
      </c>
      <c r="FQ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2.3299546285415642E-3</v>
      </c>
      <c r="FT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6" s="22">
        <f ca="1">SUMIFS(Table_Process_Details[RV Acidification (kg SO2 equiv.) per kg API],Table_Process_Details[Display Name],Table_Process_Details[[#This Row],[Unique Process Inputs]],Table_Process_Details[Input or Output],"Input")</f>
        <v>2.7850736669307477E-4</v>
      </c>
      <c r="FX36" s="1">
        <f ca="1">SUMIFS(Table_Process_Details[RV Acidification (kg SO2 equiv.) per kg API (REAGENT)],Table_Process_Details[Display Name],Table_Process_Details[[#This Row],[Unique Process Inputs]],Table_Process_Details[Input or Output],"Input")</f>
        <v>2.6225987095347518E-4</v>
      </c>
      <c r="FY36" s="1">
        <f ca="1">SUMIFS(Table_Process_Details[RV Acidification (kg SO2 equiv.) per kg API (METAL)],Table_Process_Details[Display Name],Table_Process_Details[[#This Row],[Unique Process Inputs]],Table_Process_Details[Input or Output],"Input")</f>
        <v>0</v>
      </c>
      <c r="FZ36" s="1">
        <f ca="1">SUMIFS(Table_Process_Details[RV Acidification (kg SO2 equiv.) per kg API (SOLVENT)],Table_Process_Details[Display Name],Table_Process_Details[[#This Row],[Unique Process Inputs]],Table_Process_Details[Input or Output],"Input")</f>
        <v>0</v>
      </c>
      <c r="GA36" s="1">
        <f ca="1">SUMIFS(Table_Process_Details[RV Acidification (kg SO2 equiv.) per kg API (WATER)],Table_Process_Details[Display Name],Table_Process_Details[[#This Row],[Unique Process Inputs]],Table_Process_Details[Input or Output],"Input")</f>
        <v>1.6247495739599621E-5</v>
      </c>
      <c r="GB36" s="1">
        <f ca="1">SUMIFS(Table_Process_Details[RV Acidification (kg SO2 equiv.) per kg API (ENZ&amp;PLNT)],Table_Process_Details[Display Name],Table_Process_Details[[#This Row],[Unique Process Inputs]],Table_Process_Details[Input or Output],"Input")</f>
        <v>0</v>
      </c>
      <c r="GC36" s="1">
        <f ca="1">SUMIFS(Table_Process_Details[RV Acidification (kg SO2 equiv.) per kg API (OTHER)],Table_Process_Details[Display Name],Table_Process_Details[[#This Row],[Unique Process Inputs]],Table_Process_Details[Input or Output],"Input")</f>
        <v>0</v>
      </c>
      <c r="GD36"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36"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36" s="22" t="e">
        <f ca="1">SUM(OFFSET(Table_Process_Details['[Acidification (kg SO2 equiv.) per kg API'] of Unique Inputs Sorted by '[Acidification (kg SO2 equiv.) per kg API']],0,0,Table_Process_Details[[#This Row],[Table Row]]))</f>
        <v>#N/A</v>
      </c>
      <c r="GG36"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36" s="22" t="e">
        <f ca="1">INDEX(Table_Process_Details[Total '[Acidification (kg SO2 equiv.) per kg API'] of Unique Inputs (REAGENT)], MATCH(Table_Process_Details[[#This Row],[Unique Inputs Sorted by '[Acidification (kg SO2 equiv.) per kg API']]],Table_Process_Details[Unique Process Inputs],0))</f>
        <v>#N/A</v>
      </c>
      <c r="GI36" s="22" t="e">
        <f ca="1">INDEX(Table_Process_Details[Total '[Acidification (kg SO2 equiv.) per kg API'] of Unique Inputs (METAL)], MATCH(Table_Process_Details[[#This Row],[Unique Inputs Sorted by '[Acidification (kg SO2 equiv.) per kg API']]],Table_Process_Details[Unique Process Inputs],0))</f>
        <v>#N/A</v>
      </c>
      <c r="GJ36" s="22" t="e">
        <f ca="1">INDEX(Table_Process_Details[Total '[Acidification (kg SO2 equiv.) per kg API'] of Unique Inputs (SOLVENT)], MATCH(Table_Process_Details[[#This Row],[Unique Inputs Sorted by '[Acidification (kg SO2 equiv.) per kg API']]],Table_Process_Details[Unique Process Inputs],0))</f>
        <v>#N/A</v>
      </c>
      <c r="GK36" s="22" t="e">
        <f ca="1">INDEX(Table_Process_Details[Total '[Acidification (kg SO2 equiv.) per kg API'] of Unique Inputs (WATER)], MATCH(Table_Process_Details[[#This Row],[Unique Inputs Sorted by '[Acidification (kg SO2 equiv.) per kg API']]],Table_Process_Details[Unique Process Inputs],0))</f>
        <v>#N/A</v>
      </c>
      <c r="GL36" s="22" t="e">
        <f ca="1">INDEX(Table_Process_Details[Total '[Acidification (kg SO2 equiv.) per kg API'] of Unique Inputs (ENZ&amp;PLNT)], MATCH(Table_Process_Details[[#This Row],[Unique Inputs Sorted by '[Acidification (kg SO2 equiv.) per kg API']]],Table_Process_Details[Unique Process Inputs],0))</f>
        <v>#N/A</v>
      </c>
      <c r="GM36" s="22" t="e">
        <f ca="1">INDEX(Table_Process_Details[Total '[Acidification (kg SO2 equiv.) per kg API'] of Unique Inputs (OTHER)], MATCH(Table_Process_Details[[#This Row],[Unique Inputs Sorted by '[Acidification (kg SO2 equiv.) per kg API']]],Table_Process_Details[Unique Process Inputs],0))</f>
        <v>#N/A</v>
      </c>
      <c r="GN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2.4842087446495832E-2</v>
      </c>
      <c r="GO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2.4842087446495832E-2</v>
      </c>
      <c r="GR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6" s="22">
        <f ca="1">SUMIFS(Table_Process_Details[RV Eutrophication (kg phosphate equiv.) per kg API],Table_Process_Details[Display Name],Table_Process_Details[[#This Row],[Unique Process Inputs]],Table_Process_Details[Input or Output],"Input")</f>
        <v>2.2886138407728764E-5</v>
      </c>
      <c r="GV36" s="1">
        <f ca="1">SUMIFS(Table_Process_Details[RV Eutrophication (kg phosphate equiv.) per kg API (REAGENT)],Table_Process_Details[Display Name],Table_Process_Details[[#This Row],[Unique Process Inputs]],Table_Process_Details[Input or Output],"Input")</f>
        <v>1.3207331630750549E-5</v>
      </c>
      <c r="GW36" s="1">
        <f ca="1">SUMIFS(Table_Process_Details[RV Eutrophication (kg phosphate equiv.) per kg API (METAL)],Table_Process_Details[Display Name],Table_Process_Details[[#This Row],[Unique Process Inputs]],Table_Process_Details[Input or Output],"Input")</f>
        <v>0</v>
      </c>
      <c r="GX36" s="1">
        <f ca="1">SUMIFS(Table_Process_Details[RV Eutrophication (kg phosphate equiv.) per kg API (SOLVENT)],Table_Process_Details[Display Name],Table_Process_Details[[#This Row],[Unique Process Inputs]],Table_Process_Details[Input or Output],"Input")</f>
        <v>0</v>
      </c>
      <c r="GY36" s="1">
        <f ca="1">SUMIFS(Table_Process_Details[RV Eutrophication (kg phosphate equiv.) per kg API (WATER)],Table_Process_Details[Display Name],Table_Process_Details[[#This Row],[Unique Process Inputs]],Table_Process_Details[Input or Output],"Input")</f>
        <v>9.6788067769782142E-6</v>
      </c>
      <c r="GZ36" s="1">
        <f ca="1">SUMIFS(Table_Process_Details[RV Eutrophication (kg phosphate equiv.) per kg API (ENZ&amp;PLNT)],Table_Process_Details[Display Name],Table_Process_Details[[#This Row],[Unique Process Inputs]],Table_Process_Details[Input or Output],"Input")</f>
        <v>0</v>
      </c>
      <c r="HA36" s="1">
        <f ca="1">SUMIFS(Table_Process_Details[RV Eutrophication (kg phosphate equiv.) per kg API (OTHER)],Table_Process_Details[Display Name],Table_Process_Details[[#This Row],[Unique Process Inputs]],Table_Process_Details[Input or Output],"Input")</f>
        <v>0</v>
      </c>
      <c r="HB36"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36"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36" s="22" t="e">
        <f ca="1">SUM(OFFSET(Table_Process_Details['[Eutrophication (kg posphate equiv.) per kg API'] of Unique Inputs Sorted by '[Eutrophication (kg posphate equiv.) per kg API']],0,0,Table_Process_Details[[#This Row],[Table Row]]))</f>
        <v>#N/A</v>
      </c>
      <c r="HE36"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36" s="1" t="e">
        <f ca="1">INDEX(Table_Process_Details[Total '[Eutrophication (kg posphate equiv.) per kg API'] of Unique Inputs (REAGENT)], MATCH(Table_Process_Details[[#This Row],[Unique Inputs Sorted by '[Eutrophication (kg posphate equiv.) per kg API']]],Table_Process_Details[Unique Process Inputs],0))</f>
        <v>#N/A</v>
      </c>
      <c r="HG36" s="1" t="e">
        <f ca="1">INDEX(Table_Process_Details[Total '[Eutrophication (kg posphate equiv.) per kg API'] of Unique Inputs (METAL)], MATCH(Table_Process_Details[[#This Row],[Unique Inputs Sorted by '[Eutrophication (kg posphate equiv.) per kg API']]],Table_Process_Details[Unique Process Inputs],0))</f>
        <v>#N/A</v>
      </c>
      <c r="HH36" s="1" t="e">
        <f ca="1">INDEX(Table_Process_Details[Total '[Eutrophication (kg posphate equiv.) per kg API'] of Unique Inputs (SOLVENT)], MATCH(Table_Process_Details[[#This Row],[Unique Inputs Sorted by '[Eutrophication (kg posphate equiv.) per kg API']]],Table_Process_Details[Unique Process Inputs],0))</f>
        <v>#N/A</v>
      </c>
      <c r="HI36" s="1" t="e">
        <f ca="1">INDEX(Table_Process_Details[Total '[Eutrophication (kg posphate equiv.) per kg API'] of Unique Inputs (WATER)], MATCH(Table_Process_Details[[#This Row],[Unique Inputs Sorted by '[Eutrophication (kg posphate equiv.) per kg API']]],Table_Process_Details[Unique Process Inputs],0))</f>
        <v>#N/A</v>
      </c>
      <c r="HJ36" s="1" t="e">
        <f ca="1">INDEX(Table_Process_Details[Total '[Eutrophication (kg posphate equiv.) per kg API'] of Unique Inputs (ENZ&amp;PLNT)], MATCH(Table_Process_Details[[#This Row],[Unique Inputs Sorted by '[Eutrophication (kg posphate equiv.) per kg API']]],Table_Process_Details[Unique Process Inputs],0))</f>
        <v>#N/A</v>
      </c>
      <c r="HK36" s="1" t="e">
        <f ca="1">INDEX(Table_Process_Details[Total '[Eutrophication (kg posphate equiv.) per kg API'] of Unique Inputs (OTHER)], MATCH(Table_Process_Details[[#This Row],[Unique Inputs Sorted by '[Eutrophication (kg posphate equiv.) per kg API']]],Table_Process_Details[Unique Process Inputs],0))</f>
        <v>#N/A</v>
      </c>
      <c r="HL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2.7012943761937467</v>
      </c>
      <c r="HM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2.7012943761937467</v>
      </c>
      <c r="HP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6" s="1">
        <f ca="1">SUMIFS(Table_Process_Details[RV Water (kg) per kg API],Table_Process_Details[Display Name],Table_Process_Details[[#This Row],[Unique Process Inputs]],Table_Process_Details[Input or Output],"Input")</f>
        <v>5.2877693397403256</v>
      </c>
      <c r="HT36" s="1">
        <f ca="1">SUMIFS(Table_Process_Details[RV Water (kg) per kg API (REAGENT)],Table_Process_Details[Display Name],Table_Process_Details[[#This Row],[Unique Process Inputs]],Table_Process_Details[Input or Output],"Input")</f>
        <v>1.3041862633033861E-2</v>
      </c>
      <c r="HU36" s="1">
        <f ca="1">SUMIFS(Table_Process_Details[RV Water (kg) per kg API (METAL)],Table_Process_Details[Display Name],Table_Process_Details[[#This Row],[Unique Process Inputs]],Table_Process_Details[Input or Output],"Input")</f>
        <v>0</v>
      </c>
      <c r="HV36" s="1">
        <f ca="1">SUMIFS(Table_Process_Details[RV Water (kg) per kg API (SOLVENT)],Table_Process_Details[Display Name],Table_Process_Details[[#This Row],[Unique Process Inputs]],Table_Process_Details[Input or Output],"Input")</f>
        <v>0</v>
      </c>
      <c r="HW36" s="1">
        <f ca="1">SUMIFS(Table_Process_Details[RV Water (kg) per kg API (WATER)],Table_Process_Details[Display Name],Table_Process_Details[[#This Row],[Unique Process Inputs]],Table_Process_Details[Input or Output],"Input")</f>
        <v>5.2747274771072918</v>
      </c>
      <c r="HX36" s="1">
        <f ca="1">SUMIFS(Table_Process_Details[RV Water (kg) per kg API (ENZ&amp;PLNT)],Table_Process_Details[Display Name],Table_Process_Details[[#This Row],[Unique Process Inputs]],Table_Process_Details[Input or Output],"Input")</f>
        <v>0</v>
      </c>
      <c r="HY36" s="1">
        <f ca="1">SUMIFS(Table_Process_Details[RV Water (kg) per kg API (OTHER)],Table_Process_Details[Display Name],Table_Process_Details[[#This Row],[Unique Process Inputs]],Table_Process_Details[Input or Output],"Input")</f>
        <v>0</v>
      </c>
      <c r="HZ36" s="22" t="e">
        <f ca="1">INDEX(Table_Process_Details[Unique Process Inputs],MATCH(Table_Process_Details[[#This Row],['[Water (kg) per kg API'] of Unique Inputs Sorted by '[Water (kg) per kg API']]],Table_Process_Details[Total '[Water (kg) per kg API'] of Unique Inputs],0))</f>
        <v>#N/A</v>
      </c>
      <c r="IA36" s="22" t="e">
        <f ca="1">IF(LARGE(Table_Process_Details[Total '[Water (kg) per kg API'] of Unique Inputs],Table_Process_Details[[#This Row],[Table Row]])=0,NA(),LARGE(Table_Process_Details[Total '[Water (kg) per kg API'] of Unique Inputs],Table_Process_Details[[#This Row],[Table Row]]))</f>
        <v>#N/A</v>
      </c>
      <c r="IB36" s="1" t="e">
        <f ca="1">SUM(OFFSET(Table_Process_Details['[Water (kg) per kg API'] of Unique Inputs Sorted by '[Water (kg) per kg API']],0,0,Table_Process_Details[[#This Row],[Table Row]]))</f>
        <v>#N/A</v>
      </c>
      <c r="IC36" s="1" t="e">
        <f ca="1">"("&amp;TEXT(Table_Process_Details[[#This Row],['[Water (kg) per kg API'] of Unique Inputs Sorted by '[Water (kg) per kg API']]]/SUMIF(Table_Process_Details['[Water (kg) per kg API'] of Unique Inputs Sorted by '[Water (kg) per kg API']],"&lt;&gt;#N/A"),"0%")&amp;")"</f>
        <v>#N/A</v>
      </c>
      <c r="ID36" s="1" t="e">
        <f ca="1">INDEX(Table_Process_Details[Total '[Water (kg) per kg API'] of Unique Inputs (REAGENT)], MATCH(Table_Process_Details[[#This Row],[Unique Inputs Sorted by '[Water (kg) per kg API']]],Table_Process_Details[Unique Process Inputs],0))</f>
        <v>#N/A</v>
      </c>
      <c r="IE36" s="1" t="e">
        <f ca="1">INDEX(Table_Process_Details[Total '[Water (kg) per kg API'] of Unique Inputs (METAL)], MATCH(Table_Process_Details[[#This Row],[Unique Inputs Sorted by '[Water (kg) per kg API']]],Table_Process_Details[Unique Process Inputs],0))</f>
        <v>#N/A</v>
      </c>
      <c r="IF36" s="1" t="e">
        <f ca="1">INDEX(Table_Process_Details[Total '[Water (kg) per kg API'] of Unique Inputs (SOLVENT)], MATCH(Table_Process_Details[[#This Row],[Unique Inputs Sorted by '[Water (kg) per kg API']]],Table_Process_Details[Unique Process Inputs],0))</f>
        <v>#N/A</v>
      </c>
      <c r="IG36" s="1" t="e">
        <f ca="1">INDEX(Table_Process_Details[Total '[Water (kg) per kg API'] of Unique Inputs (WATER)], MATCH(Table_Process_Details[[#This Row],[Unique Inputs Sorted by '[Water (kg) per kg API']]],Table_Process_Details[Unique Process Inputs],0))</f>
        <v>#N/A</v>
      </c>
      <c r="IH36" s="1" t="e">
        <f ca="1">INDEX(Table_Process_Details[Total '[Water (kg) per kg API'] of Unique Inputs (ENZ&amp;PLNT)], MATCH(Table_Process_Details[[#This Row],[Unique Inputs Sorted by '[Water (kg) per kg API']]],Table_Process_Details[Unique Process Inputs],0))</f>
        <v>#N/A</v>
      </c>
      <c r="II36" s="1" t="e">
        <f ca="1">INDEX(Table_Process_Details[Total '[Water (kg) per kg API'] of Unique Inputs (OTHER)], MATCH(Table_Process_Details[[#This Row],[Unique Inputs Sorted by '[Water (kg) per kg API']]],Table_Process_Details[Unique Process Inputs],0))</f>
        <v>#N/A</v>
      </c>
    </row>
    <row r="37" spans="1:243" customFormat="1" x14ac:dyDescent="0.25">
      <c r="A37" s="22" t="str">
        <f t="shared" si="0"/>
        <v>1) Synthesis of Intermediate (1)</v>
      </c>
      <c r="B37" s="21" t="s">
        <v>4</v>
      </c>
      <c r="C37" s="21" t="s">
        <v>6</v>
      </c>
      <c r="D37" s="22" t="s">
        <v>130</v>
      </c>
      <c r="E37" s="22" t="s">
        <v>130</v>
      </c>
      <c r="F37" s="26">
        <v>450</v>
      </c>
      <c r="G37" s="26"/>
      <c r="H37" s="26"/>
      <c r="I37" s="26"/>
      <c r="J37" s="26" t="str">
        <f>INDEX(Process_Steps[Reference],MATCH(Table_Process_Details[[#This Row],[Step Name]],Process_Steps[Name],0))</f>
        <v>Reference Document  for Step 1</v>
      </c>
      <c r="K37" s="27" t="str">
        <f>INDEX(Process_Steps[Real or Virtual?],MATCH(Table_Process_Details[[#This Row],[Step Name]],Process_Steps[Name],0))</f>
        <v>Real</v>
      </c>
      <c r="L3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108-88-3</v>
      </c>
      <c r="M3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37" s="26">
        <f>INDEX(Table_Process_Details[Physical Mass (kg)],MATCH(1,INDEX(((Table_Process_Details[Step Name]=Table_Process_Details[[#This Row],[Step Name]])*(Table_Process_Details[Input or Output]="Output")),0),0))</f>
        <v>51.020408163265309</v>
      </c>
      <c r="O37" s="29">
        <f ca="1">INDEX(Process_Steps[Step Scale Factor for 1kg Packaged API],MATCH(Table_Process_Details[[#This Row],[Step Name]],Process_Steps[Name],0))</f>
        <v>6.9901025556863543E-3</v>
      </c>
      <c r="P3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6.75</v>
      </c>
      <c r="Q3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13.75</v>
      </c>
      <c r="R37" s="26">
        <f ca="1">_xlfn.SWITCH(Run_Reset_PNG,"Reset",Table_Process_Details[[#This Row],[X Init]],"Run",Table_Process_Details[[#This Row],[X Moved]],"Freeze",Table_Process_Details[[#This Row],[X Mover]])</f>
        <v>3.8644183118561051</v>
      </c>
      <c r="S37" s="26">
        <f ca="1">_xlfn.SWITCH(Run_Reset_PNG,"Reset",Table_Process_Details[[#This Row],[Y Init]],"Run",Table_Process_Details[[#This Row],[Y Moved]],"Freeze",Table_Process_Details[[#This Row],[Y Mover]])</f>
        <v>18.840226240506983</v>
      </c>
      <c r="T37" s="26" cm="1">
        <f t="array" aca="1" ref="T3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8.7983996447738377</v>
      </c>
      <c r="U37" s="26" cm="1">
        <f t="array" aca="1" ref="U3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-6.2637294495125069</v>
      </c>
      <c r="V37" s="26" cm="1">
        <f t="array" aca="1" ref="V37" ca="1">SUM(--(SQRT((Table_Process_Details[[#This Row],[X Mover]]-Table_Process_Details[X Mover])^2+(Table_Process_Details[[#This Row],[Y Mover]]-Table_Process_Details[Y Mover])^2)&lt;Collision_Distance))</f>
        <v>22</v>
      </c>
      <c r="W37" s="26" cm="1">
        <f t="array" aca="1" ref="W3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-0.413271337686476</v>
      </c>
      <c r="X37" s="26" cm="1">
        <f t="array" aca="1" ref="X3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0.36485641726053708</v>
      </c>
      <c r="Y37" s="26" cm="1">
        <f t="array" aca="1" ref="Y3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7" s="26">
        <f>0</f>
        <v>0</v>
      </c>
      <c r="AA37" s="26">
        <f>0</f>
        <v>0</v>
      </c>
      <c r="AB3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-1.9322091559280525</v>
      </c>
      <c r="AC37" s="26" cm="1">
        <f t="array" aca="1" ref="AC3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-9.4201131202534913</v>
      </c>
      <c r="AD37" s="26">
        <f>MIN(1,COUNTA(Table_Process_Details[[#This Row],[target x]]),COUNTA(Table_Process_Details[[#This Row],[target y]]))*COUNTA(Table_Process_Details[Step Name])</f>
        <v>98</v>
      </c>
      <c r="AE3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3.831357810791808</v>
      </c>
      <c r="AF3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18.824244079521787</v>
      </c>
      <c r="AG3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7" s="26" cm="1">
        <f t="array" aca="1" ref="AH37" ca="1">INDEX(Table_Process_Details[X Mover],MATCH(1,INDEX((Table_Process_Details[Input or Output]="Output")*(Table_Process_Details[Step Name]=Table_Process_Details[[#This Row],[Step Name]])*(Table_Process_Details[[#This Row],[Input or Output]]="Input"),0),0))</f>
        <v>0.78891624628593393</v>
      </c>
      <c r="AI37" s="26" cm="1">
        <f t="array" aca="1" ref="AI37" ca="1">INDEX(Table_Process_Details[Y Mover],MATCH(1,INDEX((Table_Process_Details[Input or Output]="Output")*(Table_Process_Details[Step Name]=Table_Process_Details[[#This Row],[Step Name]])*(Table_Process_Details[[#This Row],[Input or Output]]="Input"),0),0))</f>
        <v>21.555431875630404</v>
      </c>
      <c r="AJ37" s="26">
        <f ca="1">SQRT((Table_Process_Details[[#This Row],[X End (To Node Center)]]-Table_Process_Details[[#This Row],[X Guide]])^2+(Table_Process_Details[[#This Row],[Y End (to Node Center)]]-Table_Process_Details[[#This Row],[Y Guide]])^2)</f>
        <v>4.1025668302091525</v>
      </c>
      <c r="AK37" s="26" t="e" cm="1">
        <f t="array" ref="AK37">INDEX(Table_Process_Details[X Mover],MATCH(1,INDEX((Table_Process_Details[Step Name]=Table_Process_Details[[#This Row],[LCA Data Source Subclass]])*(Table_Process_Details[Input or Output]="Output"),0)*(Table_Process_Details[[#This Row],[Input or Output]]="Input"),0))</f>
        <v>#N/A</v>
      </c>
      <c r="AL37" s="26" cm="1">
        <f t="array" aca="1" ref="AL37" ca="1">INDEX(Table_Process_Details[X Mover],MATCH(1,INDEX(((Table_Process_Details[Table Row]=Table_Process_Details[[#This Row],[Table Row]])*(1)),0)*(Table_Process_Details[[#This Row],[Input or Output]]="Input"),0))</f>
        <v>3.8644183118561051</v>
      </c>
      <c r="AM37" s="26" cm="1">
        <f t="array" aca="1" ref="AM37" ca="1">(Table_Process_Details[[#This Row],[X End (To Node Center)]]*Table_Process_Details[[#This Row],[r0]]-Table_Process_Details[[#This Row],[X End (To Node Center)]]*Arrow_Offset+Table_Process_Details[[#This Row],[X Guide]]*Arrow_Offset)/Table_Process_Details[[#This Row],[r0]]</f>
        <v>1.3886387503385258</v>
      </c>
      <c r="AN37" s="26" t="e">
        <f>IF(NOT(Table_Process_Details[[#This Row],[Display As]]="None"),Table_Process_Details[[#This Row],[X Start Prefilter]],NA())</f>
        <v>#N/A</v>
      </c>
      <c r="AO37" s="26">
        <f ca="1">IF(NOT(Table_Process_Details[[#This Row],[Display As]]="None"),Table_Process_Details[[#This Row],[X Guide Prefilter]],NA())</f>
        <v>3.8644183118561051</v>
      </c>
      <c r="AP37" s="26">
        <f ca="1">IF(NOT(Table_Process_Details[[#This Row],[Display As]]="None"),Table_Process_Details[[#This Row],[X End (to Stop Radius) Prefilter]],NA())</f>
        <v>1.3886387503385258</v>
      </c>
      <c r="AQ37" s="26" t="e">
        <f>NA()</f>
        <v>#N/A</v>
      </c>
      <c r="AR37" s="26" t="e" cm="1">
        <f t="array" ref="AR37">INDEX(Table_Process_Details[Y Mover],MATCH(1,INDEX((Table_Process_Details[Step Name]=Table_Process_Details[[#This Row],[LCA Data Source Subclass]])*(Table_Process_Details[Input or Output]="Output"),0)*(Table_Process_Details[[#This Row],[Input or Output]]="Input"),0))</f>
        <v>#N/A</v>
      </c>
      <c r="AS37" s="26" cm="1">
        <f t="array" aca="1" ref="AS37" ca="1">INDEX(Table_Process_Details[Y Mover],MATCH(1,INDEX(((Table_Process_Details[Table Row]=Table_Process_Details[[#This Row],[Table Row]])*(1)),0)*(Table_Process_Details[[#This Row],[Input or Output]]="Input"),0))</f>
        <v>18.840226240506983</v>
      </c>
      <c r="AT37" s="26" cm="1">
        <f t="array" aca="1" ref="AT37" ca="1">(Table_Process_Details[[#This Row],[Y Guide]]*Arrow_Offset-Table_Process_Details[[#This Row],[Y End (to Node Center)]]*Arrow_Offset+Table_Process_Details[[#This Row],[Y End (to Node Center)]]*Table_Process_Details[[#This Row],[r0]])/Table_Process_Details[[#This Row],[r0]]</f>
        <v>21.02596712880311</v>
      </c>
      <c r="AU37" s="26" t="e">
        <f>IF(NOT(Table_Process_Details[[#This Row],[Display As]]="None"),Table_Process_Details[[#This Row],[Y Start Prefilter]],NA())</f>
        <v>#N/A</v>
      </c>
      <c r="AV37" s="26">
        <f ca="1">IF(NOT(Table_Process_Details[[#This Row],[Display As]]="None"),Table_Process_Details[[#This Row],[Y Guide Prefilter]],NA())</f>
        <v>18.840226240506983</v>
      </c>
      <c r="AW37" s="26">
        <f ca="1">IF(NOT(Table_Process_Details[[#This Row],[Display As]]="None"),Table_Process_Details[[#This Row],[Y End (to Stop Radius) Prefilter]],NA())</f>
        <v>21.02596712880311</v>
      </c>
      <c r="AX37" s="26" t="e">
        <f>NA()</f>
        <v>#N/A</v>
      </c>
      <c r="AY37" s="26" t="e">
        <f>IF(Table_Process_Details[[#This Row],[Display As]]="Real Step",Table_Process_Details[[#This Row],[X Mover]],NA())</f>
        <v>#N/A</v>
      </c>
      <c r="AZ37" s="26" t="e">
        <f>IF(Table_Process_Details[[#This Row],[Display As]]="Real Step",Table_Process_Details[[#This Row],[Y Mover]],NA())</f>
        <v>#N/A</v>
      </c>
      <c r="BA37" s="26">
        <f ca="1">IF(Table_Process_Details[[#This Row],[Display As]]="Raw Material",Table_Process_Details[[#This Row],[X Mover]],NA())</f>
        <v>3.8644183118561051</v>
      </c>
      <c r="BB37" s="26">
        <f ca="1">IF(Table_Process_Details[[#This Row],[Display As]]="Raw Material",Table_Process_Details[[#This Row],[Y Mover]],NA())</f>
        <v>18.840226240506983</v>
      </c>
      <c r="BC37" s="26">
        <f ca="1">IF(OR(Table_Process_Details[[#This Row],[Display As]]="Real Step",Table_Process_Details[[#This Row],[Display As]]="Raw Material"),Table_Process_Details[[#This Row],[X Mover]],NA())</f>
        <v>3.8644183118561051</v>
      </c>
      <c r="BD37" s="26">
        <f ca="1">IF(OR(Table_Process_Details[[#This Row],[Display As]]="Real Step",Table_Process_Details[[#This Row],[Display As]]="Raw Material"),Table_Process_Details[[#This Row],[Y Mover]],NA())</f>
        <v>18.840226240506983</v>
      </c>
      <c r="BE37" s="22">
        <f>ROW()-ROW(Table_Process_Details[[#Headers],[Table Row]])</f>
        <v>33</v>
      </c>
      <c r="BF37" s="23" t="str" cm="1">
        <f t="array" aca="1" ref="BF37" ca="1">INDEX(Table_Process_Details[Display Name],MATCH(0,IF(Table_Process_Details[Input or Output]="Input",INDEX(COUNTIF(OFFSET(Table_Process_Details[[#Headers],[Unique Process Inputs]],0,0,Table_Process_Details[[#This Row],[Table Row]],1),Table_Process_Details[Display Name]),),""),0))</f>
        <v>0.2 M reagent H (inorganic) in water</v>
      </c>
      <c r="BG37" s="23">
        <f ca="1">Table_Process_Details[[#This Row],[Physical Mass (kg)]]*Table_Process_Details[[#This Row],[Step Scale Factor for 1kg Packaged API]]</f>
        <v>3.1455461500588595</v>
      </c>
      <c r="BH3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7" s="23">
        <f ca="1">MATCH(Table_Process_Details[[#This Row],[LCA Data Source Class]],INDIRECT(Table_Process_Details[[#This Row],[Input or Output]]),0)</f>
        <v>2</v>
      </c>
      <c r="BJ37" s="23">
        <f ca="1">MATCH(Table_Process_Details[[#This Row],[LCA Data Source Subclass]],INDIRECT(Table_Process_Details[[#This Row],[LCA Data Source Class]]&amp;"[Name]"),0)</f>
        <v>55</v>
      </c>
      <c r="BK37" s="23">
        <f ca="1">IFERROR(INDEX(INDIRECT(Table_Process_Details[[#This Row],[LCA Data Source Class]]&amp;"[Mass Net (kg)]"),MATCH(Table_Process_Details[[#This Row],[LCA Data Source Subclass]],INDIRECT(Table_Process_Details[[#This Row],[LCA Data Source Class]]&amp;"[Name]"),0)),0)</f>
        <v>1.2626287</v>
      </c>
      <c r="BL37" s="23">
        <f ca="1">IFERROR(INDEX(INDIRECT(Table_Process_Details[[#This Row],[LCA Data Source Class]]&amp;"[Energy (MJ)]"),MATCH(Table_Process_Details[[#This Row],[LCA Data Source Subclass]],INDIRECT(Table_Process_Details[[#This Row],[LCA Data Source Class]]&amp;"[Name]"),0)),0)</f>
        <v>63.394986000000003</v>
      </c>
      <c r="BM37" s="23">
        <f ca="1">IFERROR(INDEX(INDIRECT(Table_Process_Details[[#This Row],[LCA Data Source Class]]&amp;"[GWP (kg CO2 equiv.)]"),MATCH(Table_Process_Details[[#This Row],[LCA Data Source Subclass]],INDIRECT(Table_Process_Details[[#This Row],[LCA Data Source Class]]&amp;"[Name]"),0)),0)</f>
        <v>1.4990618</v>
      </c>
      <c r="BN37" s="23">
        <f ca="1">IFERROR(INDEX(INDIRECT(Table_Process_Details[[#This Row],[LCA Data Source Class]]&amp;"[Acidification (kg SO2 equiv.)]"),MATCH(Table_Process_Details[[#This Row],[LCA Data Source Subclass]],INDIRECT(Table_Process_Details[[#This Row],[LCA Data Source Class]]&amp;"[Name]"),0)),0)</f>
        <v>3.7884225999999998E-3</v>
      </c>
      <c r="BO37" s="23">
        <f ca="1">IFERROR(INDEX(INDIRECT(Table_Process_Details[[#This Row],[LCA Data Source Class]]&amp;"[Eutrophication (kg posphate equiv.)]"),MATCH(Table_Process_Details[[#This Row],[LCA Data Source Subclass]],INDIRECT(Table_Process_Details[[#This Row],[LCA Data Source Class]]&amp;"[Name]"),0)),0)</f>
        <v>3.1912181999999999E-4</v>
      </c>
      <c r="BP37" s="23">
        <f ca="1">IFERROR(INDEX(INDIRECT(Table_Process_Details[[#This Row],[LCA Data Source Class]]&amp;"[Water (kg)]"),MATCH(Table_Process_Details[[#This Row],[LCA Data Source Subclass]],INDIRECT(Table_Process_Details[[#This Row],[LCA Data Source Class]]&amp;"[Name]"),0)),0)</f>
        <v>1.0436776999999999</v>
      </c>
      <c r="BQ37" s="27">
        <f ca="1">(Table_Process_Details[[#This Row],[Input or Output]]="Input")*(Table_Process_Details[[#This Row],[LCA Data Source Class]]&lt;&gt;"Process_Steps")*Table_Process_Details[[#This Row],[Scaled Physical Mass per kg API for All Inputs &amp; Outputs]]</f>
        <v>3.1455461500588595</v>
      </c>
      <c r="BR37" s="27">
        <f ca="1">(Table_Process_Details[[#This Row],[Material Class]]="REAGENT")*Table_Process_Details[[#This Row],[Physical Mass per kg API]]</f>
        <v>0</v>
      </c>
      <c r="BS37" s="27">
        <f ca="1">(Table_Process_Details[[#This Row],[Material Class]]="METAL")*Table_Process_Details[[#This Row],[Physical Mass per kg API]]</f>
        <v>0</v>
      </c>
      <c r="BT37" s="27">
        <f ca="1">(Table_Process_Details[[#This Row],[Material Class]]="SOLVENT")*Table_Process_Details[[#This Row],[Physical Mass per kg API]]</f>
        <v>3.1455461500588595</v>
      </c>
      <c r="BU37" s="27">
        <f ca="1">(Table_Process_Details[[#This Row],[Material Class]]="WATER")*Table_Process_Details[[#This Row],[Physical Mass per kg API]]</f>
        <v>0</v>
      </c>
      <c r="BV37" s="27">
        <f ca="1">(Table_Process_Details[[#This Row],[Material Class]]="ENZ&amp;PLNT")*Table_Process_Details[[#This Row],[Physical Mass per kg API]]</f>
        <v>0</v>
      </c>
      <c r="BW37" s="27">
        <f ca="1">(Table_Process_Details[[#This Row],[Material Class]]="OTHER")*Table_Process_Details[[#This Row],[Physical Mass per kg API]]</f>
        <v>0</v>
      </c>
      <c r="BX3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3.1455461500588595</v>
      </c>
      <c r="BY3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3.1455461500588595</v>
      </c>
      <c r="CB3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7" s="1">
        <f ca="1">SUMIFS(Table_Process_Details[RV Physical Mass per kg API],Table_Process_Details[Display Name],Table_Process_Details[[#This Row],[Unique Process Inputs]],Table_Process_Details[Input or Output],"Input")</f>
        <v>0.69901025556824192</v>
      </c>
      <c r="CF37" s="1">
        <f ca="1">SUMIFS(Table_Process_Details[RV Physical Mass per kg API (REAGENT)],Table_Process_Details[Display Name],Table_Process_Details[[#This Row],[Unique Process Inputs]],Table_Process_Details[Input or Output],"Input")</f>
        <v>1.3980205111364839E-3</v>
      </c>
      <c r="CG37" s="1">
        <f ca="1">SUMIFS(Table_Process_Details[RV Physical Mass per kg API (METAL)],Table_Process_Details[Display Name],Table_Process_Details[[#This Row],[Unique Process Inputs]],Table_Process_Details[Input or Output],"Input")</f>
        <v>0</v>
      </c>
      <c r="CH37" s="1">
        <f ca="1">SUMIFS(Table_Process_Details[RV Physical Mass per kg API (SOLVENT)],Table_Process_Details[Display Name],Table_Process_Details[[#This Row],[Unique Process Inputs]],Table_Process_Details[Input or Output],"Input")</f>
        <v>0</v>
      </c>
      <c r="CI37" s="1">
        <f ca="1">SUMIFS(Table_Process_Details[RV Physical Mass per kg API (WATER)],Table_Process_Details[Display Name],Table_Process_Details[[#This Row],[Unique Process Inputs]],Table_Process_Details[Input or Output],"Input")</f>
        <v>0.69761223505710546</v>
      </c>
      <c r="CJ37" s="1">
        <f ca="1">SUMIFS(Table_Process_Details[RV Physical Mass per kg API (ENZ&amp;PLNT)],Table_Process_Details[Display Name],Table_Process_Details[[#This Row],[Unique Process Inputs]],Table_Process_Details[Input or Output],"Input")</f>
        <v>0</v>
      </c>
      <c r="CK37" s="1">
        <f ca="1">SUMIFS(Table_Process_Details[RV Physical Mass per kg API (OTHER)],Table_Process_Details[Display Name],Table_Process_Details[[#This Row],[Unique Process Inputs]],Table_Process_Details[Input or Output],"Input")</f>
        <v>0</v>
      </c>
      <c r="CL37" s="22" t="e">
        <f ca="1">INDEX(Table_Process_Details[Unique Process Inputs],MATCH(Table_Process_Details[[#This Row],['[Physical Mass per kg API'] of Unique Inputs Sorted by '[Physical Mass per kg API']]],Table_Process_Details[Total '[Physical Mass per kg API'] of Unique Inputs],0))</f>
        <v>#N/A</v>
      </c>
      <c r="CM37" s="22" t="e">
        <f ca="1">IF(LARGE(Table_Process_Details[Total '[Physical Mass per kg API'] of Unique Inputs],Table_Process_Details[[#This Row],[Table Row]])=0,NA(),LARGE(Table_Process_Details[Total '[Physical Mass per kg API'] of Unique Inputs],Table_Process_Details[[#This Row],[Table Row]]))</f>
        <v>#N/A</v>
      </c>
      <c r="CN37" s="22" t="e">
        <f ca="1">SUM(OFFSET(Table_Process_Details['[Physical Mass per kg API'] of Unique Inputs Sorted by '[Physical Mass per kg API']],0,0,Table_Process_Details[[#This Row],[Table Row]]))</f>
        <v>#N/A</v>
      </c>
      <c r="CO37" s="22" t="e">
        <f ca="1">"("&amp;TEXT(Table_Process_Details[[#This Row],['[Physical Mass per kg API'] of Unique Inputs Sorted by '[Physical Mass per kg API']]]/SUMIF(Table_Process_Details['[Physical Mass per kg API'] of Unique Inputs Sorted by '[Physical Mass per kg API']],"&lt;&gt;#N/A"),"0%")&amp;")"</f>
        <v>#N/A</v>
      </c>
      <c r="CP37" s="22" t="e">
        <f ca="1">INDEX(Table_Process_Details[Total '[Physical Mass per kg API'] of Unique Inputs (REAGENT)],MATCH(Table_Process_Details[[#This Row],[Unique Inputs Sorted by '[Physical Mass per kg API']]],Table_Process_Details[Unique Process Inputs],0))</f>
        <v>#N/A</v>
      </c>
      <c r="CQ37" s="22" t="e">
        <f ca="1">INDEX(Table_Process_Details[Total '[Physical Mass per kg API'] of Unique Inputs (METAL)],MATCH(Table_Process_Details[[#This Row],[Unique Inputs Sorted by '[Physical Mass per kg API']]],Table_Process_Details[Unique Process Inputs],0))</f>
        <v>#N/A</v>
      </c>
      <c r="CR37" s="22" t="e">
        <f ca="1">INDEX(Table_Process_Details[Total '[Physical Mass per kg API'] of Unique Inputs (SOLVENT)],MATCH(Table_Process_Details[[#This Row],[Unique Inputs Sorted by '[Physical Mass per kg API']]],Table_Process_Details[Unique Process Inputs],0))</f>
        <v>#N/A</v>
      </c>
      <c r="CS37" s="22" t="e">
        <f ca="1">INDEX(Table_Process_Details[Total '[Physical Mass per kg API'] of Unique Inputs (WATER)],MATCH(Table_Process_Details[[#This Row],[Unique Inputs Sorted by '[Physical Mass per kg API']]],Table_Process_Details[Unique Process Inputs],0))</f>
        <v>#N/A</v>
      </c>
      <c r="CT37" s="22" t="e">
        <f ca="1">INDEX(Table_Process_Details[Total '[Physical Mass per kg API'] of Unique Inputs (ENZ&amp;PLNT)],MATCH(Table_Process_Details[[#This Row],[Unique Inputs Sorted by '[Physical Mass per kg API']]],Table_Process_Details[Unique Process Inputs],0))</f>
        <v>#N/A</v>
      </c>
      <c r="CU37" s="22" t="e">
        <f ca="1">INDEX(Table_Process_Details[Total '[Physical Mass per kg API'] of Unique Inputs (OTHER)],MATCH(Table_Process_Details[[#This Row],[Unique Inputs Sorted by '[Physical Mass per kg API']]],Table_Process_Details[Unique Process Inputs],0))</f>
        <v>#N/A</v>
      </c>
      <c r="CV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3.9716568462388229</v>
      </c>
      <c r="CW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3.9716568462388229</v>
      </c>
      <c r="CZ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7" s="22">
        <f ca="1">SUMIFS(Table_Process_Details[RV Mass Net (kg) per kg API],Table_Process_Details[Display Name],Table_Process_Details[[#This Row],[Unique Process Inputs]],Table_Process_Details[Input or Output],"Input")</f>
        <v>2.9408792810862202E-3</v>
      </c>
      <c r="DD37" s="22">
        <f ca="1">SUMIFS(Table_Process_Details[RV Mass Net (kg) per kg API (REAGENT)],Table_Process_Details[Display Name],Table_Process_Details[[#This Row],[Unique Process Inputs]],Table_Process_Details[Input or Output],"Input")</f>
        <v>1.8733474849228886E-3</v>
      </c>
      <c r="DE37" s="22">
        <f ca="1">SUMIFS(Table_Process_Details[RV Mass Net (kg) per kg API (METAL)],Table_Process_Details[Display Name],Table_Process_Details[[#This Row],[Unique Process Inputs]],Table_Process_Details[Input or Output],"Input")</f>
        <v>0</v>
      </c>
      <c r="DF37" s="22">
        <f ca="1">SUMIFS(Table_Process_Details[RV Mass Net (kg) per kg API (SOLVENT)],Table_Process_Details[Display Name],Table_Process_Details[[#This Row],[Unique Process Inputs]],Table_Process_Details[Input or Output],"Input")</f>
        <v>0</v>
      </c>
      <c r="DG37" s="22">
        <f ca="1">SUMIFS(Table_Process_Details[RV Mass Net (kg) per kg API (WATER)],Table_Process_Details[Display Name],Table_Process_Details[[#This Row],[Unique Process Inputs]],Table_Process_Details[Input or Output],"Input")</f>
        <v>1.0675317961633319E-3</v>
      </c>
      <c r="DH37" s="22">
        <f ca="1">SUMIFS(Table_Process_Details[RV Mass Net (kg) per kg API (ENZ&amp;PLNT)],Table_Process_Details[Display Name],Table_Process_Details[[#This Row],[Unique Process Inputs]],Table_Process_Details[Input or Output],"Input")</f>
        <v>0</v>
      </c>
      <c r="DI37" s="22">
        <f ca="1">SUMIFS(Table_Process_Details[RV Mass Net (kg) per kg API (OTHER)],Table_Process_Details[Display Name],Table_Process_Details[[#This Row],[Unique Process Inputs]],Table_Process_Details[Input or Output],"Input")</f>
        <v>0</v>
      </c>
      <c r="DJ37" s="22" t="e">
        <f ca="1">INDEX(Table_Process_Details[Unique Process Inputs],MATCH(Table_Process_Details[[#This Row],['[Mass Net (kg) per kg API'] of Unique Inputs Sorted by '[Mass Net (kg) per kg API']]],Table_Process_Details[Total '[Mass Net (kg) per kg API'] of Unique Inputs],0))</f>
        <v>#N/A</v>
      </c>
      <c r="DK37" s="22" t="e">
        <f ca="1">IF(LARGE(Table_Process_Details[Total '[Mass Net (kg) per kg API'] of Unique Inputs],Table_Process_Details[[#This Row],[Table Row]])=0,NA(),LARGE(Table_Process_Details[Total '[Mass Net (kg) per kg API'] of Unique Inputs],Table_Process_Details[[#This Row],[Table Row]]))</f>
        <v>#N/A</v>
      </c>
      <c r="DL37" s="22" t="e">
        <f ca="1">SUM(OFFSET(Table_Process_Details['[Mass Net (kg) per kg API'] of Unique Inputs Sorted by '[Mass Net (kg) per kg API']],0,0,Table_Process_Details[[#This Row],[Table Row]]))</f>
        <v>#N/A</v>
      </c>
      <c r="DM37" s="22" t="e">
        <f ca="1">"("&amp;TEXT(Table_Process_Details[[#This Row],['[Mass Net (kg) per kg API'] of Unique Inputs Sorted by '[Mass Net (kg) per kg API']]]/SUMIF(Table_Process_Details['[Mass Net (kg) per kg API'] of Unique Inputs Sorted by '[Mass Net (kg) per kg API']],"&lt;&gt;#N/A"),"0%")&amp;")"</f>
        <v>#N/A</v>
      </c>
      <c r="DN37" s="22" t="e">
        <f ca="1">INDEX(Table_Process_Details[Total '[Mass Net (kg) per kg API'] of Unique Inputs (REAGENT)], MATCH(Table_Process_Details[[#This Row],[Unique Inputs Sorted by '[Mass Net (kg) per kg API']]],Table_Process_Details[Unique Process Inputs],0))</f>
        <v>#N/A</v>
      </c>
      <c r="DO37" s="22" t="e">
        <f ca="1">INDEX(Table_Process_Details[Total '[Mass Net (kg) per kg API'] of Unique Inputs (METAL)], MATCH(Table_Process_Details[[#This Row],[Unique Inputs Sorted by '[Mass Net (kg) per kg API']]],Table_Process_Details[Unique Process Inputs],0))</f>
        <v>#N/A</v>
      </c>
      <c r="DP37" s="22" t="e">
        <f ca="1">INDEX(Table_Process_Details[Total '[Mass Net (kg) per kg API'] of Unique Inputs (SOLVENT)], MATCH(Table_Process_Details[[#This Row],[Unique Inputs Sorted by '[Mass Net (kg) per kg API']]],Table_Process_Details[Unique Process Inputs],0))</f>
        <v>#N/A</v>
      </c>
      <c r="DQ37" s="22" t="e">
        <f ca="1">INDEX(Table_Process_Details[Total '[Mass Net (kg) per kg API'] of Unique Inputs (WATER)], MATCH(Table_Process_Details[[#This Row],[Unique Inputs Sorted by '[Mass Net (kg) per kg API']]],Table_Process_Details[Unique Process Inputs],0))</f>
        <v>#N/A</v>
      </c>
      <c r="DR37" s="22" t="e">
        <f ca="1">INDEX(Table_Process_Details[Total '[Mass Net (kg) per kg API'] of Unique Inputs (ENZ&amp;PLNT)], MATCH(Table_Process_Details[[#This Row],[Unique Inputs Sorted by '[Mass Net (kg) per kg API']]],Table_Process_Details[Unique Process Inputs],0))</f>
        <v>#N/A</v>
      </c>
      <c r="DS37" s="22" t="e">
        <f ca="1">INDEX(Table_Process_Details[Total '[Mass Net (kg) per kg API'] of Unique Inputs (OTHER)], MATCH(Table_Process_Details[[#This Row],[Unique Inputs Sorted by '[Mass Net (kg) per kg API']]],Table_Process_Details[Unique Process Inputs],0))</f>
        <v>#N/A</v>
      </c>
      <c r="DT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199.4118541453353</v>
      </c>
      <c r="DU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199.4118541453353</v>
      </c>
      <c r="DX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7" s="1">
        <f ca="1">SUMIFS(Table_Process_Details[RV Energy (MJ) per kg API],Table_Process_Details[Display Name],Table_Process_Details[[#This Row],[Unique Process Inputs]],Table_Process_Details[Input or Output],"Input")</f>
        <v>2.8156185950648272E-2</v>
      </c>
      <c r="EB37" s="1">
        <f ca="1">SUMIFS(Table_Process_Details[RV Energy (MJ) per kg API (REAGENT)],Table_Process_Details[Display Name],Table_Process_Details[[#This Row],[Unique Process Inputs]],Table_Process_Details[Input or Output],"Input")</f>
        <v>1.4860958033380825E-2</v>
      </c>
      <c r="EC37" s="1">
        <f ca="1">SUMIFS(Table_Process_Details[RV Energy (MJ) per kg API (METAL)],Table_Process_Details[Display Name],Table_Process_Details[[#This Row],[Unique Process Inputs]],Table_Process_Details[Input or Output],"Input")</f>
        <v>0</v>
      </c>
      <c r="ED37" s="1">
        <f ca="1">SUMIFS(Table_Process_Details[RV Energy (MJ) per kg API (SOLVENT)],Table_Process_Details[Display Name],Table_Process_Details[[#This Row],[Unique Process Inputs]],Table_Process_Details[Input or Output],"Input")</f>
        <v>0</v>
      </c>
      <c r="EE37" s="1">
        <f ca="1">SUMIFS(Table_Process_Details[RV Energy (MJ) per kg API (WATER)],Table_Process_Details[Display Name],Table_Process_Details[[#This Row],[Unique Process Inputs]],Table_Process_Details[Input or Output],"Input")</f>
        <v>1.3295227917267448E-2</v>
      </c>
      <c r="EF37" s="1">
        <f ca="1">SUMIFS(Table_Process_Details[RV Energy (MJ) per kg API (ENZ&amp;PLNT)],Table_Process_Details[Display Name],Table_Process_Details[[#This Row],[Unique Process Inputs]],Table_Process_Details[Input or Output],"Input")</f>
        <v>0</v>
      </c>
      <c r="EG37" s="1">
        <f ca="1">SUMIFS(Table_Process_Details[RV Energy (MJ) per kg API (OTHER)],Table_Process_Details[Display Name],Table_Process_Details[[#This Row],[Unique Process Inputs]],Table_Process_Details[Input or Output],"Input")</f>
        <v>0</v>
      </c>
      <c r="EH37" s="1" t="e">
        <f ca="1">INDEX(Table_Process_Details[Unique Process Inputs],MATCH(Table_Process_Details[[#This Row],['[Energy (MJ) per kg API'] of Unique Inputs Sorted by '[Energy (MJ) per kg API']]],Table_Process_Details[Total '[Energy (MJ) per kg API'] of Unique Inputs],0))</f>
        <v>#N/A</v>
      </c>
      <c r="EI37" s="22" t="e">
        <f ca="1">IF(LARGE(Table_Process_Details[Total '[Energy (MJ) per kg API'] of Unique Inputs],Table_Process_Details[[#This Row],[Table Row]])=0,NA(),LARGE(Table_Process_Details[Total '[Energy (MJ) per kg API'] of Unique Inputs],Table_Process_Details[[#This Row],[Table Row]]))</f>
        <v>#N/A</v>
      </c>
      <c r="EJ37" s="22" t="e">
        <f ca="1">SUM(OFFSET(Table_Process_Details['[Energy (MJ) per kg API'] of Unique Inputs Sorted by '[Energy (MJ) per kg API']],0,0,Table_Process_Details[[#This Row],[Table Row]]))</f>
        <v>#N/A</v>
      </c>
      <c r="EK37" s="22" t="e">
        <f ca="1">"("&amp;TEXT(Table_Process_Details[[#This Row],['[Energy (MJ) per kg API'] of Unique Inputs Sorted by '[Energy (MJ) per kg API']]]/SUMIF(Table_Process_Details['[Energy (MJ) per kg API'] of Unique Inputs Sorted by '[Energy (MJ) per kg API']],"&lt;&gt;#N/A"),"0%")&amp;")"</f>
        <v>#N/A</v>
      </c>
      <c r="EL37" s="22" t="e">
        <f ca="1">INDEX(Table_Process_Details[Total '[Energy (MJ) per kg API'] of Unique Inputs (REAGENT)], MATCH(Table_Process_Details[[#This Row],[Unique Inputs Sorted by '[Energy (MJ) per kg API']]],Table_Process_Details[Unique Process Inputs],0))</f>
        <v>#N/A</v>
      </c>
      <c r="EM37" s="22" t="e">
        <f ca="1">INDEX(Table_Process_Details[Total '[Energy (MJ) per kg API'] of Unique Inputs (METAL)], MATCH(Table_Process_Details[[#This Row],[Unique Inputs Sorted by '[Energy (MJ) per kg API']]],Table_Process_Details[Unique Process Inputs],0))</f>
        <v>#N/A</v>
      </c>
      <c r="EN37" s="22" t="e">
        <f ca="1">INDEX(Table_Process_Details[Total '[Energy (MJ) per kg API'] of Unique Inputs (SOLVENT)], MATCH(Table_Process_Details[[#This Row],[Unique Inputs Sorted by '[Energy (MJ) per kg API']]],Table_Process_Details[Unique Process Inputs],0))</f>
        <v>#N/A</v>
      </c>
      <c r="EO37" s="22" t="e">
        <f ca="1">INDEX(Table_Process_Details[Total '[Energy (MJ) per kg API'] of Unique Inputs (WATER)], MATCH(Table_Process_Details[[#This Row],[Unique Inputs Sorted by '[Energy (MJ) per kg API']]],Table_Process_Details[Unique Process Inputs],0))</f>
        <v>#N/A</v>
      </c>
      <c r="EP37" s="22" t="e">
        <f ca="1">INDEX(Table_Process_Details[Total '[Energy (MJ) per kg API'] of Unique Inputs (ENZ&amp;PLNT)], MATCH(Table_Process_Details[[#This Row],[Unique Inputs Sorted by '[Energy (MJ) per kg API']]],Table_Process_Details[Unique Process Inputs],0))</f>
        <v>#N/A</v>
      </c>
      <c r="EQ37" s="22" t="e">
        <f ca="1">INDEX(Table_Process_Details[Total '[Energy (MJ) per kg API'] of Unique Inputs (OTHER)], MATCH(Table_Process_Details[[#This Row],[Unique Inputs Sorted by '[Energy (MJ) per kg API']]],Table_Process_Details[Unique Process Inputs],0))</f>
        <v>#N/A</v>
      </c>
      <c r="ER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4.7153680736903043</v>
      </c>
      <c r="ES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4.7153680736903043</v>
      </c>
      <c r="EV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7" s="22">
        <f ca="1">SUMIFS(Table_Process_Details[RV GWP (kg CO2 equiv.) per kg API],Table_Process_Details[Display Name],Table_Process_Details[[#This Row],[Unique Process Inputs]],Table_Process_Details[Input or Output],"Input")</f>
        <v>2.6454116629898586E-3</v>
      </c>
      <c r="EZ37" s="1">
        <f ca="1">SUMIFS(Table_Process_Details[RV GWP (kg CO2 equiv.) per kg API (REAGENT)],Table_Process_Details[Display Name],Table_Process_Details[[#This Row],[Unique Process Inputs]],Table_Process_Details[Input or Output],"Input")</f>
        <v>1.9368176161284846E-3</v>
      </c>
      <c r="FA37" s="1">
        <f ca="1">SUMIFS(Table_Process_Details[RV GWP (kg CO2 equiv.) per kg API (METAL)],Table_Process_Details[Display Name],Table_Process_Details[[#This Row],[Unique Process Inputs]],Table_Process_Details[Input or Output],"Input")</f>
        <v>0</v>
      </c>
      <c r="FB37" s="1">
        <f ca="1">SUMIFS(Table_Process_Details[RV GWP (kg CO2 equiv.) per kg API (SOLVENT)],Table_Process_Details[Display Name],Table_Process_Details[[#This Row],[Unique Process Inputs]],Table_Process_Details[Input or Output],"Input")</f>
        <v>0</v>
      </c>
      <c r="FC37" s="1">
        <f ca="1">SUMIFS(Table_Process_Details[RV GWP (kg CO2 equiv.) per kg API (WATER)],Table_Process_Details[Display Name],Table_Process_Details[[#This Row],[Unique Process Inputs]],Table_Process_Details[Input or Output],"Input")</f>
        <v>7.0859404686137437E-4</v>
      </c>
      <c r="FD37" s="1">
        <f ca="1">SUMIFS(Table_Process_Details[RV GWP (kg CO2 equiv.) per kg API (ENZ&amp;PLNT)],Table_Process_Details[Display Name],Table_Process_Details[[#This Row],[Unique Process Inputs]],Table_Process_Details[Input or Output],"Input")</f>
        <v>0</v>
      </c>
      <c r="FE37" s="1">
        <f ca="1">SUMIFS(Table_Process_Details[RV GWP (kg CO2 equiv.) per kg API (OTHER)],Table_Process_Details[Display Name],Table_Process_Details[[#This Row],[Unique Process Inputs]],Table_Process_Details[Input or Output],"Input")</f>
        <v>0</v>
      </c>
      <c r="FF37" s="22" t="e">
        <f ca="1">INDEX(Table_Process_Details[Unique Process Inputs],MATCH(Table_Process_Details[[#This Row],['[GWP (kg CO2 equiv.) per kg API'] of Unique Inputs Sorted by '[GWP (kg CO2 equiv.) per kg API']]],Table_Process_Details[Total '[GWP (kg CO2 equiv.) per kg API'] of Unique Inputs],0))</f>
        <v>#N/A</v>
      </c>
      <c r="FG37" s="22" t="e">
        <f ca="1">IF(LARGE(Table_Process_Details[Total '[GWP (kg CO2 equiv.) per kg API'] of Unique Inputs],Table_Process_Details[[#This Row],[Table Row]])=0,NA(),LARGE(Table_Process_Details[Total '[GWP (kg CO2 equiv.) per kg API'] of Unique Inputs],Table_Process_Details[[#This Row],[Table Row]]))</f>
        <v>#N/A</v>
      </c>
      <c r="FH37" s="22" t="e">
        <f ca="1">SUM(OFFSET(Table_Process_Details['[GWP (kg CO2 equiv.) per kg API'] of Unique Inputs Sorted by '[GWP (kg CO2 equiv.) per kg API']],0,0,Table_Process_Details[[#This Row],[Table Row]]))</f>
        <v>#N/A</v>
      </c>
      <c r="FI37" s="22" t="e">
        <f ca="1">"("&amp;TEXT(Table_Process_Details[[#This Row],['[GWP (kg CO2 equiv.) per kg API'] of Unique Inputs Sorted by '[GWP (kg CO2 equiv.) per kg API']]]/SUMIF(Table_Process_Details['[GWP (kg CO2 equiv.) per kg API'] of Unique Inputs Sorted by '[GWP (kg CO2 equiv.) per kg API']],"&lt;&gt;#N/A"),"0%")&amp;")"</f>
        <v>#N/A</v>
      </c>
      <c r="FJ37" s="22" t="e">
        <f ca="1">INDEX(Table_Process_Details[Total '[GWP (kg CO2 equiv.) per kg API'] of Unique Inputs (REAGENT)], MATCH(Table_Process_Details[[#This Row],[Unique Inputs Sorted by '[GWP (kg CO2 equiv.) per kg API']]],Table_Process_Details[Unique Process Inputs],0))</f>
        <v>#N/A</v>
      </c>
      <c r="FK37" s="22" t="e">
        <f ca="1">INDEX(Table_Process_Details[Total '[GWP (kg CO2 equiv.) per kg API'] of Unique Inputs (METAL)], MATCH(Table_Process_Details[[#This Row],[Unique Inputs Sorted by '[GWP (kg CO2 equiv.) per kg API']]],Table_Process_Details[Unique Process Inputs],0))</f>
        <v>#N/A</v>
      </c>
      <c r="FL37" s="22" t="e">
        <f ca="1">INDEX(Table_Process_Details[Total '[GWP (kg CO2 equiv.) per kg API'] of Unique Inputs (SOLVENT)], MATCH(Table_Process_Details[[#This Row],[Unique Inputs Sorted by '[GWP (kg CO2 equiv.) per kg API']]],Table_Process_Details[Unique Process Inputs],0))</f>
        <v>#N/A</v>
      </c>
      <c r="FM37" s="22" t="e">
        <f ca="1">INDEX(Table_Process_Details[Total '[GWP (kg CO2 equiv.) per kg API'] of Unique Inputs (WATER)], MATCH(Table_Process_Details[[#This Row],[Unique Inputs Sorted by '[GWP (kg CO2 equiv.) per kg API']]],Table_Process_Details[Unique Process Inputs],0))</f>
        <v>#N/A</v>
      </c>
      <c r="FN37" s="22" t="e">
        <f ca="1">INDEX(Table_Process_Details[Total '[GWP (kg CO2 equiv.) per kg API'] of Unique Inputs (ENZ&amp;PLNT)], MATCH(Table_Process_Details[[#This Row],[Unique Inputs Sorted by '[GWP (kg CO2 equiv.) per kg API']]],Table_Process_Details[Unique Process Inputs],0))</f>
        <v>#N/A</v>
      </c>
      <c r="FO37" s="22" t="e">
        <f ca="1">INDEX(Table_Process_Details[Total '[GWP (kg CO2 equiv.) per kg API'] of Unique Inputs (OTHER)], MATCH(Table_Process_Details[[#This Row],[Unique Inputs Sorted by '[GWP (kg CO2 equiv.) per kg API']]],Table_Process_Details[Unique Process Inputs],0))</f>
        <v>#N/A</v>
      </c>
      <c r="FP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1.1916658124225973E-2</v>
      </c>
      <c r="FQ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1.1916658124225973E-2</v>
      </c>
      <c r="FT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7" s="22">
        <f ca="1">SUMIFS(Table_Process_Details[RV Acidification (kg SO2 equiv.) per kg API],Table_Process_Details[Display Name],Table_Process_Details[[#This Row],[Unique Process Inputs]],Table_Process_Details[Input or Output],"Input")</f>
        <v>2.2147197772726571E-5</v>
      </c>
      <c r="FX37" s="1">
        <f ca="1">SUMIFS(Table_Process_Details[RV Acidification (kg SO2 equiv.) per kg API (REAGENT)],Table_Process_Details[Display Name],Table_Process_Details[[#This Row],[Unique Process Inputs]],Table_Process_Details[Input or Output],"Input")</f>
        <v>1.9432485104797125E-5</v>
      </c>
      <c r="FY37" s="1">
        <f ca="1">SUMIFS(Table_Process_Details[RV Acidification (kg SO2 equiv.) per kg API (METAL)],Table_Process_Details[Display Name],Table_Process_Details[[#This Row],[Unique Process Inputs]],Table_Process_Details[Input or Output],"Input")</f>
        <v>0</v>
      </c>
      <c r="FZ37" s="1">
        <f ca="1">SUMIFS(Table_Process_Details[RV Acidification (kg SO2 equiv.) per kg API (SOLVENT)],Table_Process_Details[Display Name],Table_Process_Details[[#This Row],[Unique Process Inputs]],Table_Process_Details[Input or Output],"Input")</f>
        <v>0</v>
      </c>
      <c r="GA37" s="1">
        <f ca="1">SUMIFS(Table_Process_Details[RV Acidification (kg SO2 equiv.) per kg API (WATER)],Table_Process_Details[Display Name],Table_Process_Details[[#This Row],[Unique Process Inputs]],Table_Process_Details[Input or Output],"Input")</f>
        <v>2.7147126679294471E-6</v>
      </c>
      <c r="GB37" s="1">
        <f ca="1">SUMIFS(Table_Process_Details[RV Acidification (kg SO2 equiv.) per kg API (ENZ&amp;PLNT)],Table_Process_Details[Display Name],Table_Process_Details[[#This Row],[Unique Process Inputs]],Table_Process_Details[Input or Output],"Input")</f>
        <v>0</v>
      </c>
      <c r="GC37" s="1">
        <f ca="1">SUMIFS(Table_Process_Details[RV Acidification (kg SO2 equiv.) per kg API (OTHER)],Table_Process_Details[Display Name],Table_Process_Details[[#This Row],[Unique Process Inputs]],Table_Process_Details[Input or Output],"Input")</f>
        <v>0</v>
      </c>
      <c r="GD3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3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37" s="22" t="e">
        <f ca="1">SUM(OFFSET(Table_Process_Details['[Acidification (kg SO2 equiv.) per kg API'] of Unique Inputs Sorted by '[Acidification (kg SO2 equiv.) per kg API']],0,0,Table_Process_Details[[#This Row],[Table Row]]))</f>
        <v>#N/A</v>
      </c>
      <c r="GG3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37" s="22" t="e">
        <f ca="1">INDEX(Table_Process_Details[Total '[Acidification (kg SO2 equiv.) per kg API'] of Unique Inputs (REAGENT)], MATCH(Table_Process_Details[[#This Row],[Unique Inputs Sorted by '[Acidification (kg SO2 equiv.) per kg API']]],Table_Process_Details[Unique Process Inputs],0))</f>
        <v>#N/A</v>
      </c>
      <c r="GI37" s="22" t="e">
        <f ca="1">INDEX(Table_Process_Details[Total '[Acidification (kg SO2 equiv.) per kg API'] of Unique Inputs (METAL)], MATCH(Table_Process_Details[[#This Row],[Unique Inputs Sorted by '[Acidification (kg SO2 equiv.) per kg API']]],Table_Process_Details[Unique Process Inputs],0))</f>
        <v>#N/A</v>
      </c>
      <c r="GJ37" s="22" t="e">
        <f ca="1">INDEX(Table_Process_Details[Total '[Acidification (kg SO2 equiv.) per kg API'] of Unique Inputs (SOLVENT)], MATCH(Table_Process_Details[[#This Row],[Unique Inputs Sorted by '[Acidification (kg SO2 equiv.) per kg API']]],Table_Process_Details[Unique Process Inputs],0))</f>
        <v>#N/A</v>
      </c>
      <c r="GK37" s="22" t="e">
        <f ca="1">INDEX(Table_Process_Details[Total '[Acidification (kg SO2 equiv.) per kg API'] of Unique Inputs (WATER)], MATCH(Table_Process_Details[[#This Row],[Unique Inputs Sorted by '[Acidification (kg SO2 equiv.) per kg API']]],Table_Process_Details[Unique Process Inputs],0))</f>
        <v>#N/A</v>
      </c>
      <c r="GL37" s="22" t="e">
        <f ca="1">INDEX(Table_Process_Details[Total '[Acidification (kg SO2 equiv.) per kg API'] of Unique Inputs (ENZ&amp;PLNT)], MATCH(Table_Process_Details[[#This Row],[Unique Inputs Sorted by '[Acidification (kg SO2 equiv.) per kg API']]],Table_Process_Details[Unique Process Inputs],0))</f>
        <v>#N/A</v>
      </c>
      <c r="GM37" s="22" t="e">
        <f ca="1">INDEX(Table_Process_Details[Total '[Acidification (kg SO2 equiv.) per kg API'] of Unique Inputs (OTHER)], MATCH(Table_Process_Details[[#This Row],[Unique Inputs Sorted by '[Acidification (kg SO2 equiv.) per kg API']]],Table_Process_Details[Unique Process Inputs],0))</f>
        <v>#N/A</v>
      </c>
      <c r="GN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1.0038124123007764E-3</v>
      </c>
      <c r="GO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1.0038124123007764E-3</v>
      </c>
      <c r="GR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7" s="22">
        <f ca="1">SUMIFS(Table_Process_Details[RV Eutrophication (kg phosphate equiv.) per kg API],Table_Process_Details[Display Name],Table_Process_Details[[#This Row],[Unique Process Inputs]],Table_Process_Details[Input or Output],"Input")</f>
        <v>2.5957976941705282E-6</v>
      </c>
      <c r="GV37" s="1">
        <f ca="1">SUMIFS(Table_Process_Details[RV Eutrophication (kg phosphate equiv.) per kg API (REAGENT)],Table_Process_Details[Display Name],Table_Process_Details[[#This Row],[Unique Process Inputs]],Table_Process_Details[Input or Output],"Input")</f>
        <v>9.7861435779553877E-7</v>
      </c>
      <c r="GW37" s="1">
        <f ca="1">SUMIFS(Table_Process_Details[RV Eutrophication (kg phosphate equiv.) per kg API (METAL)],Table_Process_Details[Display Name],Table_Process_Details[[#This Row],[Unique Process Inputs]],Table_Process_Details[Input or Output],"Input")</f>
        <v>0</v>
      </c>
      <c r="GX37" s="1">
        <f ca="1">SUMIFS(Table_Process_Details[RV Eutrophication (kg phosphate equiv.) per kg API (SOLVENT)],Table_Process_Details[Display Name],Table_Process_Details[[#This Row],[Unique Process Inputs]],Table_Process_Details[Input or Output],"Input")</f>
        <v>0</v>
      </c>
      <c r="GY37" s="1">
        <f ca="1">SUMIFS(Table_Process_Details[RV Eutrophication (kg phosphate equiv.) per kg API (WATER)],Table_Process_Details[Display Name],Table_Process_Details[[#This Row],[Unique Process Inputs]],Table_Process_Details[Input or Output],"Input")</f>
        <v>1.6171833363749892E-6</v>
      </c>
      <c r="GZ37" s="1">
        <f ca="1">SUMIFS(Table_Process_Details[RV Eutrophication (kg phosphate equiv.) per kg API (ENZ&amp;PLNT)],Table_Process_Details[Display Name],Table_Process_Details[[#This Row],[Unique Process Inputs]],Table_Process_Details[Input or Output],"Input")</f>
        <v>0</v>
      </c>
      <c r="HA37" s="1">
        <f ca="1">SUMIFS(Table_Process_Details[RV Eutrophication (kg phosphate equiv.) per kg API (OTHER)],Table_Process_Details[Display Name],Table_Process_Details[[#This Row],[Unique Process Inputs]],Table_Process_Details[Input or Output],"Input")</f>
        <v>0</v>
      </c>
      <c r="HB3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3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37" s="22" t="e">
        <f ca="1">SUM(OFFSET(Table_Process_Details['[Eutrophication (kg posphate equiv.) per kg API'] of Unique Inputs Sorted by '[Eutrophication (kg posphate equiv.) per kg API']],0,0,Table_Process_Details[[#This Row],[Table Row]]))</f>
        <v>#N/A</v>
      </c>
      <c r="HE3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37" s="1" t="e">
        <f ca="1">INDEX(Table_Process_Details[Total '[Eutrophication (kg posphate equiv.) per kg API'] of Unique Inputs (REAGENT)], MATCH(Table_Process_Details[[#This Row],[Unique Inputs Sorted by '[Eutrophication (kg posphate equiv.) per kg API']]],Table_Process_Details[Unique Process Inputs],0))</f>
        <v>#N/A</v>
      </c>
      <c r="HG37" s="1" t="e">
        <f ca="1">INDEX(Table_Process_Details[Total '[Eutrophication (kg posphate equiv.) per kg API'] of Unique Inputs (METAL)], MATCH(Table_Process_Details[[#This Row],[Unique Inputs Sorted by '[Eutrophication (kg posphate equiv.) per kg API']]],Table_Process_Details[Unique Process Inputs],0))</f>
        <v>#N/A</v>
      </c>
      <c r="HH37" s="1" t="e">
        <f ca="1">INDEX(Table_Process_Details[Total '[Eutrophication (kg posphate equiv.) per kg API'] of Unique Inputs (SOLVENT)], MATCH(Table_Process_Details[[#This Row],[Unique Inputs Sorted by '[Eutrophication (kg posphate equiv.) per kg API']]],Table_Process_Details[Unique Process Inputs],0))</f>
        <v>#N/A</v>
      </c>
      <c r="HI37" s="1" t="e">
        <f ca="1">INDEX(Table_Process_Details[Total '[Eutrophication (kg posphate equiv.) per kg API'] of Unique Inputs (WATER)], MATCH(Table_Process_Details[[#This Row],[Unique Inputs Sorted by '[Eutrophication (kg posphate equiv.) per kg API']]],Table_Process_Details[Unique Process Inputs],0))</f>
        <v>#N/A</v>
      </c>
      <c r="HJ37" s="1" t="e">
        <f ca="1">INDEX(Table_Process_Details[Total '[Eutrophication (kg posphate equiv.) per kg API'] of Unique Inputs (ENZ&amp;PLNT)], MATCH(Table_Process_Details[[#This Row],[Unique Inputs Sorted by '[Eutrophication (kg posphate equiv.) per kg API']]],Table_Process_Details[Unique Process Inputs],0))</f>
        <v>#N/A</v>
      </c>
      <c r="HK37" s="1" t="e">
        <f ca="1">INDEX(Table_Process_Details[Total '[Eutrophication (kg posphate equiv.) per kg API'] of Unique Inputs (OTHER)], MATCH(Table_Process_Details[[#This Row],[Unique Inputs Sorted by '[Eutrophication (kg posphate equiv.) per kg API']]],Table_Process_Details[Unique Process Inputs],0))</f>
        <v>#N/A</v>
      </c>
      <c r="HL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3.2829363711372852</v>
      </c>
      <c r="HM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3.2829363711372852</v>
      </c>
      <c r="HP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7" s="1">
        <f ca="1">SUMIFS(Table_Process_Details[RV Water (kg) per kg API],Table_Process_Details[Display Name],Table_Process_Details[[#This Row],[Unique Process Inputs]],Table_Process_Details[Input or Output],"Input")</f>
        <v>0.8822941430262955</v>
      </c>
      <c r="HT37" s="1">
        <f ca="1">SUMIFS(Table_Process_Details[RV Water (kg) per kg API (REAGENT)],Table_Process_Details[Display Name],Table_Process_Details[[#This Row],[Unique Process Inputs]],Table_Process_Details[Input or Output],"Input")</f>
        <v>9.6635371791287171E-4</v>
      </c>
      <c r="HU37" s="1">
        <f ca="1">SUMIFS(Table_Process_Details[RV Water (kg) per kg API (METAL)],Table_Process_Details[Display Name],Table_Process_Details[[#This Row],[Unique Process Inputs]],Table_Process_Details[Input or Output],"Input")</f>
        <v>0</v>
      </c>
      <c r="HV37" s="1">
        <f ca="1">SUMIFS(Table_Process_Details[RV Water (kg) per kg API (SOLVENT)],Table_Process_Details[Display Name],Table_Process_Details[[#This Row],[Unique Process Inputs]],Table_Process_Details[Input or Output],"Input")</f>
        <v>0</v>
      </c>
      <c r="HW37" s="1">
        <f ca="1">SUMIFS(Table_Process_Details[RV Water (kg) per kg API (WATER)],Table_Process_Details[Display Name],Table_Process_Details[[#This Row],[Unique Process Inputs]],Table_Process_Details[Input or Output],"Input")</f>
        <v>0.88132778930838263</v>
      </c>
      <c r="HX37" s="1">
        <f ca="1">SUMIFS(Table_Process_Details[RV Water (kg) per kg API (ENZ&amp;PLNT)],Table_Process_Details[Display Name],Table_Process_Details[[#This Row],[Unique Process Inputs]],Table_Process_Details[Input or Output],"Input")</f>
        <v>0</v>
      </c>
      <c r="HY37" s="1">
        <f ca="1">SUMIFS(Table_Process_Details[RV Water (kg) per kg API (OTHER)],Table_Process_Details[Display Name],Table_Process_Details[[#This Row],[Unique Process Inputs]],Table_Process_Details[Input or Output],"Input")</f>
        <v>0</v>
      </c>
      <c r="HZ37" s="22" t="e">
        <f ca="1">INDEX(Table_Process_Details[Unique Process Inputs],MATCH(Table_Process_Details[[#This Row],['[Water (kg) per kg API'] of Unique Inputs Sorted by '[Water (kg) per kg API']]],Table_Process_Details[Total '[Water (kg) per kg API'] of Unique Inputs],0))</f>
        <v>#N/A</v>
      </c>
      <c r="IA37" s="22" t="e">
        <f ca="1">IF(LARGE(Table_Process_Details[Total '[Water (kg) per kg API'] of Unique Inputs],Table_Process_Details[[#This Row],[Table Row]])=0,NA(),LARGE(Table_Process_Details[Total '[Water (kg) per kg API'] of Unique Inputs],Table_Process_Details[[#This Row],[Table Row]]))</f>
        <v>#N/A</v>
      </c>
      <c r="IB37" s="1" t="e">
        <f ca="1">SUM(OFFSET(Table_Process_Details['[Water (kg) per kg API'] of Unique Inputs Sorted by '[Water (kg) per kg API']],0,0,Table_Process_Details[[#This Row],[Table Row]]))</f>
        <v>#N/A</v>
      </c>
      <c r="IC37" s="1" t="e">
        <f ca="1">"("&amp;TEXT(Table_Process_Details[[#This Row],['[Water (kg) per kg API'] of Unique Inputs Sorted by '[Water (kg) per kg API']]]/SUMIF(Table_Process_Details['[Water (kg) per kg API'] of Unique Inputs Sorted by '[Water (kg) per kg API']],"&lt;&gt;#N/A"),"0%")&amp;")"</f>
        <v>#N/A</v>
      </c>
      <c r="ID37" s="1" t="e">
        <f ca="1">INDEX(Table_Process_Details[Total '[Water (kg) per kg API'] of Unique Inputs (REAGENT)], MATCH(Table_Process_Details[[#This Row],[Unique Inputs Sorted by '[Water (kg) per kg API']]],Table_Process_Details[Unique Process Inputs],0))</f>
        <v>#N/A</v>
      </c>
      <c r="IE37" s="1" t="e">
        <f ca="1">INDEX(Table_Process_Details[Total '[Water (kg) per kg API'] of Unique Inputs (METAL)], MATCH(Table_Process_Details[[#This Row],[Unique Inputs Sorted by '[Water (kg) per kg API']]],Table_Process_Details[Unique Process Inputs],0))</f>
        <v>#N/A</v>
      </c>
      <c r="IF37" s="1" t="e">
        <f ca="1">INDEX(Table_Process_Details[Total '[Water (kg) per kg API'] of Unique Inputs (SOLVENT)], MATCH(Table_Process_Details[[#This Row],[Unique Inputs Sorted by '[Water (kg) per kg API']]],Table_Process_Details[Unique Process Inputs],0))</f>
        <v>#N/A</v>
      </c>
      <c r="IG37" s="1" t="e">
        <f ca="1">INDEX(Table_Process_Details[Total '[Water (kg) per kg API'] of Unique Inputs (WATER)], MATCH(Table_Process_Details[[#This Row],[Unique Inputs Sorted by '[Water (kg) per kg API']]],Table_Process_Details[Unique Process Inputs],0))</f>
        <v>#N/A</v>
      </c>
      <c r="IH37" s="1" t="e">
        <f ca="1">INDEX(Table_Process_Details[Total '[Water (kg) per kg API'] of Unique Inputs (ENZ&amp;PLNT)], MATCH(Table_Process_Details[[#This Row],[Unique Inputs Sorted by '[Water (kg) per kg API']]],Table_Process_Details[Unique Process Inputs],0))</f>
        <v>#N/A</v>
      </c>
      <c r="II37" s="1" t="e">
        <f ca="1">INDEX(Table_Process_Details[Total '[Water (kg) per kg API'] of Unique Inputs (OTHER)], MATCH(Table_Process_Details[[#This Row],[Unique Inputs Sorted by '[Water (kg) per kg API']]],Table_Process_Details[Unique Process Inputs],0))</f>
        <v>#N/A</v>
      </c>
    </row>
    <row r="38" spans="1:243" customFormat="1" x14ac:dyDescent="0.25">
      <c r="A38" s="22" t="str">
        <f t="shared" si="0"/>
        <v>1) Synthesis of Intermediate (1)</v>
      </c>
      <c r="B38" s="21" t="s">
        <v>4</v>
      </c>
      <c r="C38" s="21" t="s">
        <v>6</v>
      </c>
      <c r="D38" s="22" t="s">
        <v>146</v>
      </c>
      <c r="E38" s="22" t="s">
        <v>814</v>
      </c>
      <c r="F38" s="26">
        <v>1000</v>
      </c>
      <c r="G38" s="26"/>
      <c r="H38" s="26"/>
      <c r="I38" s="26"/>
      <c r="J38" s="26" t="str">
        <f>INDEX(Process_Steps[Reference],MATCH(Table_Process_Details[[#This Row],[Step Name]],Process_Steps[Name],0))</f>
        <v>Reference Document  for Step 1</v>
      </c>
      <c r="K38" s="27" t="str">
        <f>INDEX(Process_Steps[Real or Virtual?],MATCH(Table_Process_Details[[#This Row],[Step Name]],Process_Steps[Name],0))</f>
        <v>Real</v>
      </c>
      <c r="L3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3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38" s="26">
        <f>INDEX(Table_Process_Details[Physical Mass (kg)],MATCH(1,INDEX(((Table_Process_Details[Step Name]=Table_Process_Details[[#This Row],[Step Name]])*(Table_Process_Details[Input or Output]="Output")),0),0))</f>
        <v>51.020408163265309</v>
      </c>
      <c r="O38" s="29">
        <f ca="1">INDEX(Process_Steps[Step Scale Factor for 1kg Packaged API],MATCH(Table_Process_Details[[#This Row],[Step Name]],Process_Steps[Name],0))</f>
        <v>6.9901025556863543E-3</v>
      </c>
      <c r="P3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6.833333333333333</v>
      </c>
      <c r="Q3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13.833333333333332</v>
      </c>
      <c r="R38" s="26">
        <f ca="1">_xlfn.SWITCH(Run_Reset_PNG,"Reset",Table_Process_Details[[#This Row],[X Init]],"Run",Table_Process_Details[[#This Row],[X Moved]],"Freeze",Table_Process_Details[[#This Row],[X Mover]])</f>
        <v>4.7092801648450253</v>
      </c>
      <c r="S38" s="26">
        <f ca="1">_xlfn.SWITCH(Run_Reset_PNG,"Reset",Table_Process_Details[[#This Row],[Y Init]],"Run",Table_Process_Details[[#This Row],[Y Moved]],"Freeze",Table_Process_Details[[#This Row],[Y Mover]])</f>
        <v>20.57489267147923</v>
      </c>
      <c r="T38" s="26" cm="1">
        <f t="array" aca="1" ref="T3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10.720606405381128</v>
      </c>
      <c r="U38" s="26" cm="1">
        <f t="array" aca="1" ref="U3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-0.860423939799416</v>
      </c>
      <c r="V38" s="26" cm="1">
        <f t="array" aca="1" ref="V38" ca="1">SUM(--(SQRT((Table_Process_Details[[#This Row],[X Mover]]-Table_Process_Details[X Mover])^2+(Table_Process_Details[[#This Row],[Y Mover]]-Table_Process_Details[Y Mover])^2)&lt;Collision_Distance))</f>
        <v>22</v>
      </c>
      <c r="W38" s="26" cm="1">
        <f t="array" aca="1" ref="W3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-0.50500736420745473</v>
      </c>
      <c r="X38" s="26" cm="1">
        <f t="array" aca="1" ref="X3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0.12630957974239812</v>
      </c>
      <c r="Y38" s="26" cm="1">
        <f t="array" aca="1" ref="Y3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8" s="26">
        <f>0</f>
        <v>0</v>
      </c>
      <c r="AA38" s="26">
        <f>0</f>
        <v>0</v>
      </c>
      <c r="AB3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-2.3546400824225127</v>
      </c>
      <c r="AC38" s="26" cm="1">
        <f t="array" aca="1" ref="AC3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-10.287446335739615</v>
      </c>
      <c r="AD38" s="26">
        <f>MIN(1,COUNTA(Table_Process_Details[[#This Row],[target x]]),COUNTA(Table_Process_Details[[#This Row],[target y]]))*COUNTA(Table_Process_Details[Step Name])</f>
        <v>98</v>
      </c>
      <c r="AE3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4.6675461521747019</v>
      </c>
      <c r="AF3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20.557118129938409</v>
      </c>
      <c r="AG3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8" s="26" cm="1">
        <f t="array" aca="1" ref="AH38" ca="1">INDEX(Table_Process_Details[X Mover],MATCH(1,INDEX((Table_Process_Details[Input or Output]="Output")*(Table_Process_Details[Step Name]=Table_Process_Details[[#This Row],[Step Name]])*(Table_Process_Details[[#This Row],[Input or Output]]="Input"),0),0))</f>
        <v>0.78891624628593393</v>
      </c>
      <c r="AI38" s="26" cm="1">
        <f t="array" aca="1" ref="AI38" ca="1">INDEX(Table_Process_Details[Y Mover],MATCH(1,INDEX((Table_Process_Details[Input or Output]="Output")*(Table_Process_Details[Step Name]=Table_Process_Details[[#This Row],[Step Name]])*(Table_Process_Details[[#This Row],[Input or Output]]="Input"),0),0))</f>
        <v>21.555431875630404</v>
      </c>
      <c r="AJ38" s="26">
        <f ca="1">SQRT((Table_Process_Details[[#This Row],[X End (To Node Center)]]-Table_Process_Details[[#This Row],[X Guide]])^2+(Table_Process_Details[[#This Row],[Y End (to Node Center)]]-Table_Process_Details[[#This Row],[Y Guide]])^2)</f>
        <v>4.0411273655772613</v>
      </c>
      <c r="AK38" s="26" t="e" cm="1">
        <f t="array" ref="AK38">INDEX(Table_Process_Details[X Mover],MATCH(1,INDEX((Table_Process_Details[Step Name]=Table_Process_Details[[#This Row],[LCA Data Source Subclass]])*(Table_Process_Details[Input or Output]="Output"),0)*(Table_Process_Details[[#This Row],[Input or Output]]="Input"),0))</f>
        <v>#N/A</v>
      </c>
      <c r="AL38" s="26" cm="1">
        <f t="array" aca="1" ref="AL38" ca="1">INDEX(Table_Process_Details[X Mover],MATCH(1,INDEX(((Table_Process_Details[Table Row]=Table_Process_Details[[#This Row],[Table Row]])*(1)),0)*(Table_Process_Details[[#This Row],[Input or Output]]="Input"),0))</f>
        <v>4.7092801648450253</v>
      </c>
      <c r="AM38" s="26" cm="1">
        <f t="array" aca="1" ref="AM38" ca="1">(Table_Process_Details[[#This Row],[X End (To Node Center)]]*Table_Process_Details[[#This Row],[r0]]-Table_Process_Details[[#This Row],[X End (To Node Center)]]*Arrow_Offset+Table_Process_Details[[#This Row],[X Guide]]*Arrow_Offset)/Table_Process_Details[[#This Row],[r0]]</f>
        <v>1.5650093636577158</v>
      </c>
      <c r="AN38" s="26" t="e">
        <f>IF(NOT(Table_Process_Details[[#This Row],[Display As]]="None"),Table_Process_Details[[#This Row],[X Start Prefilter]],NA())</f>
        <v>#N/A</v>
      </c>
      <c r="AO38" s="26">
        <f ca="1">IF(NOT(Table_Process_Details[[#This Row],[Display As]]="None"),Table_Process_Details[[#This Row],[X Guide Prefilter]],NA())</f>
        <v>4.7092801648450253</v>
      </c>
      <c r="AP38" s="26">
        <f ca="1">IF(NOT(Table_Process_Details[[#This Row],[Display As]]="None"),Table_Process_Details[[#This Row],[X End (to Stop Radius) Prefilter]],NA())</f>
        <v>1.5650093636577158</v>
      </c>
      <c r="AQ38" s="26" t="e">
        <f>NA()</f>
        <v>#N/A</v>
      </c>
      <c r="AR38" s="26" t="e" cm="1">
        <f t="array" ref="AR38">INDEX(Table_Process_Details[Y Mover],MATCH(1,INDEX((Table_Process_Details[Step Name]=Table_Process_Details[[#This Row],[LCA Data Source Subclass]])*(Table_Process_Details[Input or Output]="Output"),0)*(Table_Process_Details[[#This Row],[Input or Output]]="Input"),0))</f>
        <v>#N/A</v>
      </c>
      <c r="AS38" s="26" cm="1">
        <f t="array" aca="1" ref="AS38" ca="1">INDEX(Table_Process_Details[Y Mover],MATCH(1,INDEX(((Table_Process_Details[Table Row]=Table_Process_Details[[#This Row],[Table Row]])*(1)),0)*(Table_Process_Details[[#This Row],[Input or Output]]="Input"),0))</f>
        <v>20.57489267147923</v>
      </c>
      <c r="AT38" s="26" cm="1">
        <f t="array" aca="1" ref="AT38" ca="1">(Table_Process_Details[[#This Row],[Y Guide]]*Arrow_Offset-Table_Process_Details[[#This Row],[Y End (to Node Center)]]*Arrow_Offset+Table_Process_Details[[#This Row],[Y End (to Node Center)]]*Table_Process_Details[[#This Row],[r0]])/Table_Process_Details[[#This Row],[r0]]</f>
        <v>21.36131986371937</v>
      </c>
      <c r="AU38" s="26" t="e">
        <f>IF(NOT(Table_Process_Details[[#This Row],[Display As]]="None"),Table_Process_Details[[#This Row],[Y Start Prefilter]],NA())</f>
        <v>#N/A</v>
      </c>
      <c r="AV38" s="26">
        <f ca="1">IF(NOT(Table_Process_Details[[#This Row],[Display As]]="None"),Table_Process_Details[[#This Row],[Y Guide Prefilter]],NA())</f>
        <v>20.57489267147923</v>
      </c>
      <c r="AW38" s="26">
        <f ca="1">IF(NOT(Table_Process_Details[[#This Row],[Display As]]="None"),Table_Process_Details[[#This Row],[Y End (to Stop Radius) Prefilter]],NA())</f>
        <v>21.36131986371937</v>
      </c>
      <c r="AX38" s="26" t="e">
        <f>NA()</f>
        <v>#N/A</v>
      </c>
      <c r="AY38" s="26" t="e">
        <f>IF(Table_Process_Details[[#This Row],[Display As]]="Real Step",Table_Process_Details[[#This Row],[X Mover]],NA())</f>
        <v>#N/A</v>
      </c>
      <c r="AZ38" s="26" t="e">
        <f>IF(Table_Process_Details[[#This Row],[Display As]]="Real Step",Table_Process_Details[[#This Row],[Y Mover]],NA())</f>
        <v>#N/A</v>
      </c>
      <c r="BA38" s="26">
        <f ca="1">IF(Table_Process_Details[[#This Row],[Display As]]="Raw Material",Table_Process_Details[[#This Row],[X Mover]],NA())</f>
        <v>4.7092801648450253</v>
      </c>
      <c r="BB38" s="26">
        <f ca="1">IF(Table_Process_Details[[#This Row],[Display As]]="Raw Material",Table_Process_Details[[#This Row],[Y Mover]],NA())</f>
        <v>20.57489267147923</v>
      </c>
      <c r="BC38" s="26">
        <f ca="1">IF(OR(Table_Process_Details[[#This Row],[Display As]]="Real Step",Table_Process_Details[[#This Row],[Display As]]="Raw Material"),Table_Process_Details[[#This Row],[X Mover]],NA())</f>
        <v>4.7092801648450253</v>
      </c>
      <c r="BD38" s="26">
        <f ca="1">IF(OR(Table_Process_Details[[#This Row],[Display As]]="Real Step",Table_Process_Details[[#This Row],[Display As]]="Raw Material"),Table_Process_Details[[#This Row],[Y Mover]],NA())</f>
        <v>20.57489267147923</v>
      </c>
      <c r="BE38" s="22">
        <f>ROW()-ROW(Table_Process_Details[[#Headers],[Table Row]])</f>
        <v>34</v>
      </c>
      <c r="BF38" s="23" t="str" cm="1">
        <f t="array" aca="1" ref="BF38" ca="1">INDEX(Table_Process_Details[Display Name],MATCH(0,IF(Table_Process_Details[Input or Output]="Input",INDEX(COUNTIF(OFFSET(Table_Process_Details[[#Headers],[Unique Process Inputs]],0,0,Table_Process_Details[[#This Row],[Table Row]],1),Table_Process_Details[Display Name]),),""),0))</f>
        <v>reagent I (organic)</v>
      </c>
      <c r="BG38" s="23">
        <f ca="1">Table_Process_Details[[#This Row],[Physical Mass (kg)]]*Table_Process_Details[[#This Row],[Step Scale Factor for 1kg Packaged API]]</f>
        <v>6.9901025556863541</v>
      </c>
      <c r="BH3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8" s="23">
        <f ca="1">MATCH(Table_Process_Details[[#This Row],[LCA Data Source Class]],INDIRECT(Table_Process_Details[[#This Row],[Input or Output]]),0)</f>
        <v>2</v>
      </c>
      <c r="BJ38" s="23">
        <f ca="1">MATCH(Table_Process_Details[[#This Row],[LCA Data Source Subclass]],INDIRECT(Table_Process_Details[[#This Row],[LCA Data Source Class]]&amp;"[Name]"),0)</f>
        <v>64</v>
      </c>
      <c r="BK38" s="23">
        <f ca="1">IFERROR(INDEX(INDIRECT(Table_Process_Details[[#This Row],[LCA Data Source Class]]&amp;"[Mass Net (kg)]"),MATCH(Table_Process_Details[[#This Row],[LCA Data Source Subclass]],INDIRECT(Table_Process_Details[[#This Row],[LCA Data Source Class]]&amp;"[Name]"),0)),0)</f>
        <v>1.5302652999999999E-3</v>
      </c>
      <c r="BL38" s="23">
        <f ca="1">IFERROR(INDEX(INDIRECT(Table_Process_Details[[#This Row],[LCA Data Source Class]]&amp;"[Energy (MJ)]"),MATCH(Table_Process_Details[[#This Row],[LCA Data Source Subclass]],INDIRECT(Table_Process_Details[[#This Row],[LCA Data Source Class]]&amp;"[Name]"),0)),0)</f>
        <v>1.9058192000000002E-2</v>
      </c>
      <c r="BM38" s="23">
        <f ca="1">IFERROR(INDEX(INDIRECT(Table_Process_Details[[#This Row],[LCA Data Source Class]]&amp;"[GWP (kg CO2 equiv.)]"),MATCH(Table_Process_Details[[#This Row],[LCA Data Source Subclass]],INDIRECT(Table_Process_Details[[#This Row],[LCA Data Source Class]]&amp;"[Name]"),0)),0)</f>
        <v>1.015742E-3</v>
      </c>
      <c r="BN38" s="23">
        <f ca="1">IFERROR(INDEX(INDIRECT(Table_Process_Details[[#This Row],[LCA Data Source Class]]&amp;"[Acidification (kg SO2 equiv.)]"),MATCH(Table_Process_Details[[#This Row],[LCA Data Source Subclass]],INDIRECT(Table_Process_Details[[#This Row],[LCA Data Source Class]]&amp;"[Name]"),0)),0)</f>
        <v>3.8914349999999996E-6</v>
      </c>
      <c r="BO38" s="23">
        <f ca="1">IFERROR(INDEX(INDIRECT(Table_Process_Details[[#This Row],[LCA Data Source Class]]&amp;"[Eutrophication (kg posphate equiv.)]"),MATCH(Table_Process_Details[[#This Row],[LCA Data Source Subclass]],INDIRECT(Table_Process_Details[[#This Row],[LCA Data Source Class]]&amp;"[Name]"),0)),0)</f>
        <v>2.3181694000000001E-6</v>
      </c>
      <c r="BP38" s="23">
        <f ca="1">IFERROR(INDEX(INDIRECT(Table_Process_Details[[#This Row],[LCA Data Source Class]]&amp;"[Water (kg)]"),MATCH(Table_Process_Details[[#This Row],[LCA Data Source Subclass]],INDIRECT(Table_Process_Details[[#This Row],[LCA Data Source Class]]&amp;"[Name]"),0)),0)</f>
        <v>1.2633490999999999</v>
      </c>
      <c r="BQ38" s="27">
        <f ca="1">(Table_Process_Details[[#This Row],[Input or Output]]="Input")*(Table_Process_Details[[#This Row],[LCA Data Source Class]]&lt;&gt;"Process_Steps")*Table_Process_Details[[#This Row],[Scaled Physical Mass per kg API for All Inputs &amp; Outputs]]</f>
        <v>6.9901025556863541</v>
      </c>
      <c r="BR38" s="27">
        <f ca="1">(Table_Process_Details[[#This Row],[Material Class]]="REAGENT")*Table_Process_Details[[#This Row],[Physical Mass per kg API]]</f>
        <v>0</v>
      </c>
      <c r="BS38" s="27">
        <f ca="1">(Table_Process_Details[[#This Row],[Material Class]]="METAL")*Table_Process_Details[[#This Row],[Physical Mass per kg API]]</f>
        <v>0</v>
      </c>
      <c r="BT38" s="27">
        <f ca="1">(Table_Process_Details[[#This Row],[Material Class]]="SOLVENT")*Table_Process_Details[[#This Row],[Physical Mass per kg API]]</f>
        <v>0</v>
      </c>
      <c r="BU38" s="27">
        <f ca="1">(Table_Process_Details[[#This Row],[Material Class]]="WATER")*Table_Process_Details[[#This Row],[Physical Mass per kg API]]</f>
        <v>6.9901025556863541</v>
      </c>
      <c r="BV38" s="27">
        <f ca="1">(Table_Process_Details[[#This Row],[Material Class]]="ENZ&amp;PLNT")*Table_Process_Details[[#This Row],[Physical Mass per kg API]]</f>
        <v>0</v>
      </c>
      <c r="BW38" s="27">
        <f ca="1">(Table_Process_Details[[#This Row],[Material Class]]="OTHER")*Table_Process_Details[[#This Row],[Physical Mass per kg API]]</f>
        <v>0</v>
      </c>
      <c r="BX3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6.9901025556863541</v>
      </c>
      <c r="BY3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3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6.9901025556863541</v>
      </c>
      <c r="CC3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8" s="1">
        <f ca="1">SUMIFS(Table_Process_Details[RV Physical Mass per kg API],Table_Process_Details[Display Name],Table_Process_Details[[#This Row],[Unique Process Inputs]],Table_Process_Details[Input or Output],"Input")</f>
        <v>0</v>
      </c>
      <c r="CF38" s="1">
        <f ca="1">SUMIFS(Table_Process_Details[RV Physical Mass per kg API (REAGENT)],Table_Process_Details[Display Name],Table_Process_Details[[#This Row],[Unique Process Inputs]],Table_Process_Details[Input or Output],"Input")</f>
        <v>0</v>
      </c>
      <c r="CG38" s="1">
        <f ca="1">SUMIFS(Table_Process_Details[RV Physical Mass per kg API (METAL)],Table_Process_Details[Display Name],Table_Process_Details[[#This Row],[Unique Process Inputs]],Table_Process_Details[Input or Output],"Input")</f>
        <v>0</v>
      </c>
      <c r="CH38" s="1">
        <f ca="1">SUMIFS(Table_Process_Details[RV Physical Mass per kg API (SOLVENT)],Table_Process_Details[Display Name],Table_Process_Details[[#This Row],[Unique Process Inputs]],Table_Process_Details[Input or Output],"Input")</f>
        <v>0</v>
      </c>
      <c r="CI38" s="1">
        <f ca="1">SUMIFS(Table_Process_Details[RV Physical Mass per kg API (WATER)],Table_Process_Details[Display Name],Table_Process_Details[[#This Row],[Unique Process Inputs]],Table_Process_Details[Input or Output],"Input")</f>
        <v>0</v>
      </c>
      <c r="CJ38" s="1">
        <f ca="1">SUMIFS(Table_Process_Details[RV Physical Mass per kg API (ENZ&amp;PLNT)],Table_Process_Details[Display Name],Table_Process_Details[[#This Row],[Unique Process Inputs]],Table_Process_Details[Input or Output],"Input")</f>
        <v>0</v>
      </c>
      <c r="CK38" s="1">
        <f ca="1">SUMIFS(Table_Process_Details[RV Physical Mass per kg API (OTHER)],Table_Process_Details[Display Name],Table_Process_Details[[#This Row],[Unique Process Inputs]],Table_Process_Details[Input or Output],"Input")</f>
        <v>0</v>
      </c>
      <c r="CL38" s="22" t="e">
        <f ca="1">INDEX(Table_Process_Details[Unique Process Inputs],MATCH(Table_Process_Details[[#This Row],['[Physical Mass per kg API'] of Unique Inputs Sorted by '[Physical Mass per kg API']]],Table_Process_Details[Total '[Physical Mass per kg API'] of Unique Inputs],0))</f>
        <v>#N/A</v>
      </c>
      <c r="CM38" s="22" t="e">
        <f ca="1">IF(LARGE(Table_Process_Details[Total '[Physical Mass per kg API'] of Unique Inputs],Table_Process_Details[[#This Row],[Table Row]])=0,NA(),LARGE(Table_Process_Details[Total '[Physical Mass per kg API'] of Unique Inputs],Table_Process_Details[[#This Row],[Table Row]]))</f>
        <v>#N/A</v>
      </c>
      <c r="CN38" s="22" t="e">
        <f ca="1">SUM(OFFSET(Table_Process_Details['[Physical Mass per kg API'] of Unique Inputs Sorted by '[Physical Mass per kg API']],0,0,Table_Process_Details[[#This Row],[Table Row]]))</f>
        <v>#N/A</v>
      </c>
      <c r="CO38" s="22" t="e">
        <f ca="1">"("&amp;TEXT(Table_Process_Details[[#This Row],['[Physical Mass per kg API'] of Unique Inputs Sorted by '[Physical Mass per kg API']]]/SUMIF(Table_Process_Details['[Physical Mass per kg API'] of Unique Inputs Sorted by '[Physical Mass per kg API']],"&lt;&gt;#N/A"),"0%")&amp;")"</f>
        <v>#N/A</v>
      </c>
      <c r="CP38" s="22" t="e">
        <f ca="1">INDEX(Table_Process_Details[Total '[Physical Mass per kg API'] of Unique Inputs (REAGENT)],MATCH(Table_Process_Details[[#This Row],[Unique Inputs Sorted by '[Physical Mass per kg API']]],Table_Process_Details[Unique Process Inputs],0))</f>
        <v>#N/A</v>
      </c>
      <c r="CQ38" s="22" t="e">
        <f ca="1">INDEX(Table_Process_Details[Total '[Physical Mass per kg API'] of Unique Inputs (METAL)],MATCH(Table_Process_Details[[#This Row],[Unique Inputs Sorted by '[Physical Mass per kg API']]],Table_Process_Details[Unique Process Inputs],0))</f>
        <v>#N/A</v>
      </c>
      <c r="CR38" s="22" t="e">
        <f ca="1">INDEX(Table_Process_Details[Total '[Physical Mass per kg API'] of Unique Inputs (SOLVENT)],MATCH(Table_Process_Details[[#This Row],[Unique Inputs Sorted by '[Physical Mass per kg API']]],Table_Process_Details[Unique Process Inputs],0))</f>
        <v>#N/A</v>
      </c>
      <c r="CS38" s="22" t="e">
        <f ca="1">INDEX(Table_Process_Details[Total '[Physical Mass per kg API'] of Unique Inputs (WATER)],MATCH(Table_Process_Details[[#This Row],[Unique Inputs Sorted by '[Physical Mass per kg API']]],Table_Process_Details[Unique Process Inputs],0))</f>
        <v>#N/A</v>
      </c>
      <c r="CT38" s="22" t="e">
        <f ca="1">INDEX(Table_Process_Details[Total '[Physical Mass per kg API'] of Unique Inputs (ENZ&amp;PLNT)],MATCH(Table_Process_Details[[#This Row],[Unique Inputs Sorted by '[Physical Mass per kg API']]],Table_Process_Details[Unique Process Inputs],0))</f>
        <v>#N/A</v>
      </c>
      <c r="CU38" s="22" t="e">
        <f ca="1">INDEX(Table_Process_Details[Total '[Physical Mass per kg API'] of Unique Inputs (OTHER)],MATCH(Table_Process_Details[[#This Row],[Unique Inputs Sorted by '[Physical Mass per kg API']]],Table_Process_Details[Unique Process Inputs],0))</f>
        <v>#N/A</v>
      </c>
      <c r="CV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1.0696711384408145E-2</v>
      </c>
      <c r="CW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1.0696711384408145E-2</v>
      </c>
      <c r="DA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8" s="22">
        <f ca="1">SUMIFS(Table_Process_Details[RV Mass Net (kg) per kg API],Table_Process_Details[Display Name],Table_Process_Details[[#This Row],[Unique Process Inputs]],Table_Process_Details[Input or Output],"Input")</f>
        <v>0</v>
      </c>
      <c r="DD38" s="22">
        <f ca="1">SUMIFS(Table_Process_Details[RV Mass Net (kg) per kg API (REAGENT)],Table_Process_Details[Display Name],Table_Process_Details[[#This Row],[Unique Process Inputs]],Table_Process_Details[Input or Output],"Input")</f>
        <v>0</v>
      </c>
      <c r="DE38" s="22">
        <f ca="1">SUMIFS(Table_Process_Details[RV Mass Net (kg) per kg API (METAL)],Table_Process_Details[Display Name],Table_Process_Details[[#This Row],[Unique Process Inputs]],Table_Process_Details[Input or Output],"Input")</f>
        <v>0</v>
      </c>
      <c r="DF38" s="22">
        <f ca="1">SUMIFS(Table_Process_Details[RV Mass Net (kg) per kg API (SOLVENT)],Table_Process_Details[Display Name],Table_Process_Details[[#This Row],[Unique Process Inputs]],Table_Process_Details[Input or Output],"Input")</f>
        <v>0</v>
      </c>
      <c r="DG38" s="22">
        <f ca="1">SUMIFS(Table_Process_Details[RV Mass Net (kg) per kg API (WATER)],Table_Process_Details[Display Name],Table_Process_Details[[#This Row],[Unique Process Inputs]],Table_Process_Details[Input or Output],"Input")</f>
        <v>0</v>
      </c>
      <c r="DH38" s="22">
        <f ca="1">SUMIFS(Table_Process_Details[RV Mass Net (kg) per kg API (ENZ&amp;PLNT)],Table_Process_Details[Display Name],Table_Process_Details[[#This Row],[Unique Process Inputs]],Table_Process_Details[Input or Output],"Input")</f>
        <v>0</v>
      </c>
      <c r="DI38" s="22">
        <f ca="1">SUMIFS(Table_Process_Details[RV Mass Net (kg) per kg API (OTHER)],Table_Process_Details[Display Name],Table_Process_Details[[#This Row],[Unique Process Inputs]],Table_Process_Details[Input or Output],"Input")</f>
        <v>0</v>
      </c>
      <c r="DJ38" s="22" t="e">
        <f ca="1">INDEX(Table_Process_Details[Unique Process Inputs],MATCH(Table_Process_Details[[#This Row],['[Mass Net (kg) per kg API'] of Unique Inputs Sorted by '[Mass Net (kg) per kg API']]],Table_Process_Details[Total '[Mass Net (kg) per kg API'] of Unique Inputs],0))</f>
        <v>#N/A</v>
      </c>
      <c r="DK38" s="22" t="e">
        <f ca="1">IF(LARGE(Table_Process_Details[Total '[Mass Net (kg) per kg API'] of Unique Inputs],Table_Process_Details[[#This Row],[Table Row]])=0,NA(),LARGE(Table_Process_Details[Total '[Mass Net (kg) per kg API'] of Unique Inputs],Table_Process_Details[[#This Row],[Table Row]]))</f>
        <v>#N/A</v>
      </c>
      <c r="DL38" s="22" t="e">
        <f ca="1">SUM(OFFSET(Table_Process_Details['[Mass Net (kg) per kg API'] of Unique Inputs Sorted by '[Mass Net (kg) per kg API']],0,0,Table_Process_Details[[#This Row],[Table Row]]))</f>
        <v>#N/A</v>
      </c>
      <c r="DM38" s="22" t="e">
        <f ca="1">"("&amp;TEXT(Table_Process_Details[[#This Row],['[Mass Net (kg) per kg API'] of Unique Inputs Sorted by '[Mass Net (kg) per kg API']]]/SUMIF(Table_Process_Details['[Mass Net (kg) per kg API'] of Unique Inputs Sorted by '[Mass Net (kg) per kg API']],"&lt;&gt;#N/A"),"0%")&amp;")"</f>
        <v>#N/A</v>
      </c>
      <c r="DN38" s="22" t="e">
        <f ca="1">INDEX(Table_Process_Details[Total '[Mass Net (kg) per kg API'] of Unique Inputs (REAGENT)], MATCH(Table_Process_Details[[#This Row],[Unique Inputs Sorted by '[Mass Net (kg) per kg API']]],Table_Process_Details[Unique Process Inputs],0))</f>
        <v>#N/A</v>
      </c>
      <c r="DO38" s="22" t="e">
        <f ca="1">INDEX(Table_Process_Details[Total '[Mass Net (kg) per kg API'] of Unique Inputs (METAL)], MATCH(Table_Process_Details[[#This Row],[Unique Inputs Sorted by '[Mass Net (kg) per kg API']]],Table_Process_Details[Unique Process Inputs],0))</f>
        <v>#N/A</v>
      </c>
      <c r="DP38" s="22" t="e">
        <f ca="1">INDEX(Table_Process_Details[Total '[Mass Net (kg) per kg API'] of Unique Inputs (SOLVENT)], MATCH(Table_Process_Details[[#This Row],[Unique Inputs Sorted by '[Mass Net (kg) per kg API']]],Table_Process_Details[Unique Process Inputs],0))</f>
        <v>#N/A</v>
      </c>
      <c r="DQ38" s="22" t="e">
        <f ca="1">INDEX(Table_Process_Details[Total '[Mass Net (kg) per kg API'] of Unique Inputs (WATER)], MATCH(Table_Process_Details[[#This Row],[Unique Inputs Sorted by '[Mass Net (kg) per kg API']]],Table_Process_Details[Unique Process Inputs],0))</f>
        <v>#N/A</v>
      </c>
      <c r="DR38" s="22" t="e">
        <f ca="1">INDEX(Table_Process_Details[Total '[Mass Net (kg) per kg API'] of Unique Inputs (ENZ&amp;PLNT)], MATCH(Table_Process_Details[[#This Row],[Unique Inputs Sorted by '[Mass Net (kg) per kg API']]],Table_Process_Details[Unique Process Inputs],0))</f>
        <v>#N/A</v>
      </c>
      <c r="DS38" s="22" t="e">
        <f ca="1">INDEX(Table_Process_Details[Total '[Mass Net (kg) per kg API'] of Unique Inputs (OTHER)], MATCH(Table_Process_Details[[#This Row],[Unique Inputs Sorted by '[Mass Net (kg) per kg API']]],Table_Process_Details[Unique Process Inputs],0))</f>
        <v>#N/A</v>
      </c>
      <c r="DT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0.13321871660596124</v>
      </c>
      <c r="DU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0.13321871660596124</v>
      </c>
      <c r="DY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8" s="1">
        <f ca="1">SUMIFS(Table_Process_Details[RV Energy (MJ) per kg API],Table_Process_Details[Display Name],Table_Process_Details[[#This Row],[Unique Process Inputs]],Table_Process_Details[Input or Output],"Input")</f>
        <v>0</v>
      </c>
      <c r="EB38" s="1">
        <f ca="1">SUMIFS(Table_Process_Details[RV Energy (MJ) per kg API (REAGENT)],Table_Process_Details[Display Name],Table_Process_Details[[#This Row],[Unique Process Inputs]],Table_Process_Details[Input or Output],"Input")</f>
        <v>0</v>
      </c>
      <c r="EC38" s="1">
        <f ca="1">SUMIFS(Table_Process_Details[RV Energy (MJ) per kg API (METAL)],Table_Process_Details[Display Name],Table_Process_Details[[#This Row],[Unique Process Inputs]],Table_Process_Details[Input or Output],"Input")</f>
        <v>0</v>
      </c>
      <c r="ED38" s="1">
        <f ca="1">SUMIFS(Table_Process_Details[RV Energy (MJ) per kg API (SOLVENT)],Table_Process_Details[Display Name],Table_Process_Details[[#This Row],[Unique Process Inputs]],Table_Process_Details[Input or Output],"Input")</f>
        <v>0</v>
      </c>
      <c r="EE38" s="1">
        <f ca="1">SUMIFS(Table_Process_Details[RV Energy (MJ) per kg API (WATER)],Table_Process_Details[Display Name],Table_Process_Details[[#This Row],[Unique Process Inputs]],Table_Process_Details[Input or Output],"Input")</f>
        <v>0</v>
      </c>
      <c r="EF38" s="1">
        <f ca="1">SUMIFS(Table_Process_Details[RV Energy (MJ) per kg API (ENZ&amp;PLNT)],Table_Process_Details[Display Name],Table_Process_Details[[#This Row],[Unique Process Inputs]],Table_Process_Details[Input or Output],"Input")</f>
        <v>0</v>
      </c>
      <c r="EG38" s="1">
        <f ca="1">SUMIFS(Table_Process_Details[RV Energy (MJ) per kg API (OTHER)],Table_Process_Details[Display Name],Table_Process_Details[[#This Row],[Unique Process Inputs]],Table_Process_Details[Input or Output],"Input")</f>
        <v>0</v>
      </c>
      <c r="EH38" s="1" t="e">
        <f ca="1">INDEX(Table_Process_Details[Unique Process Inputs],MATCH(Table_Process_Details[[#This Row],['[Energy (MJ) per kg API'] of Unique Inputs Sorted by '[Energy (MJ) per kg API']]],Table_Process_Details[Total '[Energy (MJ) per kg API'] of Unique Inputs],0))</f>
        <v>#N/A</v>
      </c>
      <c r="EI38" s="22" t="e">
        <f ca="1">IF(LARGE(Table_Process_Details[Total '[Energy (MJ) per kg API'] of Unique Inputs],Table_Process_Details[[#This Row],[Table Row]])=0,NA(),LARGE(Table_Process_Details[Total '[Energy (MJ) per kg API'] of Unique Inputs],Table_Process_Details[[#This Row],[Table Row]]))</f>
        <v>#N/A</v>
      </c>
      <c r="EJ38" s="22" t="e">
        <f ca="1">SUM(OFFSET(Table_Process_Details['[Energy (MJ) per kg API'] of Unique Inputs Sorted by '[Energy (MJ) per kg API']],0,0,Table_Process_Details[[#This Row],[Table Row]]))</f>
        <v>#N/A</v>
      </c>
      <c r="EK38" s="22" t="e">
        <f ca="1">"("&amp;TEXT(Table_Process_Details[[#This Row],['[Energy (MJ) per kg API'] of Unique Inputs Sorted by '[Energy (MJ) per kg API']]]/SUMIF(Table_Process_Details['[Energy (MJ) per kg API'] of Unique Inputs Sorted by '[Energy (MJ) per kg API']],"&lt;&gt;#N/A"),"0%")&amp;")"</f>
        <v>#N/A</v>
      </c>
      <c r="EL38" s="22" t="e">
        <f ca="1">INDEX(Table_Process_Details[Total '[Energy (MJ) per kg API'] of Unique Inputs (REAGENT)], MATCH(Table_Process_Details[[#This Row],[Unique Inputs Sorted by '[Energy (MJ) per kg API']]],Table_Process_Details[Unique Process Inputs],0))</f>
        <v>#N/A</v>
      </c>
      <c r="EM38" s="22" t="e">
        <f ca="1">INDEX(Table_Process_Details[Total '[Energy (MJ) per kg API'] of Unique Inputs (METAL)], MATCH(Table_Process_Details[[#This Row],[Unique Inputs Sorted by '[Energy (MJ) per kg API']]],Table_Process_Details[Unique Process Inputs],0))</f>
        <v>#N/A</v>
      </c>
      <c r="EN38" s="22" t="e">
        <f ca="1">INDEX(Table_Process_Details[Total '[Energy (MJ) per kg API'] of Unique Inputs (SOLVENT)], MATCH(Table_Process_Details[[#This Row],[Unique Inputs Sorted by '[Energy (MJ) per kg API']]],Table_Process_Details[Unique Process Inputs],0))</f>
        <v>#N/A</v>
      </c>
      <c r="EO38" s="22" t="e">
        <f ca="1">INDEX(Table_Process_Details[Total '[Energy (MJ) per kg API'] of Unique Inputs (WATER)], MATCH(Table_Process_Details[[#This Row],[Unique Inputs Sorted by '[Energy (MJ) per kg API']]],Table_Process_Details[Unique Process Inputs],0))</f>
        <v>#N/A</v>
      </c>
      <c r="EP38" s="22" t="e">
        <f ca="1">INDEX(Table_Process_Details[Total '[Energy (MJ) per kg API'] of Unique Inputs (ENZ&amp;PLNT)], MATCH(Table_Process_Details[[#This Row],[Unique Inputs Sorted by '[Energy (MJ) per kg API']]],Table_Process_Details[Unique Process Inputs],0))</f>
        <v>#N/A</v>
      </c>
      <c r="EQ38" s="22" t="e">
        <f ca="1">INDEX(Table_Process_Details[Total '[Energy (MJ) per kg API'] of Unique Inputs (OTHER)], MATCH(Table_Process_Details[[#This Row],[Unique Inputs Sorted by '[Energy (MJ) per kg API']]],Table_Process_Details[Unique Process Inputs],0))</f>
        <v>#N/A</v>
      </c>
      <c r="ER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7.1001407501179691E-3</v>
      </c>
      <c r="ES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7.1001407501179691E-3</v>
      </c>
      <c r="EW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8" s="22">
        <f ca="1">SUMIFS(Table_Process_Details[RV GWP (kg CO2 equiv.) per kg API],Table_Process_Details[Display Name],Table_Process_Details[[#This Row],[Unique Process Inputs]],Table_Process_Details[Input or Output],"Input")</f>
        <v>0</v>
      </c>
      <c r="EZ38" s="1">
        <f ca="1">SUMIFS(Table_Process_Details[RV GWP (kg CO2 equiv.) per kg API (REAGENT)],Table_Process_Details[Display Name],Table_Process_Details[[#This Row],[Unique Process Inputs]],Table_Process_Details[Input or Output],"Input")</f>
        <v>0</v>
      </c>
      <c r="FA38" s="1">
        <f ca="1">SUMIFS(Table_Process_Details[RV GWP (kg CO2 equiv.) per kg API (METAL)],Table_Process_Details[Display Name],Table_Process_Details[[#This Row],[Unique Process Inputs]],Table_Process_Details[Input or Output],"Input")</f>
        <v>0</v>
      </c>
      <c r="FB38" s="1">
        <f ca="1">SUMIFS(Table_Process_Details[RV GWP (kg CO2 equiv.) per kg API (SOLVENT)],Table_Process_Details[Display Name],Table_Process_Details[[#This Row],[Unique Process Inputs]],Table_Process_Details[Input or Output],"Input")</f>
        <v>0</v>
      </c>
      <c r="FC38" s="1">
        <f ca="1">SUMIFS(Table_Process_Details[RV GWP (kg CO2 equiv.) per kg API (WATER)],Table_Process_Details[Display Name],Table_Process_Details[[#This Row],[Unique Process Inputs]],Table_Process_Details[Input or Output],"Input")</f>
        <v>0</v>
      </c>
      <c r="FD38" s="1">
        <f ca="1">SUMIFS(Table_Process_Details[RV GWP (kg CO2 equiv.) per kg API (ENZ&amp;PLNT)],Table_Process_Details[Display Name],Table_Process_Details[[#This Row],[Unique Process Inputs]],Table_Process_Details[Input or Output],"Input")</f>
        <v>0</v>
      </c>
      <c r="FE38" s="1">
        <f ca="1">SUMIFS(Table_Process_Details[RV GWP (kg CO2 equiv.) per kg API (OTHER)],Table_Process_Details[Display Name],Table_Process_Details[[#This Row],[Unique Process Inputs]],Table_Process_Details[Input or Output],"Input")</f>
        <v>0</v>
      </c>
      <c r="FF38" s="22" t="e">
        <f ca="1">INDEX(Table_Process_Details[Unique Process Inputs],MATCH(Table_Process_Details[[#This Row],['[GWP (kg CO2 equiv.) per kg API'] of Unique Inputs Sorted by '[GWP (kg CO2 equiv.) per kg API']]],Table_Process_Details[Total '[GWP (kg CO2 equiv.) per kg API'] of Unique Inputs],0))</f>
        <v>#N/A</v>
      </c>
      <c r="FG38" s="22" t="e">
        <f ca="1">IF(LARGE(Table_Process_Details[Total '[GWP (kg CO2 equiv.) per kg API'] of Unique Inputs],Table_Process_Details[[#This Row],[Table Row]])=0,NA(),LARGE(Table_Process_Details[Total '[GWP (kg CO2 equiv.) per kg API'] of Unique Inputs],Table_Process_Details[[#This Row],[Table Row]]))</f>
        <v>#N/A</v>
      </c>
      <c r="FH38" s="22" t="e">
        <f ca="1">SUM(OFFSET(Table_Process_Details['[GWP (kg CO2 equiv.) per kg API'] of Unique Inputs Sorted by '[GWP (kg CO2 equiv.) per kg API']],0,0,Table_Process_Details[[#This Row],[Table Row]]))</f>
        <v>#N/A</v>
      </c>
      <c r="FI38" s="22" t="e">
        <f ca="1">"("&amp;TEXT(Table_Process_Details[[#This Row],['[GWP (kg CO2 equiv.) per kg API'] of Unique Inputs Sorted by '[GWP (kg CO2 equiv.) per kg API']]]/SUMIF(Table_Process_Details['[GWP (kg CO2 equiv.) per kg API'] of Unique Inputs Sorted by '[GWP (kg CO2 equiv.) per kg API']],"&lt;&gt;#N/A"),"0%")&amp;")"</f>
        <v>#N/A</v>
      </c>
      <c r="FJ38" s="22" t="e">
        <f ca="1">INDEX(Table_Process_Details[Total '[GWP (kg CO2 equiv.) per kg API'] of Unique Inputs (REAGENT)], MATCH(Table_Process_Details[[#This Row],[Unique Inputs Sorted by '[GWP (kg CO2 equiv.) per kg API']]],Table_Process_Details[Unique Process Inputs],0))</f>
        <v>#N/A</v>
      </c>
      <c r="FK38" s="22" t="e">
        <f ca="1">INDEX(Table_Process_Details[Total '[GWP (kg CO2 equiv.) per kg API'] of Unique Inputs (METAL)], MATCH(Table_Process_Details[[#This Row],[Unique Inputs Sorted by '[GWP (kg CO2 equiv.) per kg API']]],Table_Process_Details[Unique Process Inputs],0))</f>
        <v>#N/A</v>
      </c>
      <c r="FL38" s="22" t="e">
        <f ca="1">INDEX(Table_Process_Details[Total '[GWP (kg CO2 equiv.) per kg API'] of Unique Inputs (SOLVENT)], MATCH(Table_Process_Details[[#This Row],[Unique Inputs Sorted by '[GWP (kg CO2 equiv.) per kg API']]],Table_Process_Details[Unique Process Inputs],0))</f>
        <v>#N/A</v>
      </c>
      <c r="FM38" s="22" t="e">
        <f ca="1">INDEX(Table_Process_Details[Total '[GWP (kg CO2 equiv.) per kg API'] of Unique Inputs (WATER)], MATCH(Table_Process_Details[[#This Row],[Unique Inputs Sorted by '[GWP (kg CO2 equiv.) per kg API']]],Table_Process_Details[Unique Process Inputs],0))</f>
        <v>#N/A</v>
      </c>
      <c r="FN38" s="22" t="e">
        <f ca="1">INDEX(Table_Process_Details[Total '[GWP (kg CO2 equiv.) per kg API'] of Unique Inputs (ENZ&amp;PLNT)], MATCH(Table_Process_Details[[#This Row],[Unique Inputs Sorted by '[GWP (kg CO2 equiv.) per kg API']]],Table_Process_Details[Unique Process Inputs],0))</f>
        <v>#N/A</v>
      </c>
      <c r="FO38" s="22" t="e">
        <f ca="1">INDEX(Table_Process_Details[Total '[GWP (kg CO2 equiv.) per kg API'] of Unique Inputs (OTHER)], MATCH(Table_Process_Details[[#This Row],[Unique Inputs Sorted by '[GWP (kg CO2 equiv.) per kg API']]],Table_Process_Details[Unique Process Inputs],0))</f>
        <v>#N/A</v>
      </c>
      <c r="FP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2.7201529738787324E-5</v>
      </c>
      <c r="FQ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2.7201529738787324E-5</v>
      </c>
      <c r="FU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8" s="22">
        <f ca="1">SUMIFS(Table_Process_Details[RV Acidification (kg SO2 equiv.) per kg API],Table_Process_Details[Display Name],Table_Process_Details[[#This Row],[Unique Process Inputs]],Table_Process_Details[Input or Output],"Input")</f>
        <v>0</v>
      </c>
      <c r="FX38" s="1">
        <f ca="1">SUMIFS(Table_Process_Details[RV Acidification (kg SO2 equiv.) per kg API (REAGENT)],Table_Process_Details[Display Name],Table_Process_Details[[#This Row],[Unique Process Inputs]],Table_Process_Details[Input or Output],"Input")</f>
        <v>0</v>
      </c>
      <c r="FY38" s="1">
        <f ca="1">SUMIFS(Table_Process_Details[RV Acidification (kg SO2 equiv.) per kg API (METAL)],Table_Process_Details[Display Name],Table_Process_Details[[#This Row],[Unique Process Inputs]],Table_Process_Details[Input or Output],"Input")</f>
        <v>0</v>
      </c>
      <c r="FZ38" s="1">
        <f ca="1">SUMIFS(Table_Process_Details[RV Acidification (kg SO2 equiv.) per kg API (SOLVENT)],Table_Process_Details[Display Name],Table_Process_Details[[#This Row],[Unique Process Inputs]],Table_Process_Details[Input or Output],"Input")</f>
        <v>0</v>
      </c>
      <c r="GA38" s="1">
        <f ca="1">SUMIFS(Table_Process_Details[RV Acidification (kg SO2 equiv.) per kg API (WATER)],Table_Process_Details[Display Name],Table_Process_Details[[#This Row],[Unique Process Inputs]],Table_Process_Details[Input or Output],"Input")</f>
        <v>0</v>
      </c>
      <c r="GB38" s="1">
        <f ca="1">SUMIFS(Table_Process_Details[RV Acidification (kg SO2 equiv.) per kg API (ENZ&amp;PLNT)],Table_Process_Details[Display Name],Table_Process_Details[[#This Row],[Unique Process Inputs]],Table_Process_Details[Input or Output],"Input")</f>
        <v>0</v>
      </c>
      <c r="GC38" s="1">
        <f ca="1">SUMIFS(Table_Process_Details[RV Acidification (kg SO2 equiv.) per kg API (OTHER)],Table_Process_Details[Display Name],Table_Process_Details[[#This Row],[Unique Process Inputs]],Table_Process_Details[Input or Output],"Input")</f>
        <v>0</v>
      </c>
      <c r="GD3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3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38" s="22" t="e">
        <f ca="1">SUM(OFFSET(Table_Process_Details['[Acidification (kg SO2 equiv.) per kg API'] of Unique Inputs Sorted by '[Acidification (kg SO2 equiv.) per kg API']],0,0,Table_Process_Details[[#This Row],[Table Row]]))</f>
        <v>#N/A</v>
      </c>
      <c r="GG3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38" s="22" t="e">
        <f ca="1">INDEX(Table_Process_Details[Total '[Acidification (kg SO2 equiv.) per kg API'] of Unique Inputs (REAGENT)], MATCH(Table_Process_Details[[#This Row],[Unique Inputs Sorted by '[Acidification (kg SO2 equiv.) per kg API']]],Table_Process_Details[Unique Process Inputs],0))</f>
        <v>#N/A</v>
      </c>
      <c r="GI38" s="22" t="e">
        <f ca="1">INDEX(Table_Process_Details[Total '[Acidification (kg SO2 equiv.) per kg API'] of Unique Inputs (METAL)], MATCH(Table_Process_Details[[#This Row],[Unique Inputs Sorted by '[Acidification (kg SO2 equiv.) per kg API']]],Table_Process_Details[Unique Process Inputs],0))</f>
        <v>#N/A</v>
      </c>
      <c r="GJ38" s="22" t="e">
        <f ca="1">INDEX(Table_Process_Details[Total '[Acidification (kg SO2 equiv.) per kg API'] of Unique Inputs (SOLVENT)], MATCH(Table_Process_Details[[#This Row],[Unique Inputs Sorted by '[Acidification (kg SO2 equiv.) per kg API']]],Table_Process_Details[Unique Process Inputs],0))</f>
        <v>#N/A</v>
      </c>
      <c r="GK38" s="22" t="e">
        <f ca="1">INDEX(Table_Process_Details[Total '[Acidification (kg SO2 equiv.) per kg API'] of Unique Inputs (WATER)], MATCH(Table_Process_Details[[#This Row],[Unique Inputs Sorted by '[Acidification (kg SO2 equiv.) per kg API']]],Table_Process_Details[Unique Process Inputs],0))</f>
        <v>#N/A</v>
      </c>
      <c r="GL38" s="22" t="e">
        <f ca="1">INDEX(Table_Process_Details[Total '[Acidification (kg SO2 equiv.) per kg API'] of Unique Inputs (ENZ&amp;PLNT)], MATCH(Table_Process_Details[[#This Row],[Unique Inputs Sorted by '[Acidification (kg SO2 equiv.) per kg API']]],Table_Process_Details[Unique Process Inputs],0))</f>
        <v>#N/A</v>
      </c>
      <c r="GM38" s="22" t="e">
        <f ca="1">INDEX(Table_Process_Details[Total '[Acidification (kg SO2 equiv.) per kg API'] of Unique Inputs (OTHER)], MATCH(Table_Process_Details[[#This Row],[Unique Inputs Sorted by '[Acidification (kg SO2 equiv.) per kg API']]],Table_Process_Details[Unique Process Inputs],0))</f>
        <v>#N/A</v>
      </c>
      <c r="GN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1.6204241847453901E-5</v>
      </c>
      <c r="GO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1.6204241847453901E-5</v>
      </c>
      <c r="GS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8" s="22">
        <f ca="1">SUMIFS(Table_Process_Details[RV Eutrophication (kg phosphate equiv.) per kg API],Table_Process_Details[Display Name],Table_Process_Details[[#This Row],[Unique Process Inputs]],Table_Process_Details[Input or Output],"Input")</f>
        <v>0</v>
      </c>
      <c r="GV38" s="1">
        <f ca="1">SUMIFS(Table_Process_Details[RV Eutrophication (kg phosphate equiv.) per kg API (REAGENT)],Table_Process_Details[Display Name],Table_Process_Details[[#This Row],[Unique Process Inputs]],Table_Process_Details[Input or Output],"Input")</f>
        <v>0</v>
      </c>
      <c r="GW38" s="1">
        <f ca="1">SUMIFS(Table_Process_Details[RV Eutrophication (kg phosphate equiv.) per kg API (METAL)],Table_Process_Details[Display Name],Table_Process_Details[[#This Row],[Unique Process Inputs]],Table_Process_Details[Input or Output],"Input")</f>
        <v>0</v>
      </c>
      <c r="GX38" s="1">
        <f ca="1">SUMIFS(Table_Process_Details[RV Eutrophication (kg phosphate equiv.) per kg API (SOLVENT)],Table_Process_Details[Display Name],Table_Process_Details[[#This Row],[Unique Process Inputs]],Table_Process_Details[Input or Output],"Input")</f>
        <v>0</v>
      </c>
      <c r="GY38" s="1">
        <f ca="1">SUMIFS(Table_Process_Details[RV Eutrophication (kg phosphate equiv.) per kg API (WATER)],Table_Process_Details[Display Name],Table_Process_Details[[#This Row],[Unique Process Inputs]],Table_Process_Details[Input or Output],"Input")</f>
        <v>0</v>
      </c>
      <c r="GZ38" s="1">
        <f ca="1">SUMIFS(Table_Process_Details[RV Eutrophication (kg phosphate equiv.) per kg API (ENZ&amp;PLNT)],Table_Process_Details[Display Name],Table_Process_Details[[#This Row],[Unique Process Inputs]],Table_Process_Details[Input or Output],"Input")</f>
        <v>0</v>
      </c>
      <c r="HA38" s="1">
        <f ca="1">SUMIFS(Table_Process_Details[RV Eutrophication (kg phosphate equiv.) per kg API (OTHER)],Table_Process_Details[Display Name],Table_Process_Details[[#This Row],[Unique Process Inputs]],Table_Process_Details[Input or Output],"Input")</f>
        <v>0</v>
      </c>
      <c r="HB3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3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38" s="22" t="e">
        <f ca="1">SUM(OFFSET(Table_Process_Details['[Eutrophication (kg posphate equiv.) per kg API'] of Unique Inputs Sorted by '[Eutrophication (kg posphate equiv.) per kg API']],0,0,Table_Process_Details[[#This Row],[Table Row]]))</f>
        <v>#N/A</v>
      </c>
      <c r="HE3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38" s="1" t="e">
        <f ca="1">INDEX(Table_Process_Details[Total '[Eutrophication (kg posphate equiv.) per kg API'] of Unique Inputs (REAGENT)], MATCH(Table_Process_Details[[#This Row],[Unique Inputs Sorted by '[Eutrophication (kg posphate equiv.) per kg API']]],Table_Process_Details[Unique Process Inputs],0))</f>
        <v>#N/A</v>
      </c>
      <c r="HG38" s="1" t="e">
        <f ca="1">INDEX(Table_Process_Details[Total '[Eutrophication (kg posphate equiv.) per kg API'] of Unique Inputs (METAL)], MATCH(Table_Process_Details[[#This Row],[Unique Inputs Sorted by '[Eutrophication (kg posphate equiv.) per kg API']]],Table_Process_Details[Unique Process Inputs],0))</f>
        <v>#N/A</v>
      </c>
      <c r="HH38" s="1" t="e">
        <f ca="1">INDEX(Table_Process_Details[Total '[Eutrophication (kg posphate equiv.) per kg API'] of Unique Inputs (SOLVENT)], MATCH(Table_Process_Details[[#This Row],[Unique Inputs Sorted by '[Eutrophication (kg posphate equiv.) per kg API']]],Table_Process_Details[Unique Process Inputs],0))</f>
        <v>#N/A</v>
      </c>
      <c r="HI38" s="1" t="e">
        <f ca="1">INDEX(Table_Process_Details[Total '[Eutrophication (kg posphate equiv.) per kg API'] of Unique Inputs (WATER)], MATCH(Table_Process_Details[[#This Row],[Unique Inputs Sorted by '[Eutrophication (kg posphate equiv.) per kg API']]],Table_Process_Details[Unique Process Inputs],0))</f>
        <v>#N/A</v>
      </c>
      <c r="HJ38" s="1" t="e">
        <f ca="1">INDEX(Table_Process_Details[Total '[Eutrophication (kg posphate equiv.) per kg API'] of Unique Inputs (ENZ&amp;PLNT)], MATCH(Table_Process_Details[[#This Row],[Unique Inputs Sorted by '[Eutrophication (kg posphate equiv.) per kg API']]],Table_Process_Details[Unique Process Inputs],0))</f>
        <v>#N/A</v>
      </c>
      <c r="HK38" s="1" t="e">
        <f ca="1">INDEX(Table_Process_Details[Total '[Eutrophication (kg posphate equiv.) per kg API'] of Unique Inputs (OTHER)], MATCH(Table_Process_Details[[#This Row],[Unique Inputs Sorted by '[Eutrophication (kg posphate equiv.) per kg API']]],Table_Process_Details[Unique Process Inputs],0))</f>
        <v>#N/A</v>
      </c>
      <c r="HL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8.8309397726340553</v>
      </c>
      <c r="HM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8.8309397726340553</v>
      </c>
      <c r="HQ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8" s="1">
        <f ca="1">SUMIFS(Table_Process_Details[RV Water (kg) per kg API],Table_Process_Details[Display Name],Table_Process_Details[[#This Row],[Unique Process Inputs]],Table_Process_Details[Input or Output],"Input")</f>
        <v>0</v>
      </c>
      <c r="HT38" s="1">
        <f ca="1">SUMIFS(Table_Process_Details[RV Water (kg) per kg API (REAGENT)],Table_Process_Details[Display Name],Table_Process_Details[[#This Row],[Unique Process Inputs]],Table_Process_Details[Input or Output],"Input")</f>
        <v>0</v>
      </c>
      <c r="HU38" s="1">
        <f ca="1">SUMIFS(Table_Process_Details[RV Water (kg) per kg API (METAL)],Table_Process_Details[Display Name],Table_Process_Details[[#This Row],[Unique Process Inputs]],Table_Process_Details[Input or Output],"Input")</f>
        <v>0</v>
      </c>
      <c r="HV38" s="1">
        <f ca="1">SUMIFS(Table_Process_Details[RV Water (kg) per kg API (SOLVENT)],Table_Process_Details[Display Name],Table_Process_Details[[#This Row],[Unique Process Inputs]],Table_Process_Details[Input or Output],"Input")</f>
        <v>0</v>
      </c>
      <c r="HW38" s="1">
        <f ca="1">SUMIFS(Table_Process_Details[RV Water (kg) per kg API (WATER)],Table_Process_Details[Display Name],Table_Process_Details[[#This Row],[Unique Process Inputs]],Table_Process_Details[Input or Output],"Input")</f>
        <v>0</v>
      </c>
      <c r="HX38" s="1">
        <f ca="1">SUMIFS(Table_Process_Details[RV Water (kg) per kg API (ENZ&amp;PLNT)],Table_Process_Details[Display Name],Table_Process_Details[[#This Row],[Unique Process Inputs]],Table_Process_Details[Input or Output],"Input")</f>
        <v>0</v>
      </c>
      <c r="HY38" s="1">
        <f ca="1">SUMIFS(Table_Process_Details[RV Water (kg) per kg API (OTHER)],Table_Process_Details[Display Name],Table_Process_Details[[#This Row],[Unique Process Inputs]],Table_Process_Details[Input or Output],"Input")</f>
        <v>0</v>
      </c>
      <c r="HZ38" s="22" t="e">
        <f ca="1">INDEX(Table_Process_Details[Unique Process Inputs],MATCH(Table_Process_Details[[#This Row],['[Water (kg) per kg API'] of Unique Inputs Sorted by '[Water (kg) per kg API']]],Table_Process_Details[Total '[Water (kg) per kg API'] of Unique Inputs],0))</f>
        <v>#N/A</v>
      </c>
      <c r="IA38" s="22" t="e">
        <f ca="1">IF(LARGE(Table_Process_Details[Total '[Water (kg) per kg API'] of Unique Inputs],Table_Process_Details[[#This Row],[Table Row]])=0,NA(),LARGE(Table_Process_Details[Total '[Water (kg) per kg API'] of Unique Inputs],Table_Process_Details[[#This Row],[Table Row]]))</f>
        <v>#N/A</v>
      </c>
      <c r="IB38" s="1" t="e">
        <f ca="1">SUM(OFFSET(Table_Process_Details['[Water (kg) per kg API'] of Unique Inputs Sorted by '[Water (kg) per kg API']],0,0,Table_Process_Details[[#This Row],[Table Row]]))</f>
        <v>#N/A</v>
      </c>
      <c r="IC38" s="1" t="e">
        <f ca="1">"("&amp;TEXT(Table_Process_Details[[#This Row],['[Water (kg) per kg API'] of Unique Inputs Sorted by '[Water (kg) per kg API']]]/SUMIF(Table_Process_Details['[Water (kg) per kg API'] of Unique Inputs Sorted by '[Water (kg) per kg API']],"&lt;&gt;#N/A"),"0%")&amp;")"</f>
        <v>#N/A</v>
      </c>
      <c r="ID38" s="1" t="e">
        <f ca="1">INDEX(Table_Process_Details[Total '[Water (kg) per kg API'] of Unique Inputs (REAGENT)], MATCH(Table_Process_Details[[#This Row],[Unique Inputs Sorted by '[Water (kg) per kg API']]],Table_Process_Details[Unique Process Inputs],0))</f>
        <v>#N/A</v>
      </c>
      <c r="IE38" s="1" t="e">
        <f ca="1">INDEX(Table_Process_Details[Total '[Water (kg) per kg API'] of Unique Inputs (METAL)], MATCH(Table_Process_Details[[#This Row],[Unique Inputs Sorted by '[Water (kg) per kg API']]],Table_Process_Details[Unique Process Inputs],0))</f>
        <v>#N/A</v>
      </c>
      <c r="IF38" s="1" t="e">
        <f ca="1">INDEX(Table_Process_Details[Total '[Water (kg) per kg API'] of Unique Inputs (SOLVENT)], MATCH(Table_Process_Details[[#This Row],[Unique Inputs Sorted by '[Water (kg) per kg API']]],Table_Process_Details[Unique Process Inputs],0))</f>
        <v>#N/A</v>
      </c>
      <c r="IG38" s="1" t="e">
        <f ca="1">INDEX(Table_Process_Details[Total '[Water (kg) per kg API'] of Unique Inputs (WATER)], MATCH(Table_Process_Details[[#This Row],[Unique Inputs Sorted by '[Water (kg) per kg API']]],Table_Process_Details[Unique Process Inputs],0))</f>
        <v>#N/A</v>
      </c>
      <c r="IH38" s="1" t="e">
        <f ca="1">INDEX(Table_Process_Details[Total '[Water (kg) per kg API'] of Unique Inputs (ENZ&amp;PLNT)], MATCH(Table_Process_Details[[#This Row],[Unique Inputs Sorted by '[Water (kg) per kg API']]],Table_Process_Details[Unique Process Inputs],0))</f>
        <v>#N/A</v>
      </c>
      <c r="II38" s="1" t="e">
        <f ca="1">INDEX(Table_Process_Details[Total '[Water (kg) per kg API'] of Unique Inputs (OTHER)], MATCH(Table_Process_Details[[#This Row],[Unique Inputs Sorted by '[Water (kg) per kg API']]],Table_Process_Details[Unique Process Inputs],0))</f>
        <v>#N/A</v>
      </c>
    </row>
    <row r="39" spans="1:243" customFormat="1" x14ac:dyDescent="0.25">
      <c r="A39" s="22" t="str">
        <f t="shared" si="0"/>
        <v>1) Synthesis of Intermediate (1)</v>
      </c>
      <c r="B39" s="21" t="s">
        <v>4</v>
      </c>
      <c r="C39" s="21" t="s">
        <v>6</v>
      </c>
      <c r="D39" s="22" t="s">
        <v>110</v>
      </c>
      <c r="E39" s="22" t="s">
        <v>110</v>
      </c>
      <c r="F39" s="26">
        <v>10</v>
      </c>
      <c r="G39" s="26"/>
      <c r="H39" s="26"/>
      <c r="I39" s="26"/>
      <c r="J39" s="26" t="str">
        <f>INDEX(Process_Steps[Reference],MATCH(Table_Process_Details[[#This Row],[Step Name]],Process_Steps[Name],0))</f>
        <v>Reference Document  for Step 1</v>
      </c>
      <c r="K39" s="27" t="str">
        <f>INDEX(Process_Steps[Real or Virtual?],MATCH(Table_Process_Details[[#This Row],[Step Name]],Process_Steps[Name],0))</f>
        <v>Real</v>
      </c>
      <c r="L3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67-56-1</v>
      </c>
      <c r="M3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39" s="26">
        <f>INDEX(Table_Process_Details[Physical Mass (kg)],MATCH(1,INDEX(((Table_Process_Details[Step Name]=Table_Process_Details[[#This Row],[Step Name]])*(Table_Process_Details[Input or Output]="Output")),0),0))</f>
        <v>51.020408163265309</v>
      </c>
      <c r="O39" s="29">
        <f ca="1">INDEX(Process_Steps[Step Scale Factor for 1kg Packaged API],MATCH(Table_Process_Details[[#This Row],[Step Name]],Process_Steps[Name],0))</f>
        <v>6.9901025556863543E-3</v>
      </c>
      <c r="P3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6.916666666666667</v>
      </c>
      <c r="Q3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13.916666666666668</v>
      </c>
      <c r="R39" s="26">
        <f ca="1">_xlfn.SWITCH(Run_Reset_PNG,"Reset",Table_Process_Details[[#This Row],[X Init]],"Run",Table_Process_Details[[#This Row],[X Moved]],"Freeze",Table_Process_Details[[#This Row],[X Mover]])</f>
        <v>-3.0948110474900283</v>
      </c>
      <c r="S39" s="26">
        <f ca="1">_xlfn.SWITCH(Run_Reset_PNG,"Reset",Table_Process_Details[[#This Row],[Y Init]],"Run",Table_Process_Details[[#This Row],[Y Moved]],"Freeze",Table_Process_Details[[#This Row],[Y Mover]])</f>
        <v>22.708378752413747</v>
      </c>
      <c r="T39" s="26" cm="1">
        <f t="array" aca="1" ref="T3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-10.774989487135766</v>
      </c>
      <c r="U39" s="26" cm="1">
        <f t="array" aca="1" ref="U3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4.7912601691543317</v>
      </c>
      <c r="V39" s="26" cm="1">
        <f t="array" aca="1" ref="V39" ca="1">SUM(--(SQRT((Table_Process_Details[[#This Row],[X Mover]]-Table_Process_Details[X Mover])^2+(Table_Process_Details[[#This Row],[Y Mover]]-Table_Process_Details[Y Mover])^2)&lt;Collision_Distance))</f>
        <v>19</v>
      </c>
      <c r="W39" s="26" cm="1">
        <f t="array" aca="1" ref="W3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0.50388984592104913</v>
      </c>
      <c r="X39" s="26" cm="1">
        <f t="array" aca="1" ref="X3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-0.14958780062352822</v>
      </c>
      <c r="Y39" s="26" cm="1">
        <f t="array" aca="1" ref="Y3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39" s="26">
        <f>0</f>
        <v>0</v>
      </c>
      <c r="AA39" s="26">
        <f>0</f>
        <v>0</v>
      </c>
      <c r="AB3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1.5474055237450142</v>
      </c>
      <c r="AC39" s="26" cm="1">
        <f t="array" aca="1" ref="AC3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-11.354189376206874</v>
      </c>
      <c r="AD39" s="26">
        <f>MIN(1,COUNTA(Table_Process_Details[[#This Row],[target x]]),COUNTA(Table_Process_Details[[#This Row],[target y]]))*COUNTA(Table_Process_Details[Step Name])</f>
        <v>98</v>
      </c>
      <c r="AE3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-3.1422360591351177</v>
      </c>
      <c r="AF3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22.69510346437303</v>
      </c>
      <c r="AG3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39" s="26" cm="1">
        <f t="array" aca="1" ref="AH39" ca="1">INDEX(Table_Process_Details[X Mover],MATCH(1,INDEX((Table_Process_Details[Input or Output]="Output")*(Table_Process_Details[Step Name]=Table_Process_Details[[#This Row],[Step Name]])*(Table_Process_Details[[#This Row],[Input or Output]]="Input"),0),0))</f>
        <v>0.78891624628593393</v>
      </c>
      <c r="AI39" s="26" cm="1">
        <f t="array" aca="1" ref="AI39" ca="1">INDEX(Table_Process_Details[Y Mover],MATCH(1,INDEX((Table_Process_Details[Input or Output]="Output")*(Table_Process_Details[Step Name]=Table_Process_Details[[#This Row],[Step Name]])*(Table_Process_Details[[#This Row],[Input or Output]]="Input"),0),0))</f>
        <v>21.555431875630404</v>
      </c>
      <c r="AJ39" s="26">
        <f ca="1">SQRT((Table_Process_Details[[#This Row],[X End (To Node Center)]]-Table_Process_Details[[#This Row],[X Guide]])^2+(Table_Process_Details[[#This Row],[Y End (to Node Center)]]-Table_Process_Details[[#This Row],[Y Guide]])^2)</f>
        <v>4.0512497075723219</v>
      </c>
      <c r="AK39" s="26" t="e" cm="1">
        <f t="array" ref="AK39">INDEX(Table_Process_Details[X Mover],MATCH(1,INDEX((Table_Process_Details[Step Name]=Table_Process_Details[[#This Row],[LCA Data Source Subclass]])*(Table_Process_Details[Input or Output]="Output"),0)*(Table_Process_Details[[#This Row],[Input or Output]]="Input"),0))</f>
        <v>#N/A</v>
      </c>
      <c r="AL39" s="26" cm="1">
        <f t="array" aca="1" ref="AL39" ca="1">INDEX(Table_Process_Details[X Mover],MATCH(1,INDEX(((Table_Process_Details[Table Row]=Table_Process_Details[[#This Row],[Table Row]])*(1)),0)*(Table_Process_Details[[#This Row],[Input or Output]]="Input"),0))</f>
        <v>-3.0948110474900283</v>
      </c>
      <c r="AM39" s="26" cm="1">
        <f t="array" aca="1" ref="AM39" ca="1">(Table_Process_Details[[#This Row],[X End (To Node Center)]]*Table_Process_Details[[#This Row],[r0]]-Table_Process_Details[[#This Row],[X End (To Node Center)]]*Arrow_Offset+Table_Process_Details[[#This Row],[X Guide]]*Arrow_Offset)/Table_Process_Details[[#This Row],[r0]]</f>
        <v>2.1996885770236809E-2</v>
      </c>
      <c r="AN39" s="26" t="e">
        <f>IF(NOT(Table_Process_Details[[#This Row],[Display As]]="None"),Table_Process_Details[[#This Row],[X Start Prefilter]],NA())</f>
        <v>#N/A</v>
      </c>
      <c r="AO39" s="26">
        <f ca="1">IF(NOT(Table_Process_Details[[#This Row],[Display As]]="None"),Table_Process_Details[[#This Row],[X Guide Prefilter]],NA())</f>
        <v>-3.0948110474900283</v>
      </c>
      <c r="AP39" s="26">
        <f ca="1">IF(NOT(Table_Process_Details[[#This Row],[Display As]]="None"),Table_Process_Details[[#This Row],[X End (to Stop Radius) Prefilter]],NA())</f>
        <v>2.1996885770236809E-2</v>
      </c>
      <c r="AQ39" s="26" t="e">
        <f>NA()</f>
        <v>#N/A</v>
      </c>
      <c r="AR39" s="26" t="e" cm="1">
        <f t="array" ref="AR39">INDEX(Table_Process_Details[Y Mover],MATCH(1,INDEX((Table_Process_Details[Step Name]=Table_Process_Details[[#This Row],[LCA Data Source Subclass]])*(Table_Process_Details[Input or Output]="Output"),0)*(Table_Process_Details[[#This Row],[Input or Output]]="Input"),0))</f>
        <v>#N/A</v>
      </c>
      <c r="AS39" s="26" cm="1">
        <f t="array" aca="1" ref="AS39" ca="1">INDEX(Table_Process_Details[Y Mover],MATCH(1,INDEX(((Table_Process_Details[Table Row]=Table_Process_Details[[#This Row],[Table Row]])*(1)),0)*(Table_Process_Details[[#This Row],[Input or Output]]="Input"),0))</f>
        <v>22.708378752413747</v>
      </c>
      <c r="AT39" s="26" cm="1">
        <f t="array" aca="1" ref="AT39" ca="1">(Table_Process_Details[[#This Row],[Y Guide]]*Arrow_Offset-Table_Process_Details[[#This Row],[Y End (to Node Center)]]*Arrow_Offset+Table_Process_Details[[#This Row],[Y End (to Node Center)]]*Table_Process_Details[[#This Row],[r0]])/Table_Process_Details[[#This Row],[r0]]</f>
        <v>21.783104215773413</v>
      </c>
      <c r="AU39" s="26" t="e">
        <f>IF(NOT(Table_Process_Details[[#This Row],[Display As]]="None"),Table_Process_Details[[#This Row],[Y Start Prefilter]],NA())</f>
        <v>#N/A</v>
      </c>
      <c r="AV39" s="26">
        <f ca="1">IF(NOT(Table_Process_Details[[#This Row],[Display As]]="None"),Table_Process_Details[[#This Row],[Y Guide Prefilter]],NA())</f>
        <v>22.708378752413747</v>
      </c>
      <c r="AW39" s="26">
        <f ca="1">IF(NOT(Table_Process_Details[[#This Row],[Display As]]="None"),Table_Process_Details[[#This Row],[Y End (to Stop Radius) Prefilter]],NA())</f>
        <v>21.783104215773413</v>
      </c>
      <c r="AX39" s="26" t="e">
        <f>NA()</f>
        <v>#N/A</v>
      </c>
      <c r="AY39" s="26" t="e">
        <f>IF(Table_Process_Details[[#This Row],[Display As]]="Real Step",Table_Process_Details[[#This Row],[X Mover]],NA())</f>
        <v>#N/A</v>
      </c>
      <c r="AZ39" s="26" t="e">
        <f>IF(Table_Process_Details[[#This Row],[Display As]]="Real Step",Table_Process_Details[[#This Row],[Y Mover]],NA())</f>
        <v>#N/A</v>
      </c>
      <c r="BA39" s="26">
        <f ca="1">IF(Table_Process_Details[[#This Row],[Display As]]="Raw Material",Table_Process_Details[[#This Row],[X Mover]],NA())</f>
        <v>-3.0948110474900283</v>
      </c>
      <c r="BB39" s="26">
        <f ca="1">IF(Table_Process_Details[[#This Row],[Display As]]="Raw Material",Table_Process_Details[[#This Row],[Y Mover]],NA())</f>
        <v>22.708378752413747</v>
      </c>
      <c r="BC39" s="26">
        <f ca="1">IF(OR(Table_Process_Details[[#This Row],[Display As]]="Real Step",Table_Process_Details[[#This Row],[Display As]]="Raw Material"),Table_Process_Details[[#This Row],[X Mover]],NA())</f>
        <v>-3.0948110474900283</v>
      </c>
      <c r="BD39" s="26">
        <f ca="1">IF(OR(Table_Process_Details[[#This Row],[Display As]]="Real Step",Table_Process_Details[[#This Row],[Display As]]="Raw Material"),Table_Process_Details[[#This Row],[Y Mover]],NA())</f>
        <v>22.708378752413747</v>
      </c>
      <c r="BE39" s="22">
        <f>ROW()-ROW(Table_Process_Details[[#Headers],[Table Row]])</f>
        <v>35</v>
      </c>
      <c r="BF39" s="23" t="str" cm="1">
        <f t="array" aca="1" ref="BF39" ca="1">INDEX(Table_Process_Details[Display Name],MATCH(0,IF(Table_Process_Details[Input or Output]="Input",INDEX(COUNTIF(OFFSET(Table_Process_Details[[#Headers],[Unique Process Inputs]],0,0,Table_Process_Details[[#This Row],[Table Row]],1),Table_Process_Details[Display Name]),),""),0))</f>
        <v>Intermediate (2)</v>
      </c>
      <c r="BG39" s="23">
        <f ca="1">Table_Process_Details[[#This Row],[Physical Mass (kg)]]*Table_Process_Details[[#This Row],[Step Scale Factor for 1kg Packaged API]]</f>
        <v>6.9901025556863547E-2</v>
      </c>
      <c r="BH3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39" s="23">
        <f ca="1">MATCH(Table_Process_Details[[#This Row],[LCA Data Source Class]],INDIRECT(Table_Process_Details[[#This Row],[Input or Output]]),0)</f>
        <v>2</v>
      </c>
      <c r="BJ39" s="23">
        <f ca="1">MATCH(Table_Process_Details[[#This Row],[LCA Data Source Subclass]],INDIRECT(Table_Process_Details[[#This Row],[LCA Data Source Class]]&amp;"[Name]"),0)</f>
        <v>45</v>
      </c>
      <c r="BK39" s="23">
        <f ca="1">IFERROR(INDEX(INDIRECT(Table_Process_Details[[#This Row],[LCA Data Source Class]]&amp;"[Mass Net (kg)]"),MATCH(Table_Process_Details[[#This Row],[LCA Data Source Subclass]],INDIRECT(Table_Process_Details[[#This Row],[LCA Data Source Class]]&amp;"[Name]"),0)),0)</f>
        <v>0.69945004</v>
      </c>
      <c r="BL39" s="23">
        <f ca="1">IFERROR(INDEX(INDIRECT(Table_Process_Details[[#This Row],[LCA Data Source Class]]&amp;"[Energy (MJ)]"),MATCH(Table_Process_Details[[#This Row],[LCA Data Source Subclass]],INDIRECT(Table_Process_Details[[#This Row],[LCA Data Source Class]]&amp;"[Name]"),0)),0)</f>
        <v>37.552323999999999</v>
      </c>
      <c r="BM39" s="23">
        <f ca="1">IFERROR(INDEX(INDIRECT(Table_Process_Details[[#This Row],[LCA Data Source Class]]&amp;"[GWP (kg CO2 equiv.)]"),MATCH(Table_Process_Details[[#This Row],[LCA Data Source Subclass]],INDIRECT(Table_Process_Details[[#This Row],[LCA Data Source Class]]&amp;"[Name]"),0)),0)</f>
        <v>0.74417988000000002</v>
      </c>
      <c r="BN39" s="23">
        <f ca="1">IFERROR(INDEX(INDIRECT(Table_Process_Details[[#This Row],[LCA Data Source Class]]&amp;"[Acidification (kg SO2 equiv.)]"),MATCH(Table_Process_Details[[#This Row],[LCA Data Source Subclass]],INDIRECT(Table_Process_Details[[#This Row],[LCA Data Source Class]]&amp;"[Name]"),0)),0)</f>
        <v>1.2483868E-3</v>
      </c>
      <c r="BO39" s="23">
        <f ca="1">IFERROR(INDEX(INDIRECT(Table_Process_Details[[#This Row],[LCA Data Source Class]]&amp;"[Eutrophication (kg posphate equiv.)]"),MATCH(Table_Process_Details[[#This Row],[LCA Data Source Subclass]],INDIRECT(Table_Process_Details[[#This Row],[LCA Data Source Class]]&amp;"[Name]"),0)),0)</f>
        <v>4.0846278999999999E-4</v>
      </c>
      <c r="BP39" s="23">
        <f ca="1">IFERROR(INDEX(INDIRECT(Table_Process_Details[[#This Row],[LCA Data Source Class]]&amp;"[Water (kg)]"),MATCH(Table_Process_Details[[#This Row],[LCA Data Source Subclass]],INDIRECT(Table_Process_Details[[#This Row],[LCA Data Source Class]]&amp;"[Name]"),0)),0)</f>
        <v>1.8455699999999999</v>
      </c>
      <c r="BQ39" s="27">
        <f ca="1">(Table_Process_Details[[#This Row],[Input or Output]]="Input")*(Table_Process_Details[[#This Row],[LCA Data Source Class]]&lt;&gt;"Process_Steps")*Table_Process_Details[[#This Row],[Scaled Physical Mass per kg API for All Inputs &amp; Outputs]]</f>
        <v>6.9901025556863547E-2</v>
      </c>
      <c r="BR39" s="27">
        <f ca="1">(Table_Process_Details[[#This Row],[Material Class]]="REAGENT")*Table_Process_Details[[#This Row],[Physical Mass per kg API]]</f>
        <v>0</v>
      </c>
      <c r="BS39" s="27">
        <f ca="1">(Table_Process_Details[[#This Row],[Material Class]]="METAL")*Table_Process_Details[[#This Row],[Physical Mass per kg API]]</f>
        <v>0</v>
      </c>
      <c r="BT39" s="27">
        <f ca="1">(Table_Process_Details[[#This Row],[Material Class]]="SOLVENT")*Table_Process_Details[[#This Row],[Physical Mass per kg API]]</f>
        <v>6.9901025556863547E-2</v>
      </c>
      <c r="BU39" s="27">
        <f ca="1">(Table_Process_Details[[#This Row],[Material Class]]="WATER")*Table_Process_Details[[#This Row],[Physical Mass per kg API]]</f>
        <v>0</v>
      </c>
      <c r="BV39" s="27">
        <f ca="1">(Table_Process_Details[[#This Row],[Material Class]]="ENZ&amp;PLNT")*Table_Process_Details[[#This Row],[Physical Mass per kg API]]</f>
        <v>0</v>
      </c>
      <c r="BW39" s="27">
        <f ca="1">(Table_Process_Details[[#This Row],[Material Class]]="OTHER")*Table_Process_Details[[#This Row],[Physical Mass per kg API]]</f>
        <v>0</v>
      </c>
      <c r="BX3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6.9901025556863547E-2</v>
      </c>
      <c r="BY3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3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3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6.9901025556863547E-2</v>
      </c>
      <c r="CB3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3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3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39" s="1">
        <f ca="1">SUMIFS(Table_Process_Details[RV Physical Mass per kg API],Table_Process_Details[Display Name],Table_Process_Details[[#This Row],[Unique Process Inputs]],Table_Process_Details[Input or Output],"Input")</f>
        <v>0</v>
      </c>
      <c r="CF39" s="1">
        <f ca="1">SUMIFS(Table_Process_Details[RV Physical Mass per kg API (REAGENT)],Table_Process_Details[Display Name],Table_Process_Details[[#This Row],[Unique Process Inputs]],Table_Process_Details[Input or Output],"Input")</f>
        <v>0</v>
      </c>
      <c r="CG39" s="1">
        <f ca="1">SUMIFS(Table_Process_Details[RV Physical Mass per kg API (METAL)],Table_Process_Details[Display Name],Table_Process_Details[[#This Row],[Unique Process Inputs]],Table_Process_Details[Input or Output],"Input")</f>
        <v>0</v>
      </c>
      <c r="CH39" s="1">
        <f ca="1">SUMIFS(Table_Process_Details[RV Physical Mass per kg API (SOLVENT)],Table_Process_Details[Display Name],Table_Process_Details[[#This Row],[Unique Process Inputs]],Table_Process_Details[Input or Output],"Input")</f>
        <v>0</v>
      </c>
      <c r="CI39" s="1">
        <f ca="1">SUMIFS(Table_Process_Details[RV Physical Mass per kg API (WATER)],Table_Process_Details[Display Name],Table_Process_Details[[#This Row],[Unique Process Inputs]],Table_Process_Details[Input or Output],"Input")</f>
        <v>0</v>
      </c>
      <c r="CJ39" s="1">
        <f ca="1">SUMIFS(Table_Process_Details[RV Physical Mass per kg API (ENZ&amp;PLNT)],Table_Process_Details[Display Name],Table_Process_Details[[#This Row],[Unique Process Inputs]],Table_Process_Details[Input or Output],"Input")</f>
        <v>0</v>
      </c>
      <c r="CK39" s="1">
        <f ca="1">SUMIFS(Table_Process_Details[RV Physical Mass per kg API (OTHER)],Table_Process_Details[Display Name],Table_Process_Details[[#This Row],[Unique Process Inputs]],Table_Process_Details[Input or Output],"Input")</f>
        <v>0</v>
      </c>
      <c r="CL39" s="22" t="e">
        <f ca="1">INDEX(Table_Process_Details[Unique Process Inputs],MATCH(Table_Process_Details[[#This Row],['[Physical Mass per kg API'] of Unique Inputs Sorted by '[Physical Mass per kg API']]],Table_Process_Details[Total '[Physical Mass per kg API'] of Unique Inputs],0))</f>
        <v>#N/A</v>
      </c>
      <c r="CM39" s="22" t="e">
        <f ca="1">IF(LARGE(Table_Process_Details[Total '[Physical Mass per kg API'] of Unique Inputs],Table_Process_Details[[#This Row],[Table Row]])=0,NA(),LARGE(Table_Process_Details[Total '[Physical Mass per kg API'] of Unique Inputs],Table_Process_Details[[#This Row],[Table Row]]))</f>
        <v>#N/A</v>
      </c>
      <c r="CN39" s="22" t="e">
        <f ca="1">SUM(OFFSET(Table_Process_Details['[Physical Mass per kg API'] of Unique Inputs Sorted by '[Physical Mass per kg API']],0,0,Table_Process_Details[[#This Row],[Table Row]]))</f>
        <v>#N/A</v>
      </c>
      <c r="CO39" s="22" t="e">
        <f ca="1">"("&amp;TEXT(Table_Process_Details[[#This Row],['[Physical Mass per kg API'] of Unique Inputs Sorted by '[Physical Mass per kg API']]]/SUMIF(Table_Process_Details['[Physical Mass per kg API'] of Unique Inputs Sorted by '[Physical Mass per kg API']],"&lt;&gt;#N/A"),"0%")&amp;")"</f>
        <v>#N/A</v>
      </c>
      <c r="CP39" s="22" t="e">
        <f ca="1">INDEX(Table_Process_Details[Total '[Physical Mass per kg API'] of Unique Inputs (REAGENT)],MATCH(Table_Process_Details[[#This Row],[Unique Inputs Sorted by '[Physical Mass per kg API']]],Table_Process_Details[Unique Process Inputs],0))</f>
        <v>#N/A</v>
      </c>
      <c r="CQ39" s="22" t="e">
        <f ca="1">INDEX(Table_Process_Details[Total '[Physical Mass per kg API'] of Unique Inputs (METAL)],MATCH(Table_Process_Details[[#This Row],[Unique Inputs Sorted by '[Physical Mass per kg API']]],Table_Process_Details[Unique Process Inputs],0))</f>
        <v>#N/A</v>
      </c>
      <c r="CR39" s="22" t="e">
        <f ca="1">INDEX(Table_Process_Details[Total '[Physical Mass per kg API'] of Unique Inputs (SOLVENT)],MATCH(Table_Process_Details[[#This Row],[Unique Inputs Sorted by '[Physical Mass per kg API']]],Table_Process_Details[Unique Process Inputs],0))</f>
        <v>#N/A</v>
      </c>
      <c r="CS39" s="22" t="e">
        <f ca="1">INDEX(Table_Process_Details[Total '[Physical Mass per kg API'] of Unique Inputs (WATER)],MATCH(Table_Process_Details[[#This Row],[Unique Inputs Sorted by '[Physical Mass per kg API']]],Table_Process_Details[Unique Process Inputs],0))</f>
        <v>#N/A</v>
      </c>
      <c r="CT39" s="22" t="e">
        <f ca="1">INDEX(Table_Process_Details[Total '[Physical Mass per kg API'] of Unique Inputs (ENZ&amp;PLNT)],MATCH(Table_Process_Details[[#This Row],[Unique Inputs Sorted by '[Physical Mass per kg API']]],Table_Process_Details[Unique Process Inputs],0))</f>
        <v>#N/A</v>
      </c>
      <c r="CU39" s="22" t="e">
        <f ca="1">INDEX(Table_Process_Details[Total '[Physical Mass per kg API'] of Unique Inputs (OTHER)],MATCH(Table_Process_Details[[#This Row],[Unique Inputs Sorted by '[Physical Mass per kg API']]],Table_Process_Details[Unique Process Inputs],0))</f>
        <v>#N/A</v>
      </c>
      <c r="CV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4.889227512178923E-2</v>
      </c>
      <c r="CW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4.889227512178923E-2</v>
      </c>
      <c r="CZ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3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39" s="22">
        <f ca="1">SUMIFS(Table_Process_Details[RV Mass Net (kg) per kg API],Table_Process_Details[Display Name],Table_Process_Details[[#This Row],[Unique Process Inputs]],Table_Process_Details[Input or Output],"Input")</f>
        <v>0</v>
      </c>
      <c r="DD39" s="22">
        <f ca="1">SUMIFS(Table_Process_Details[RV Mass Net (kg) per kg API (REAGENT)],Table_Process_Details[Display Name],Table_Process_Details[[#This Row],[Unique Process Inputs]],Table_Process_Details[Input or Output],"Input")</f>
        <v>0</v>
      </c>
      <c r="DE39" s="22">
        <f ca="1">SUMIFS(Table_Process_Details[RV Mass Net (kg) per kg API (METAL)],Table_Process_Details[Display Name],Table_Process_Details[[#This Row],[Unique Process Inputs]],Table_Process_Details[Input or Output],"Input")</f>
        <v>0</v>
      </c>
      <c r="DF39" s="22">
        <f ca="1">SUMIFS(Table_Process_Details[RV Mass Net (kg) per kg API (SOLVENT)],Table_Process_Details[Display Name],Table_Process_Details[[#This Row],[Unique Process Inputs]],Table_Process_Details[Input or Output],"Input")</f>
        <v>0</v>
      </c>
      <c r="DG39" s="22">
        <f ca="1">SUMIFS(Table_Process_Details[RV Mass Net (kg) per kg API (WATER)],Table_Process_Details[Display Name],Table_Process_Details[[#This Row],[Unique Process Inputs]],Table_Process_Details[Input or Output],"Input")</f>
        <v>0</v>
      </c>
      <c r="DH39" s="22">
        <f ca="1">SUMIFS(Table_Process_Details[RV Mass Net (kg) per kg API (ENZ&amp;PLNT)],Table_Process_Details[Display Name],Table_Process_Details[[#This Row],[Unique Process Inputs]],Table_Process_Details[Input or Output],"Input")</f>
        <v>0</v>
      </c>
      <c r="DI39" s="22">
        <f ca="1">SUMIFS(Table_Process_Details[RV Mass Net (kg) per kg API (OTHER)],Table_Process_Details[Display Name],Table_Process_Details[[#This Row],[Unique Process Inputs]],Table_Process_Details[Input or Output],"Input")</f>
        <v>0</v>
      </c>
      <c r="DJ39" s="22" t="e">
        <f ca="1">INDEX(Table_Process_Details[Unique Process Inputs],MATCH(Table_Process_Details[[#This Row],['[Mass Net (kg) per kg API'] of Unique Inputs Sorted by '[Mass Net (kg) per kg API']]],Table_Process_Details[Total '[Mass Net (kg) per kg API'] of Unique Inputs],0))</f>
        <v>#N/A</v>
      </c>
      <c r="DK39" s="22" t="e">
        <f ca="1">IF(LARGE(Table_Process_Details[Total '[Mass Net (kg) per kg API'] of Unique Inputs],Table_Process_Details[[#This Row],[Table Row]])=0,NA(),LARGE(Table_Process_Details[Total '[Mass Net (kg) per kg API'] of Unique Inputs],Table_Process_Details[[#This Row],[Table Row]]))</f>
        <v>#N/A</v>
      </c>
      <c r="DL39" s="22" t="e">
        <f ca="1">SUM(OFFSET(Table_Process_Details['[Mass Net (kg) per kg API'] of Unique Inputs Sorted by '[Mass Net (kg) per kg API']],0,0,Table_Process_Details[[#This Row],[Table Row]]))</f>
        <v>#N/A</v>
      </c>
      <c r="DM39" s="22" t="e">
        <f ca="1">"("&amp;TEXT(Table_Process_Details[[#This Row],['[Mass Net (kg) per kg API'] of Unique Inputs Sorted by '[Mass Net (kg) per kg API']]]/SUMIF(Table_Process_Details['[Mass Net (kg) per kg API'] of Unique Inputs Sorted by '[Mass Net (kg) per kg API']],"&lt;&gt;#N/A"),"0%")&amp;")"</f>
        <v>#N/A</v>
      </c>
      <c r="DN39" s="22" t="e">
        <f ca="1">INDEX(Table_Process_Details[Total '[Mass Net (kg) per kg API'] of Unique Inputs (REAGENT)], MATCH(Table_Process_Details[[#This Row],[Unique Inputs Sorted by '[Mass Net (kg) per kg API']]],Table_Process_Details[Unique Process Inputs],0))</f>
        <v>#N/A</v>
      </c>
      <c r="DO39" s="22" t="e">
        <f ca="1">INDEX(Table_Process_Details[Total '[Mass Net (kg) per kg API'] of Unique Inputs (METAL)], MATCH(Table_Process_Details[[#This Row],[Unique Inputs Sorted by '[Mass Net (kg) per kg API']]],Table_Process_Details[Unique Process Inputs],0))</f>
        <v>#N/A</v>
      </c>
      <c r="DP39" s="22" t="e">
        <f ca="1">INDEX(Table_Process_Details[Total '[Mass Net (kg) per kg API'] of Unique Inputs (SOLVENT)], MATCH(Table_Process_Details[[#This Row],[Unique Inputs Sorted by '[Mass Net (kg) per kg API']]],Table_Process_Details[Unique Process Inputs],0))</f>
        <v>#N/A</v>
      </c>
      <c r="DQ39" s="22" t="e">
        <f ca="1">INDEX(Table_Process_Details[Total '[Mass Net (kg) per kg API'] of Unique Inputs (WATER)], MATCH(Table_Process_Details[[#This Row],[Unique Inputs Sorted by '[Mass Net (kg) per kg API']]],Table_Process_Details[Unique Process Inputs],0))</f>
        <v>#N/A</v>
      </c>
      <c r="DR39" s="22" t="e">
        <f ca="1">INDEX(Table_Process_Details[Total '[Mass Net (kg) per kg API'] of Unique Inputs (ENZ&amp;PLNT)], MATCH(Table_Process_Details[[#This Row],[Unique Inputs Sorted by '[Mass Net (kg) per kg API']]],Table_Process_Details[Unique Process Inputs],0))</f>
        <v>#N/A</v>
      </c>
      <c r="DS39" s="22" t="e">
        <f ca="1">INDEX(Table_Process_Details[Total '[Mass Net (kg) per kg API'] of Unique Inputs (OTHER)], MATCH(Table_Process_Details[[#This Row],[Unique Inputs Sorted by '[Mass Net (kg) per kg API']]],Table_Process_Details[Unique Process Inputs],0))</f>
        <v>#N/A</v>
      </c>
      <c r="DT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2.6249459596436204</v>
      </c>
      <c r="DU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2.6249459596436204</v>
      </c>
      <c r="DX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3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39" s="1">
        <f ca="1">SUMIFS(Table_Process_Details[RV Energy (MJ) per kg API],Table_Process_Details[Display Name],Table_Process_Details[[#This Row],[Unique Process Inputs]],Table_Process_Details[Input or Output],"Input")</f>
        <v>0</v>
      </c>
      <c r="EB39" s="1">
        <f ca="1">SUMIFS(Table_Process_Details[RV Energy (MJ) per kg API (REAGENT)],Table_Process_Details[Display Name],Table_Process_Details[[#This Row],[Unique Process Inputs]],Table_Process_Details[Input or Output],"Input")</f>
        <v>0</v>
      </c>
      <c r="EC39" s="1">
        <f ca="1">SUMIFS(Table_Process_Details[RV Energy (MJ) per kg API (METAL)],Table_Process_Details[Display Name],Table_Process_Details[[#This Row],[Unique Process Inputs]],Table_Process_Details[Input or Output],"Input")</f>
        <v>0</v>
      </c>
      <c r="ED39" s="1">
        <f ca="1">SUMIFS(Table_Process_Details[RV Energy (MJ) per kg API (SOLVENT)],Table_Process_Details[Display Name],Table_Process_Details[[#This Row],[Unique Process Inputs]],Table_Process_Details[Input or Output],"Input")</f>
        <v>0</v>
      </c>
      <c r="EE39" s="1">
        <f ca="1">SUMIFS(Table_Process_Details[RV Energy (MJ) per kg API (WATER)],Table_Process_Details[Display Name],Table_Process_Details[[#This Row],[Unique Process Inputs]],Table_Process_Details[Input or Output],"Input")</f>
        <v>0</v>
      </c>
      <c r="EF39" s="1">
        <f ca="1">SUMIFS(Table_Process_Details[RV Energy (MJ) per kg API (ENZ&amp;PLNT)],Table_Process_Details[Display Name],Table_Process_Details[[#This Row],[Unique Process Inputs]],Table_Process_Details[Input or Output],"Input")</f>
        <v>0</v>
      </c>
      <c r="EG39" s="1">
        <f ca="1">SUMIFS(Table_Process_Details[RV Energy (MJ) per kg API (OTHER)],Table_Process_Details[Display Name],Table_Process_Details[[#This Row],[Unique Process Inputs]],Table_Process_Details[Input or Output],"Input")</f>
        <v>0</v>
      </c>
      <c r="EH39" s="1" t="e">
        <f ca="1">INDEX(Table_Process_Details[Unique Process Inputs],MATCH(Table_Process_Details[[#This Row],['[Energy (MJ) per kg API'] of Unique Inputs Sorted by '[Energy (MJ) per kg API']]],Table_Process_Details[Total '[Energy (MJ) per kg API'] of Unique Inputs],0))</f>
        <v>#N/A</v>
      </c>
      <c r="EI39" s="22" t="e">
        <f ca="1">IF(LARGE(Table_Process_Details[Total '[Energy (MJ) per kg API'] of Unique Inputs],Table_Process_Details[[#This Row],[Table Row]])=0,NA(),LARGE(Table_Process_Details[Total '[Energy (MJ) per kg API'] of Unique Inputs],Table_Process_Details[[#This Row],[Table Row]]))</f>
        <v>#N/A</v>
      </c>
      <c r="EJ39" s="22" t="e">
        <f ca="1">SUM(OFFSET(Table_Process_Details['[Energy (MJ) per kg API'] of Unique Inputs Sorted by '[Energy (MJ) per kg API']],0,0,Table_Process_Details[[#This Row],[Table Row]]))</f>
        <v>#N/A</v>
      </c>
      <c r="EK39" s="22" t="e">
        <f ca="1">"("&amp;TEXT(Table_Process_Details[[#This Row],['[Energy (MJ) per kg API'] of Unique Inputs Sorted by '[Energy (MJ) per kg API']]]/SUMIF(Table_Process_Details['[Energy (MJ) per kg API'] of Unique Inputs Sorted by '[Energy (MJ) per kg API']],"&lt;&gt;#N/A"),"0%")&amp;")"</f>
        <v>#N/A</v>
      </c>
      <c r="EL39" s="22" t="e">
        <f ca="1">INDEX(Table_Process_Details[Total '[Energy (MJ) per kg API'] of Unique Inputs (REAGENT)], MATCH(Table_Process_Details[[#This Row],[Unique Inputs Sorted by '[Energy (MJ) per kg API']]],Table_Process_Details[Unique Process Inputs],0))</f>
        <v>#N/A</v>
      </c>
      <c r="EM39" s="22" t="e">
        <f ca="1">INDEX(Table_Process_Details[Total '[Energy (MJ) per kg API'] of Unique Inputs (METAL)], MATCH(Table_Process_Details[[#This Row],[Unique Inputs Sorted by '[Energy (MJ) per kg API']]],Table_Process_Details[Unique Process Inputs],0))</f>
        <v>#N/A</v>
      </c>
      <c r="EN39" s="22" t="e">
        <f ca="1">INDEX(Table_Process_Details[Total '[Energy (MJ) per kg API'] of Unique Inputs (SOLVENT)], MATCH(Table_Process_Details[[#This Row],[Unique Inputs Sorted by '[Energy (MJ) per kg API']]],Table_Process_Details[Unique Process Inputs],0))</f>
        <v>#N/A</v>
      </c>
      <c r="EO39" s="22" t="e">
        <f ca="1">INDEX(Table_Process_Details[Total '[Energy (MJ) per kg API'] of Unique Inputs (WATER)], MATCH(Table_Process_Details[[#This Row],[Unique Inputs Sorted by '[Energy (MJ) per kg API']]],Table_Process_Details[Unique Process Inputs],0))</f>
        <v>#N/A</v>
      </c>
      <c r="EP39" s="22" t="e">
        <f ca="1">INDEX(Table_Process_Details[Total '[Energy (MJ) per kg API'] of Unique Inputs (ENZ&amp;PLNT)], MATCH(Table_Process_Details[[#This Row],[Unique Inputs Sorted by '[Energy (MJ) per kg API']]],Table_Process_Details[Unique Process Inputs],0))</f>
        <v>#N/A</v>
      </c>
      <c r="EQ39" s="22" t="e">
        <f ca="1">INDEX(Table_Process_Details[Total '[Energy (MJ) per kg API'] of Unique Inputs (OTHER)], MATCH(Table_Process_Details[[#This Row],[Unique Inputs Sorted by '[Energy (MJ) per kg API']]],Table_Process_Details[Unique Process Inputs],0))</f>
        <v>#N/A</v>
      </c>
      <c r="ER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5.201893681078365E-2</v>
      </c>
      <c r="ES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5.201893681078365E-2</v>
      </c>
      <c r="EV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3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39" s="22">
        <f ca="1">SUMIFS(Table_Process_Details[RV GWP (kg CO2 equiv.) per kg API],Table_Process_Details[Display Name],Table_Process_Details[[#This Row],[Unique Process Inputs]],Table_Process_Details[Input or Output],"Input")</f>
        <v>0</v>
      </c>
      <c r="EZ39" s="1">
        <f ca="1">SUMIFS(Table_Process_Details[RV GWP (kg CO2 equiv.) per kg API (REAGENT)],Table_Process_Details[Display Name],Table_Process_Details[[#This Row],[Unique Process Inputs]],Table_Process_Details[Input or Output],"Input")</f>
        <v>0</v>
      </c>
      <c r="FA39" s="1">
        <f ca="1">SUMIFS(Table_Process_Details[RV GWP (kg CO2 equiv.) per kg API (METAL)],Table_Process_Details[Display Name],Table_Process_Details[[#This Row],[Unique Process Inputs]],Table_Process_Details[Input or Output],"Input")</f>
        <v>0</v>
      </c>
      <c r="FB39" s="1">
        <f ca="1">SUMIFS(Table_Process_Details[RV GWP (kg CO2 equiv.) per kg API (SOLVENT)],Table_Process_Details[Display Name],Table_Process_Details[[#This Row],[Unique Process Inputs]],Table_Process_Details[Input or Output],"Input")</f>
        <v>0</v>
      </c>
      <c r="FC39" s="1">
        <f ca="1">SUMIFS(Table_Process_Details[RV GWP (kg CO2 equiv.) per kg API (WATER)],Table_Process_Details[Display Name],Table_Process_Details[[#This Row],[Unique Process Inputs]],Table_Process_Details[Input or Output],"Input")</f>
        <v>0</v>
      </c>
      <c r="FD39" s="1">
        <f ca="1">SUMIFS(Table_Process_Details[RV GWP (kg CO2 equiv.) per kg API (ENZ&amp;PLNT)],Table_Process_Details[Display Name],Table_Process_Details[[#This Row],[Unique Process Inputs]],Table_Process_Details[Input or Output],"Input")</f>
        <v>0</v>
      </c>
      <c r="FE39" s="1">
        <f ca="1">SUMIFS(Table_Process_Details[RV GWP (kg CO2 equiv.) per kg API (OTHER)],Table_Process_Details[Display Name],Table_Process_Details[[#This Row],[Unique Process Inputs]],Table_Process_Details[Input or Output],"Input")</f>
        <v>0</v>
      </c>
      <c r="FF39" s="22" t="e">
        <f ca="1">INDEX(Table_Process_Details[Unique Process Inputs],MATCH(Table_Process_Details[[#This Row],['[GWP (kg CO2 equiv.) per kg API'] of Unique Inputs Sorted by '[GWP (kg CO2 equiv.) per kg API']]],Table_Process_Details[Total '[GWP (kg CO2 equiv.) per kg API'] of Unique Inputs],0))</f>
        <v>#N/A</v>
      </c>
      <c r="FG39" s="22" t="e">
        <f ca="1">IF(LARGE(Table_Process_Details[Total '[GWP (kg CO2 equiv.) per kg API'] of Unique Inputs],Table_Process_Details[[#This Row],[Table Row]])=0,NA(),LARGE(Table_Process_Details[Total '[GWP (kg CO2 equiv.) per kg API'] of Unique Inputs],Table_Process_Details[[#This Row],[Table Row]]))</f>
        <v>#N/A</v>
      </c>
      <c r="FH39" s="22" t="e">
        <f ca="1">SUM(OFFSET(Table_Process_Details['[GWP (kg CO2 equiv.) per kg API'] of Unique Inputs Sorted by '[GWP (kg CO2 equiv.) per kg API']],0,0,Table_Process_Details[[#This Row],[Table Row]]))</f>
        <v>#N/A</v>
      </c>
      <c r="FI39" s="22" t="e">
        <f ca="1">"("&amp;TEXT(Table_Process_Details[[#This Row],['[GWP (kg CO2 equiv.) per kg API'] of Unique Inputs Sorted by '[GWP (kg CO2 equiv.) per kg API']]]/SUMIF(Table_Process_Details['[GWP (kg CO2 equiv.) per kg API'] of Unique Inputs Sorted by '[GWP (kg CO2 equiv.) per kg API']],"&lt;&gt;#N/A"),"0%")&amp;")"</f>
        <v>#N/A</v>
      </c>
      <c r="FJ39" s="22" t="e">
        <f ca="1">INDEX(Table_Process_Details[Total '[GWP (kg CO2 equiv.) per kg API'] of Unique Inputs (REAGENT)], MATCH(Table_Process_Details[[#This Row],[Unique Inputs Sorted by '[GWP (kg CO2 equiv.) per kg API']]],Table_Process_Details[Unique Process Inputs],0))</f>
        <v>#N/A</v>
      </c>
      <c r="FK39" s="22" t="e">
        <f ca="1">INDEX(Table_Process_Details[Total '[GWP (kg CO2 equiv.) per kg API'] of Unique Inputs (METAL)], MATCH(Table_Process_Details[[#This Row],[Unique Inputs Sorted by '[GWP (kg CO2 equiv.) per kg API']]],Table_Process_Details[Unique Process Inputs],0))</f>
        <v>#N/A</v>
      </c>
      <c r="FL39" s="22" t="e">
        <f ca="1">INDEX(Table_Process_Details[Total '[GWP (kg CO2 equiv.) per kg API'] of Unique Inputs (SOLVENT)], MATCH(Table_Process_Details[[#This Row],[Unique Inputs Sorted by '[GWP (kg CO2 equiv.) per kg API']]],Table_Process_Details[Unique Process Inputs],0))</f>
        <v>#N/A</v>
      </c>
      <c r="FM39" s="22" t="e">
        <f ca="1">INDEX(Table_Process_Details[Total '[GWP (kg CO2 equiv.) per kg API'] of Unique Inputs (WATER)], MATCH(Table_Process_Details[[#This Row],[Unique Inputs Sorted by '[GWP (kg CO2 equiv.) per kg API']]],Table_Process_Details[Unique Process Inputs],0))</f>
        <v>#N/A</v>
      </c>
      <c r="FN39" s="22" t="e">
        <f ca="1">INDEX(Table_Process_Details[Total '[GWP (kg CO2 equiv.) per kg API'] of Unique Inputs (ENZ&amp;PLNT)], MATCH(Table_Process_Details[[#This Row],[Unique Inputs Sorted by '[GWP (kg CO2 equiv.) per kg API']]],Table_Process_Details[Unique Process Inputs],0))</f>
        <v>#N/A</v>
      </c>
      <c r="FO39" s="22" t="e">
        <f ca="1">INDEX(Table_Process_Details[Total '[GWP (kg CO2 equiv.) per kg API'] of Unique Inputs (OTHER)], MATCH(Table_Process_Details[[#This Row],[Unique Inputs Sorted by '[GWP (kg CO2 equiv.) per kg API']]],Table_Process_Details[Unique Process Inputs],0))</f>
        <v>#N/A</v>
      </c>
      <c r="FP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8.7263517611651099E-5</v>
      </c>
      <c r="FQ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8.7263517611651099E-5</v>
      </c>
      <c r="FT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3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39" s="22">
        <f ca="1">SUMIFS(Table_Process_Details[RV Acidification (kg SO2 equiv.) per kg API],Table_Process_Details[Display Name],Table_Process_Details[[#This Row],[Unique Process Inputs]],Table_Process_Details[Input or Output],"Input")</f>
        <v>0</v>
      </c>
      <c r="FX39" s="1">
        <f ca="1">SUMIFS(Table_Process_Details[RV Acidification (kg SO2 equiv.) per kg API (REAGENT)],Table_Process_Details[Display Name],Table_Process_Details[[#This Row],[Unique Process Inputs]],Table_Process_Details[Input or Output],"Input")</f>
        <v>0</v>
      </c>
      <c r="FY39" s="1">
        <f ca="1">SUMIFS(Table_Process_Details[RV Acidification (kg SO2 equiv.) per kg API (METAL)],Table_Process_Details[Display Name],Table_Process_Details[[#This Row],[Unique Process Inputs]],Table_Process_Details[Input or Output],"Input")</f>
        <v>0</v>
      </c>
      <c r="FZ39" s="1">
        <f ca="1">SUMIFS(Table_Process_Details[RV Acidification (kg SO2 equiv.) per kg API (SOLVENT)],Table_Process_Details[Display Name],Table_Process_Details[[#This Row],[Unique Process Inputs]],Table_Process_Details[Input or Output],"Input")</f>
        <v>0</v>
      </c>
      <c r="GA39" s="1">
        <f ca="1">SUMIFS(Table_Process_Details[RV Acidification (kg SO2 equiv.) per kg API (WATER)],Table_Process_Details[Display Name],Table_Process_Details[[#This Row],[Unique Process Inputs]],Table_Process_Details[Input or Output],"Input")</f>
        <v>0</v>
      </c>
      <c r="GB39" s="1">
        <f ca="1">SUMIFS(Table_Process_Details[RV Acidification (kg SO2 equiv.) per kg API (ENZ&amp;PLNT)],Table_Process_Details[Display Name],Table_Process_Details[[#This Row],[Unique Process Inputs]],Table_Process_Details[Input or Output],"Input")</f>
        <v>0</v>
      </c>
      <c r="GC39" s="1">
        <f ca="1">SUMIFS(Table_Process_Details[RV Acidification (kg SO2 equiv.) per kg API (OTHER)],Table_Process_Details[Display Name],Table_Process_Details[[#This Row],[Unique Process Inputs]],Table_Process_Details[Input or Output],"Input")</f>
        <v>0</v>
      </c>
      <c r="GD39"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39"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39" s="22" t="e">
        <f ca="1">SUM(OFFSET(Table_Process_Details['[Acidification (kg SO2 equiv.) per kg API'] of Unique Inputs Sorted by '[Acidification (kg SO2 equiv.) per kg API']],0,0,Table_Process_Details[[#This Row],[Table Row]]))</f>
        <v>#N/A</v>
      </c>
      <c r="GG39"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39" s="22" t="e">
        <f ca="1">INDEX(Table_Process_Details[Total '[Acidification (kg SO2 equiv.) per kg API'] of Unique Inputs (REAGENT)], MATCH(Table_Process_Details[[#This Row],[Unique Inputs Sorted by '[Acidification (kg SO2 equiv.) per kg API']]],Table_Process_Details[Unique Process Inputs],0))</f>
        <v>#N/A</v>
      </c>
      <c r="GI39" s="22" t="e">
        <f ca="1">INDEX(Table_Process_Details[Total '[Acidification (kg SO2 equiv.) per kg API'] of Unique Inputs (METAL)], MATCH(Table_Process_Details[[#This Row],[Unique Inputs Sorted by '[Acidification (kg SO2 equiv.) per kg API']]],Table_Process_Details[Unique Process Inputs],0))</f>
        <v>#N/A</v>
      </c>
      <c r="GJ39" s="22" t="e">
        <f ca="1">INDEX(Table_Process_Details[Total '[Acidification (kg SO2 equiv.) per kg API'] of Unique Inputs (SOLVENT)], MATCH(Table_Process_Details[[#This Row],[Unique Inputs Sorted by '[Acidification (kg SO2 equiv.) per kg API']]],Table_Process_Details[Unique Process Inputs],0))</f>
        <v>#N/A</v>
      </c>
      <c r="GK39" s="22" t="e">
        <f ca="1">INDEX(Table_Process_Details[Total '[Acidification (kg SO2 equiv.) per kg API'] of Unique Inputs (WATER)], MATCH(Table_Process_Details[[#This Row],[Unique Inputs Sorted by '[Acidification (kg SO2 equiv.) per kg API']]],Table_Process_Details[Unique Process Inputs],0))</f>
        <v>#N/A</v>
      </c>
      <c r="GL39" s="22" t="e">
        <f ca="1">INDEX(Table_Process_Details[Total '[Acidification (kg SO2 equiv.) per kg API'] of Unique Inputs (ENZ&amp;PLNT)], MATCH(Table_Process_Details[[#This Row],[Unique Inputs Sorted by '[Acidification (kg SO2 equiv.) per kg API']]],Table_Process_Details[Unique Process Inputs],0))</f>
        <v>#N/A</v>
      </c>
      <c r="GM39" s="22" t="e">
        <f ca="1">INDEX(Table_Process_Details[Total '[Acidification (kg SO2 equiv.) per kg API'] of Unique Inputs (OTHER)], MATCH(Table_Process_Details[[#This Row],[Unique Inputs Sorted by '[Acidification (kg SO2 equiv.) per kg API']]],Table_Process_Details[Unique Process Inputs],0))</f>
        <v>#N/A</v>
      </c>
      <c r="GN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2.8551967922817788E-5</v>
      </c>
      <c r="GO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2.8551967922817788E-5</v>
      </c>
      <c r="GR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3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39" s="22">
        <f ca="1">SUMIFS(Table_Process_Details[RV Eutrophication (kg phosphate equiv.) per kg API],Table_Process_Details[Display Name],Table_Process_Details[[#This Row],[Unique Process Inputs]],Table_Process_Details[Input or Output],"Input")</f>
        <v>0</v>
      </c>
      <c r="GV39" s="1">
        <f ca="1">SUMIFS(Table_Process_Details[RV Eutrophication (kg phosphate equiv.) per kg API (REAGENT)],Table_Process_Details[Display Name],Table_Process_Details[[#This Row],[Unique Process Inputs]],Table_Process_Details[Input or Output],"Input")</f>
        <v>0</v>
      </c>
      <c r="GW39" s="1">
        <f ca="1">SUMIFS(Table_Process_Details[RV Eutrophication (kg phosphate equiv.) per kg API (METAL)],Table_Process_Details[Display Name],Table_Process_Details[[#This Row],[Unique Process Inputs]],Table_Process_Details[Input or Output],"Input")</f>
        <v>0</v>
      </c>
      <c r="GX39" s="1">
        <f ca="1">SUMIFS(Table_Process_Details[RV Eutrophication (kg phosphate equiv.) per kg API (SOLVENT)],Table_Process_Details[Display Name],Table_Process_Details[[#This Row],[Unique Process Inputs]],Table_Process_Details[Input or Output],"Input")</f>
        <v>0</v>
      </c>
      <c r="GY39" s="1">
        <f ca="1">SUMIFS(Table_Process_Details[RV Eutrophication (kg phosphate equiv.) per kg API (WATER)],Table_Process_Details[Display Name],Table_Process_Details[[#This Row],[Unique Process Inputs]],Table_Process_Details[Input or Output],"Input")</f>
        <v>0</v>
      </c>
      <c r="GZ39" s="1">
        <f ca="1">SUMIFS(Table_Process_Details[RV Eutrophication (kg phosphate equiv.) per kg API (ENZ&amp;PLNT)],Table_Process_Details[Display Name],Table_Process_Details[[#This Row],[Unique Process Inputs]],Table_Process_Details[Input or Output],"Input")</f>
        <v>0</v>
      </c>
      <c r="HA39" s="1">
        <f ca="1">SUMIFS(Table_Process_Details[RV Eutrophication (kg phosphate equiv.) per kg API (OTHER)],Table_Process_Details[Display Name],Table_Process_Details[[#This Row],[Unique Process Inputs]],Table_Process_Details[Input or Output],"Input")</f>
        <v>0</v>
      </c>
      <c r="HB39"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39"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39" s="22" t="e">
        <f ca="1">SUM(OFFSET(Table_Process_Details['[Eutrophication (kg posphate equiv.) per kg API'] of Unique Inputs Sorted by '[Eutrophication (kg posphate equiv.) per kg API']],0,0,Table_Process_Details[[#This Row],[Table Row]]))</f>
        <v>#N/A</v>
      </c>
      <c r="HE39"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39" s="1" t="e">
        <f ca="1">INDEX(Table_Process_Details[Total '[Eutrophication (kg posphate equiv.) per kg API'] of Unique Inputs (REAGENT)], MATCH(Table_Process_Details[[#This Row],[Unique Inputs Sorted by '[Eutrophication (kg posphate equiv.) per kg API']]],Table_Process_Details[Unique Process Inputs],0))</f>
        <v>#N/A</v>
      </c>
      <c r="HG39" s="1" t="e">
        <f ca="1">INDEX(Table_Process_Details[Total '[Eutrophication (kg posphate equiv.) per kg API'] of Unique Inputs (METAL)], MATCH(Table_Process_Details[[#This Row],[Unique Inputs Sorted by '[Eutrophication (kg posphate equiv.) per kg API']]],Table_Process_Details[Unique Process Inputs],0))</f>
        <v>#N/A</v>
      </c>
      <c r="HH39" s="1" t="e">
        <f ca="1">INDEX(Table_Process_Details[Total '[Eutrophication (kg posphate equiv.) per kg API'] of Unique Inputs (SOLVENT)], MATCH(Table_Process_Details[[#This Row],[Unique Inputs Sorted by '[Eutrophication (kg posphate equiv.) per kg API']]],Table_Process_Details[Unique Process Inputs],0))</f>
        <v>#N/A</v>
      </c>
      <c r="HI39" s="1" t="e">
        <f ca="1">INDEX(Table_Process_Details[Total '[Eutrophication (kg posphate equiv.) per kg API'] of Unique Inputs (WATER)], MATCH(Table_Process_Details[[#This Row],[Unique Inputs Sorted by '[Eutrophication (kg posphate equiv.) per kg API']]],Table_Process_Details[Unique Process Inputs],0))</f>
        <v>#N/A</v>
      </c>
      <c r="HJ39" s="1" t="e">
        <f ca="1">INDEX(Table_Process_Details[Total '[Eutrophication (kg posphate equiv.) per kg API'] of Unique Inputs (ENZ&amp;PLNT)], MATCH(Table_Process_Details[[#This Row],[Unique Inputs Sorted by '[Eutrophication (kg posphate equiv.) per kg API']]],Table_Process_Details[Unique Process Inputs],0))</f>
        <v>#N/A</v>
      </c>
      <c r="HK39" s="1" t="e">
        <f ca="1">INDEX(Table_Process_Details[Total '[Eutrophication (kg posphate equiv.) per kg API'] of Unique Inputs (OTHER)], MATCH(Table_Process_Details[[#This Row],[Unique Inputs Sorted by '[Eutrophication (kg posphate equiv.) per kg API']]],Table_Process_Details[Unique Process Inputs],0))</f>
        <v>#N/A</v>
      </c>
      <c r="HL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0.12900723573698064</v>
      </c>
      <c r="HM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0.12900723573698064</v>
      </c>
      <c r="HP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3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39" s="1">
        <f ca="1">SUMIFS(Table_Process_Details[RV Water (kg) per kg API],Table_Process_Details[Display Name],Table_Process_Details[[#This Row],[Unique Process Inputs]],Table_Process_Details[Input or Output],"Input")</f>
        <v>0</v>
      </c>
      <c r="HT39" s="1">
        <f ca="1">SUMIFS(Table_Process_Details[RV Water (kg) per kg API (REAGENT)],Table_Process_Details[Display Name],Table_Process_Details[[#This Row],[Unique Process Inputs]],Table_Process_Details[Input or Output],"Input")</f>
        <v>0</v>
      </c>
      <c r="HU39" s="1">
        <f ca="1">SUMIFS(Table_Process_Details[RV Water (kg) per kg API (METAL)],Table_Process_Details[Display Name],Table_Process_Details[[#This Row],[Unique Process Inputs]],Table_Process_Details[Input or Output],"Input")</f>
        <v>0</v>
      </c>
      <c r="HV39" s="1">
        <f ca="1">SUMIFS(Table_Process_Details[RV Water (kg) per kg API (SOLVENT)],Table_Process_Details[Display Name],Table_Process_Details[[#This Row],[Unique Process Inputs]],Table_Process_Details[Input or Output],"Input")</f>
        <v>0</v>
      </c>
      <c r="HW39" s="1">
        <f ca="1">SUMIFS(Table_Process_Details[RV Water (kg) per kg API (WATER)],Table_Process_Details[Display Name],Table_Process_Details[[#This Row],[Unique Process Inputs]],Table_Process_Details[Input or Output],"Input")</f>
        <v>0</v>
      </c>
      <c r="HX39" s="1">
        <f ca="1">SUMIFS(Table_Process_Details[RV Water (kg) per kg API (ENZ&amp;PLNT)],Table_Process_Details[Display Name],Table_Process_Details[[#This Row],[Unique Process Inputs]],Table_Process_Details[Input or Output],"Input")</f>
        <v>0</v>
      </c>
      <c r="HY39" s="1">
        <f ca="1">SUMIFS(Table_Process_Details[RV Water (kg) per kg API (OTHER)],Table_Process_Details[Display Name],Table_Process_Details[[#This Row],[Unique Process Inputs]],Table_Process_Details[Input or Output],"Input")</f>
        <v>0</v>
      </c>
      <c r="HZ39" s="22" t="e">
        <f ca="1">INDEX(Table_Process_Details[Unique Process Inputs],MATCH(Table_Process_Details[[#This Row],['[Water (kg) per kg API'] of Unique Inputs Sorted by '[Water (kg) per kg API']]],Table_Process_Details[Total '[Water (kg) per kg API'] of Unique Inputs],0))</f>
        <v>#N/A</v>
      </c>
      <c r="IA39" s="22" t="e">
        <f ca="1">IF(LARGE(Table_Process_Details[Total '[Water (kg) per kg API'] of Unique Inputs],Table_Process_Details[[#This Row],[Table Row]])=0,NA(),LARGE(Table_Process_Details[Total '[Water (kg) per kg API'] of Unique Inputs],Table_Process_Details[[#This Row],[Table Row]]))</f>
        <v>#N/A</v>
      </c>
      <c r="IB39" s="1" t="e">
        <f ca="1">SUM(OFFSET(Table_Process_Details['[Water (kg) per kg API'] of Unique Inputs Sorted by '[Water (kg) per kg API']],0,0,Table_Process_Details[[#This Row],[Table Row]]))</f>
        <v>#N/A</v>
      </c>
      <c r="IC39" s="1" t="e">
        <f ca="1">"("&amp;TEXT(Table_Process_Details[[#This Row],['[Water (kg) per kg API'] of Unique Inputs Sorted by '[Water (kg) per kg API']]]/SUMIF(Table_Process_Details['[Water (kg) per kg API'] of Unique Inputs Sorted by '[Water (kg) per kg API']],"&lt;&gt;#N/A"),"0%")&amp;")"</f>
        <v>#N/A</v>
      </c>
      <c r="ID39" s="1" t="e">
        <f ca="1">INDEX(Table_Process_Details[Total '[Water (kg) per kg API'] of Unique Inputs (REAGENT)], MATCH(Table_Process_Details[[#This Row],[Unique Inputs Sorted by '[Water (kg) per kg API']]],Table_Process_Details[Unique Process Inputs],0))</f>
        <v>#N/A</v>
      </c>
      <c r="IE39" s="1" t="e">
        <f ca="1">INDEX(Table_Process_Details[Total '[Water (kg) per kg API'] of Unique Inputs (METAL)], MATCH(Table_Process_Details[[#This Row],[Unique Inputs Sorted by '[Water (kg) per kg API']]],Table_Process_Details[Unique Process Inputs],0))</f>
        <v>#N/A</v>
      </c>
      <c r="IF39" s="1" t="e">
        <f ca="1">INDEX(Table_Process_Details[Total '[Water (kg) per kg API'] of Unique Inputs (SOLVENT)], MATCH(Table_Process_Details[[#This Row],[Unique Inputs Sorted by '[Water (kg) per kg API']]],Table_Process_Details[Unique Process Inputs],0))</f>
        <v>#N/A</v>
      </c>
      <c r="IG39" s="1" t="e">
        <f ca="1">INDEX(Table_Process_Details[Total '[Water (kg) per kg API'] of Unique Inputs (WATER)], MATCH(Table_Process_Details[[#This Row],[Unique Inputs Sorted by '[Water (kg) per kg API']]],Table_Process_Details[Unique Process Inputs],0))</f>
        <v>#N/A</v>
      </c>
      <c r="IH39" s="1" t="e">
        <f ca="1">INDEX(Table_Process_Details[Total '[Water (kg) per kg API'] of Unique Inputs (ENZ&amp;PLNT)], MATCH(Table_Process_Details[[#This Row],[Unique Inputs Sorted by '[Water (kg) per kg API']]],Table_Process_Details[Unique Process Inputs],0))</f>
        <v>#N/A</v>
      </c>
      <c r="II39" s="1" t="e">
        <f ca="1">INDEX(Table_Process_Details[Total '[Water (kg) per kg API'] of Unique Inputs (OTHER)], MATCH(Table_Process_Details[[#This Row],[Unique Inputs Sorted by '[Water (kg) per kg API']]],Table_Process_Details[Unique Process Inputs],0))</f>
        <v>#N/A</v>
      </c>
    </row>
    <row r="40" spans="1:243" s="139" customFormat="1" ht="15.75" thickBot="1" x14ac:dyDescent="0.3">
      <c r="A40" s="132" t="str">
        <f>A39</f>
        <v>1) Synthesis of Intermediate (1)</v>
      </c>
      <c r="B40" s="133" t="s">
        <v>5</v>
      </c>
      <c r="C40" s="133" t="s">
        <v>155</v>
      </c>
      <c r="D40" s="132" t="s">
        <v>155</v>
      </c>
      <c r="E40" s="132" t="str">
        <f>'1. Define Process Steps'!C13</f>
        <v>Intermediate (1)</v>
      </c>
      <c r="F40" s="166">
        <f>50/0.98</f>
        <v>51.020408163265309</v>
      </c>
      <c r="G40" s="134"/>
      <c r="H40" s="134" t="s">
        <v>862</v>
      </c>
      <c r="I40" s="134"/>
      <c r="J40" s="134" t="str">
        <f>INDEX(Process_Steps[Reference],MATCH(Table_Process_Details[[#This Row],[Step Name]],Process_Steps[Name],0))</f>
        <v>Reference Document  for Step 1</v>
      </c>
      <c r="K40" s="135" t="str">
        <f>INDEX(Process_Steps[Real or Virtual?],MATCH(Table_Process_Details[[#This Row],[Step Name]],Process_Steps[Name],0))</f>
        <v>Real</v>
      </c>
      <c r="L40" s="134"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40" s="134"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40" s="134">
        <f>INDEX(Table_Process_Details[Physical Mass (kg)],MATCH(1,INDEX(((Table_Process_Details[Step Name]=Table_Process_Details[[#This Row],[Step Name]])*(Table_Process_Details[Input or Output]="Output")),0),0))</f>
        <v>51.020408163265309</v>
      </c>
      <c r="O40" s="136">
        <f ca="1">INDEX(Process_Steps[Step Scale Factor for 1kg Packaged API],MATCH(Table_Process_Details[[#This Row],[Step Name]],Process_Steps[Name],0))</f>
        <v>6.9901025556863543E-3</v>
      </c>
      <c r="P40" s="134">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v>
      </c>
      <c r="Q40" s="134">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v>
      </c>
      <c r="R40" s="134">
        <f ca="1">_xlfn.SWITCH(Run_Reset_PNG,"Reset",Table_Process_Details[[#This Row],[X Init]],"Run",Table_Process_Details[[#This Row],[X Moved]],"Freeze",Table_Process_Details[[#This Row],[X Mover]])</f>
        <v>0.78891624628593393</v>
      </c>
      <c r="S40" s="134">
        <f ca="1">_xlfn.SWITCH(Run_Reset_PNG,"Reset",Table_Process_Details[[#This Row],[Y Init]],"Run",Table_Process_Details[[#This Row],[Y Moved]],"Freeze",Table_Process_Details[[#This Row],[Y Mover]])</f>
        <v>21.555431875630404</v>
      </c>
      <c r="T40" s="134" cm="1">
        <f t="array" aca="1" ref="T4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-0.35571687618101283</v>
      </c>
      <c r="U40" s="134" cm="1">
        <f t="array" aca="1" ref="U4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1.9077259761415242</v>
      </c>
      <c r="V40" s="134" cm="1">
        <f t="array" aca="1" ref="V40" ca="1">SUM(--(SQRT((Table_Process_Details[[#This Row],[X Mover]]-Table_Process_Details[X Mover])^2+(Table_Process_Details[[#This Row],[Y Mover]]-Table_Process_Details[Y Mover])^2)&lt;Collision_Distance))</f>
        <v>19</v>
      </c>
      <c r="W40" s="134" cm="1">
        <f t="array" aca="1" ref="W4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-0.1237096049964827</v>
      </c>
      <c r="X40" s="134" cm="1">
        <f t="array" aca="1" ref="X4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-0.1479999487826924</v>
      </c>
      <c r="Y40" s="134" cm="1">
        <f t="array" aca="1" ref="Y4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18</v>
      </c>
      <c r="Z40" s="134">
        <f>0</f>
        <v>0</v>
      </c>
      <c r="AA40" s="134">
        <f>0</f>
        <v>0</v>
      </c>
      <c r="AB40" s="134">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-0.39445812314296697</v>
      </c>
      <c r="AC40" s="134" cm="1">
        <f t="array" aca="1" ref="AC4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-10.777715937815202</v>
      </c>
      <c r="AD40" s="134">
        <f>MIN(1,COUNTA(Table_Process_Details[[#This Row],[target x]]),COUNTA(Table_Process_Details[[#This Row],[target y]]))*COUNTA(Table_Process_Details[Step Name])</f>
        <v>98</v>
      </c>
      <c r="AE40" s="134">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0.75929646671194972</v>
      </c>
      <c r="AF40" s="134">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21.537639593333815</v>
      </c>
      <c r="AG40" s="134"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40" s="134" t="e" cm="1">
        <f t="array" ref="AH40">INDEX(Table_Process_Details[X Mover],MATCH(1,INDEX((Table_Process_Details[Input or Output]="Output")*(Table_Process_Details[Step Name]=Table_Process_Details[[#This Row],[Step Name]])*(Table_Process_Details[[#This Row],[Input or Output]]="Input"),0),0))</f>
        <v>#N/A</v>
      </c>
      <c r="AI40" s="134" t="e" cm="1">
        <f t="array" ref="AI40">INDEX(Table_Process_Details[Y Mover],MATCH(1,INDEX((Table_Process_Details[Input or Output]="Output")*(Table_Process_Details[Step Name]=Table_Process_Details[[#This Row],[Step Name]])*(Table_Process_Details[[#This Row],[Input or Output]]="Input"),0),0))</f>
        <v>#N/A</v>
      </c>
      <c r="AJ40" s="134" t="e">
        <f>SQRT((Table_Process_Details[[#This Row],[X End (To Node Center)]]-Table_Process_Details[[#This Row],[X Guide]])^2+(Table_Process_Details[[#This Row],[Y End (to Node Center)]]-Table_Process_Details[[#This Row],[Y Guide]])^2)</f>
        <v>#N/A</v>
      </c>
      <c r="AK40" s="134" t="e" cm="1">
        <f t="array" ref="AK40">INDEX(Table_Process_Details[X Mover],MATCH(1,INDEX((Table_Process_Details[Step Name]=Table_Process_Details[[#This Row],[LCA Data Source Subclass]])*(Table_Process_Details[Input or Output]="Output"),0)*(Table_Process_Details[[#This Row],[Input or Output]]="Input"),0))</f>
        <v>#N/A</v>
      </c>
      <c r="AL40" s="134" t="e" cm="1">
        <f t="array" ref="AL40">INDEX(Table_Process_Details[X Mover],MATCH(1,INDEX(((Table_Process_Details[Table Row]=Table_Process_Details[[#This Row],[Table Row]])*(1)),0)*(Table_Process_Details[[#This Row],[Input or Output]]="Input"),0))</f>
        <v>#N/A</v>
      </c>
      <c r="AM40" s="134" t="e" cm="1">
        <f t="array" ref="AM40">(Table_Process_Details[[#This Row],[X End (To Node Center)]]*Table_Process_Details[[#This Row],[r0]]-Table_Process_Details[[#This Row],[X End (To Node Center)]]*Arrow_Offset+Table_Process_Details[[#This Row],[X Guide]]*Arrow_Offset)/Table_Process_Details[[#This Row],[r0]]</f>
        <v>#N/A</v>
      </c>
      <c r="AN40" s="134" t="e">
        <f>IF(NOT(Table_Process_Details[[#This Row],[Display As]]="None"),Table_Process_Details[[#This Row],[X Start Prefilter]],NA())</f>
        <v>#N/A</v>
      </c>
      <c r="AO40" s="134" t="e">
        <f>IF(NOT(Table_Process_Details[[#This Row],[Display As]]="None"),Table_Process_Details[[#This Row],[X Guide Prefilter]],NA())</f>
        <v>#N/A</v>
      </c>
      <c r="AP40" s="134" t="e">
        <f>IF(NOT(Table_Process_Details[[#This Row],[Display As]]="None"),Table_Process_Details[[#This Row],[X End (to Stop Radius) Prefilter]],NA())</f>
        <v>#N/A</v>
      </c>
      <c r="AQ40" s="134" t="e">
        <f>NA()</f>
        <v>#N/A</v>
      </c>
      <c r="AR40" s="134" t="e" cm="1">
        <f t="array" ref="AR40">INDEX(Table_Process_Details[Y Mover],MATCH(1,INDEX((Table_Process_Details[Step Name]=Table_Process_Details[[#This Row],[LCA Data Source Subclass]])*(Table_Process_Details[Input or Output]="Output"),0)*(Table_Process_Details[[#This Row],[Input or Output]]="Input"),0))</f>
        <v>#N/A</v>
      </c>
      <c r="AS40" s="134" t="e" cm="1">
        <f t="array" ref="AS40">INDEX(Table_Process_Details[Y Mover],MATCH(1,INDEX(((Table_Process_Details[Table Row]=Table_Process_Details[[#This Row],[Table Row]])*(1)),0)*(Table_Process_Details[[#This Row],[Input or Output]]="Input"),0))</f>
        <v>#N/A</v>
      </c>
      <c r="AT40" s="134" t="e" cm="1">
        <f t="array" ref="AT40">(Table_Process_Details[[#This Row],[Y Guide]]*Arrow_Offset-Table_Process_Details[[#This Row],[Y End (to Node Center)]]*Arrow_Offset+Table_Process_Details[[#This Row],[Y End (to Node Center)]]*Table_Process_Details[[#This Row],[r0]])/Table_Process_Details[[#This Row],[r0]]</f>
        <v>#N/A</v>
      </c>
      <c r="AU40" s="134" t="e">
        <f>IF(NOT(Table_Process_Details[[#This Row],[Display As]]="None"),Table_Process_Details[[#This Row],[Y Start Prefilter]],NA())</f>
        <v>#N/A</v>
      </c>
      <c r="AV40" s="134" t="e">
        <f>IF(NOT(Table_Process_Details[[#This Row],[Display As]]="None"),Table_Process_Details[[#This Row],[Y Guide Prefilter]],NA())</f>
        <v>#N/A</v>
      </c>
      <c r="AW40" s="134" t="e">
        <f>IF(NOT(Table_Process_Details[[#This Row],[Display As]]="None"),Table_Process_Details[[#This Row],[Y End (to Stop Radius) Prefilter]],NA())</f>
        <v>#N/A</v>
      </c>
      <c r="AX40" s="134" t="e">
        <f>NA()</f>
        <v>#N/A</v>
      </c>
      <c r="AY40" s="134">
        <f ca="1">IF(Table_Process_Details[[#This Row],[Display As]]="Real Step",Table_Process_Details[[#This Row],[X Mover]],NA())</f>
        <v>0.78891624628593393</v>
      </c>
      <c r="AZ40" s="134">
        <f ca="1">IF(Table_Process_Details[[#This Row],[Display As]]="Real Step",Table_Process_Details[[#This Row],[Y Mover]],NA())</f>
        <v>21.555431875630404</v>
      </c>
      <c r="BA40" s="134" t="e">
        <f>IF(Table_Process_Details[[#This Row],[Display As]]="Raw Material",Table_Process_Details[[#This Row],[X Mover]],NA())</f>
        <v>#N/A</v>
      </c>
      <c r="BB40" s="134" t="e">
        <f>IF(Table_Process_Details[[#This Row],[Display As]]="Raw Material",Table_Process_Details[[#This Row],[Y Mover]],NA())</f>
        <v>#N/A</v>
      </c>
      <c r="BC40" s="134">
        <f ca="1">IF(OR(Table_Process_Details[[#This Row],[Display As]]="Real Step",Table_Process_Details[[#This Row],[Display As]]="Raw Material"),Table_Process_Details[[#This Row],[X Mover]],NA())</f>
        <v>0.78891624628593393</v>
      </c>
      <c r="BD40" s="134">
        <f ca="1">IF(OR(Table_Process_Details[[#This Row],[Display As]]="Real Step",Table_Process_Details[[#This Row],[Display As]]="Raw Material"),Table_Process_Details[[#This Row],[Y Mover]],NA())</f>
        <v>21.555431875630404</v>
      </c>
      <c r="BE40" s="132">
        <f>ROW()-ROW(Table_Process_Details[[#Headers],[Table Row]])</f>
        <v>36</v>
      </c>
      <c r="BF40" s="137" t="str" cm="1">
        <f t="array" aca="1" ref="BF40" ca="1">INDEX(Table_Process_Details[Display Name],MATCH(0,IF(Table_Process_Details[Input or Output]="Input",INDEX(COUNTIF(OFFSET(Table_Process_Details[[#Headers],[Unique Process Inputs]],0,0,Table_Process_Details[[#This Row],[Table Row]],1),Table_Process_Details[Display Name]),),""),0))</f>
        <v>25 wt% reagent I (organic) in DMF</v>
      </c>
      <c r="BG40" s="137">
        <f ca="1">Table_Process_Details[[#This Row],[Physical Mass (kg)]]*Table_Process_Details[[#This Row],[Step Scale Factor for 1kg Packaged API]]</f>
        <v>0.35663788549420178</v>
      </c>
      <c r="BH40" s="137">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0" s="137">
        <f ca="1">MATCH(Table_Process_Details[[#This Row],[LCA Data Source Class]],INDIRECT(Table_Process_Details[[#This Row],[Input or Output]]),0)</f>
        <v>1</v>
      </c>
      <c r="BJ40" s="137">
        <f ca="1">MATCH(Table_Process_Details[[#This Row],[LCA Data Source Subclass]],INDIRECT(Table_Process_Details[[#This Row],[LCA Data Source Class]]&amp;"[Name]"),0)</f>
        <v>1</v>
      </c>
      <c r="BK40" s="137">
        <f ca="1">IFERROR(INDEX(INDIRECT(Table_Process_Details[[#This Row],[LCA Data Source Class]]&amp;"[Mass Net (kg)]"),MATCH(Table_Process_Details[[#This Row],[LCA Data Source Subclass]],INDIRECT(Table_Process_Details[[#This Row],[LCA Data Source Class]]&amp;"[Name]"),0)),0)</f>
        <v>0</v>
      </c>
      <c r="BL40" s="137">
        <f ca="1">IFERROR(INDEX(INDIRECT(Table_Process_Details[[#This Row],[LCA Data Source Class]]&amp;"[Energy (MJ)]"),MATCH(Table_Process_Details[[#This Row],[LCA Data Source Subclass]],INDIRECT(Table_Process_Details[[#This Row],[LCA Data Source Class]]&amp;"[Name]"),0)),0)</f>
        <v>0</v>
      </c>
      <c r="BM40" s="137">
        <f ca="1">IFERROR(INDEX(INDIRECT(Table_Process_Details[[#This Row],[LCA Data Source Class]]&amp;"[GWP (kg CO2 equiv.)]"),MATCH(Table_Process_Details[[#This Row],[LCA Data Source Subclass]],INDIRECT(Table_Process_Details[[#This Row],[LCA Data Source Class]]&amp;"[Name]"),0)),0)</f>
        <v>0</v>
      </c>
      <c r="BN40" s="137">
        <f ca="1">IFERROR(INDEX(INDIRECT(Table_Process_Details[[#This Row],[LCA Data Source Class]]&amp;"[Acidification (kg SO2 equiv.)]"),MATCH(Table_Process_Details[[#This Row],[LCA Data Source Subclass]],INDIRECT(Table_Process_Details[[#This Row],[LCA Data Source Class]]&amp;"[Name]"),0)),0)</f>
        <v>0</v>
      </c>
      <c r="BO40" s="137">
        <f ca="1">IFERROR(INDEX(INDIRECT(Table_Process_Details[[#This Row],[LCA Data Source Class]]&amp;"[Eutrophication (kg posphate equiv.)]"),MATCH(Table_Process_Details[[#This Row],[LCA Data Source Subclass]],INDIRECT(Table_Process_Details[[#This Row],[LCA Data Source Class]]&amp;"[Name]"),0)),0)</f>
        <v>0</v>
      </c>
      <c r="BP40" s="137">
        <f ca="1">IFERROR(INDEX(INDIRECT(Table_Process_Details[[#This Row],[LCA Data Source Class]]&amp;"[Water (kg)]"),MATCH(Table_Process_Details[[#This Row],[LCA Data Source Subclass]],INDIRECT(Table_Process_Details[[#This Row],[LCA Data Source Class]]&amp;"[Name]"),0)),0)</f>
        <v>0</v>
      </c>
      <c r="BQ40" s="135">
        <f ca="1">(Table_Process_Details[[#This Row],[Input or Output]]="Input")*(Table_Process_Details[[#This Row],[LCA Data Source Class]]&lt;&gt;"Process_Steps")*Table_Process_Details[[#This Row],[Scaled Physical Mass per kg API for All Inputs &amp; Outputs]]</f>
        <v>0</v>
      </c>
      <c r="BR40" s="135">
        <f ca="1">(Table_Process_Details[[#This Row],[Material Class]]="REAGENT")*Table_Process_Details[[#This Row],[Physical Mass per kg API]]</f>
        <v>0</v>
      </c>
      <c r="BS40" s="135">
        <f ca="1">(Table_Process_Details[[#This Row],[Material Class]]="METAL")*Table_Process_Details[[#This Row],[Physical Mass per kg API]]</f>
        <v>0</v>
      </c>
      <c r="BT40" s="135">
        <f ca="1">(Table_Process_Details[[#This Row],[Material Class]]="SOLVENT")*Table_Process_Details[[#This Row],[Physical Mass per kg API]]</f>
        <v>0</v>
      </c>
      <c r="BU40" s="135">
        <f ca="1">(Table_Process_Details[[#This Row],[Material Class]]="WATER")*Table_Process_Details[[#This Row],[Physical Mass per kg API]]</f>
        <v>0</v>
      </c>
      <c r="BV40" s="135">
        <f ca="1">(Table_Process_Details[[#This Row],[Material Class]]="ENZ&amp;PLNT")*Table_Process_Details[[#This Row],[Physical Mass per kg API]]</f>
        <v>0</v>
      </c>
      <c r="BW40" s="135">
        <f ca="1">(Table_Process_Details[[#This Row],[Material Class]]="OTHER")*Table_Process_Details[[#This Row],[Physical Mass per kg API]]</f>
        <v>0</v>
      </c>
      <c r="BX40" s="135">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0" s="135">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0" s="136">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0" s="135">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0" s="135">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0" s="136">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0" s="136">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0" s="138">
        <f ca="1">SUMIFS(Table_Process_Details[RV Physical Mass per kg API],Table_Process_Details[Display Name],Table_Process_Details[[#This Row],[Unique Process Inputs]],Table_Process_Details[Input or Output],"Input")</f>
        <v>2.202238942925324</v>
      </c>
      <c r="CF40" s="138">
        <f ca="1">SUMIFS(Table_Process_Details[RV Physical Mass per kg API (REAGENT)],Table_Process_Details[Display Name],Table_Process_Details[[#This Row],[Unique Process Inputs]],Table_Process_Details[Input or Output],"Input")</f>
        <v>0.55055973573133099</v>
      </c>
      <c r="CG40" s="138">
        <f ca="1">SUMIFS(Table_Process_Details[RV Physical Mass per kg API (METAL)],Table_Process_Details[Display Name],Table_Process_Details[[#This Row],[Unique Process Inputs]],Table_Process_Details[Input or Output],"Input")</f>
        <v>0</v>
      </c>
      <c r="CH40" s="138">
        <f ca="1">SUMIFS(Table_Process_Details[RV Physical Mass per kg API (SOLVENT)],Table_Process_Details[Display Name],Table_Process_Details[[#This Row],[Unique Process Inputs]],Table_Process_Details[Input or Output],"Input")</f>
        <v>1.6516792071939932</v>
      </c>
      <c r="CI40" s="138">
        <f ca="1">SUMIFS(Table_Process_Details[RV Physical Mass per kg API (WATER)],Table_Process_Details[Display Name],Table_Process_Details[[#This Row],[Unique Process Inputs]],Table_Process_Details[Input or Output],"Input")</f>
        <v>0</v>
      </c>
      <c r="CJ40" s="138">
        <f ca="1">SUMIFS(Table_Process_Details[RV Physical Mass per kg API (ENZ&amp;PLNT)],Table_Process_Details[Display Name],Table_Process_Details[[#This Row],[Unique Process Inputs]],Table_Process_Details[Input or Output],"Input")</f>
        <v>0</v>
      </c>
      <c r="CK40" s="138">
        <f ca="1">SUMIFS(Table_Process_Details[RV Physical Mass per kg API (OTHER)],Table_Process_Details[Display Name],Table_Process_Details[[#This Row],[Unique Process Inputs]],Table_Process_Details[Input or Output],"Input")</f>
        <v>0</v>
      </c>
      <c r="CL40" s="132" t="e">
        <f ca="1">INDEX(Table_Process_Details[Unique Process Inputs],MATCH(Table_Process_Details[[#This Row],['[Physical Mass per kg API'] of Unique Inputs Sorted by '[Physical Mass per kg API']]],Table_Process_Details[Total '[Physical Mass per kg API'] of Unique Inputs],0))</f>
        <v>#N/A</v>
      </c>
      <c r="CM40" s="132" t="e">
        <f ca="1">IF(LARGE(Table_Process_Details[Total '[Physical Mass per kg API'] of Unique Inputs],Table_Process_Details[[#This Row],[Table Row]])=0,NA(),LARGE(Table_Process_Details[Total '[Physical Mass per kg API'] of Unique Inputs],Table_Process_Details[[#This Row],[Table Row]]))</f>
        <v>#N/A</v>
      </c>
      <c r="CN40" s="132" t="e">
        <f ca="1">SUM(OFFSET(Table_Process_Details['[Physical Mass per kg API'] of Unique Inputs Sorted by '[Physical Mass per kg API']],0,0,Table_Process_Details[[#This Row],[Table Row]]))</f>
        <v>#N/A</v>
      </c>
      <c r="CO40" s="132" t="e">
        <f ca="1">"("&amp;TEXT(Table_Process_Details[[#This Row],['[Physical Mass per kg API'] of Unique Inputs Sorted by '[Physical Mass per kg API']]]/SUMIF(Table_Process_Details['[Physical Mass per kg API'] of Unique Inputs Sorted by '[Physical Mass per kg API']],"&lt;&gt;#N/A"),"0%")&amp;")"</f>
        <v>#N/A</v>
      </c>
      <c r="CP40" s="132" t="e">
        <f ca="1">INDEX(Table_Process_Details[Total '[Physical Mass per kg API'] of Unique Inputs (REAGENT)],MATCH(Table_Process_Details[[#This Row],[Unique Inputs Sorted by '[Physical Mass per kg API']]],Table_Process_Details[Unique Process Inputs],0))</f>
        <v>#N/A</v>
      </c>
      <c r="CQ40" s="132" t="e">
        <f ca="1">INDEX(Table_Process_Details[Total '[Physical Mass per kg API'] of Unique Inputs (METAL)],MATCH(Table_Process_Details[[#This Row],[Unique Inputs Sorted by '[Physical Mass per kg API']]],Table_Process_Details[Unique Process Inputs],0))</f>
        <v>#N/A</v>
      </c>
      <c r="CR40" s="132" t="e">
        <f ca="1">INDEX(Table_Process_Details[Total '[Physical Mass per kg API'] of Unique Inputs (SOLVENT)],MATCH(Table_Process_Details[[#This Row],[Unique Inputs Sorted by '[Physical Mass per kg API']]],Table_Process_Details[Unique Process Inputs],0))</f>
        <v>#N/A</v>
      </c>
      <c r="CS40" s="132" t="e">
        <f ca="1">INDEX(Table_Process_Details[Total '[Physical Mass per kg API'] of Unique Inputs (WATER)],MATCH(Table_Process_Details[[#This Row],[Unique Inputs Sorted by '[Physical Mass per kg API']]],Table_Process_Details[Unique Process Inputs],0))</f>
        <v>#N/A</v>
      </c>
      <c r="CT40" s="132" t="e">
        <f ca="1">INDEX(Table_Process_Details[Total '[Physical Mass per kg API'] of Unique Inputs (ENZ&amp;PLNT)],MATCH(Table_Process_Details[[#This Row],[Unique Inputs Sorted by '[Physical Mass per kg API']]],Table_Process_Details[Unique Process Inputs],0))</f>
        <v>#N/A</v>
      </c>
      <c r="CU40" s="132" t="e">
        <f ca="1">INDEX(Table_Process_Details[Total '[Physical Mass per kg API'] of Unique Inputs (OTHER)],MATCH(Table_Process_Details[[#This Row],[Unique Inputs Sorted by '[Physical Mass per kg API']]],Table_Process_Details[Unique Process Inputs],0))</f>
        <v>#N/A</v>
      </c>
      <c r="CV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0"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0" s="132">
        <f ca="1">SUMIFS(Table_Process_Details[RV Mass Net (kg) per kg API],Table_Process_Details[Display Name],Table_Process_Details[[#This Row],[Unique Process Inputs]],Table_Process_Details[Input or Output],"Input")</f>
        <v>3.8924967062320106</v>
      </c>
      <c r="DD40" s="132">
        <f ca="1">SUMIFS(Table_Process_Details[RV Mass Net (kg) per kg API (REAGENT)],Table_Process_Details[Display Name],Table_Process_Details[[#This Row],[Unique Process Inputs]],Table_Process_Details[Input or Output],"Input")</f>
        <v>1.1485341259420281</v>
      </c>
      <c r="DE40" s="132">
        <f ca="1">SUMIFS(Table_Process_Details[RV Mass Net (kg) per kg API (METAL)],Table_Process_Details[Display Name],Table_Process_Details[[#This Row],[Unique Process Inputs]],Table_Process_Details[Input or Output],"Input")</f>
        <v>0</v>
      </c>
      <c r="DF40" s="132">
        <f ca="1">SUMIFS(Table_Process_Details[RV Mass Net (kg) per kg API (SOLVENT)],Table_Process_Details[Display Name],Table_Process_Details[[#This Row],[Unique Process Inputs]],Table_Process_Details[Input or Output],"Input")</f>
        <v>2.7439625802899825</v>
      </c>
      <c r="DG40" s="132">
        <f ca="1">SUMIFS(Table_Process_Details[RV Mass Net (kg) per kg API (WATER)],Table_Process_Details[Display Name],Table_Process_Details[[#This Row],[Unique Process Inputs]],Table_Process_Details[Input or Output],"Input")</f>
        <v>0</v>
      </c>
      <c r="DH40" s="132">
        <f ca="1">SUMIFS(Table_Process_Details[RV Mass Net (kg) per kg API (ENZ&amp;PLNT)],Table_Process_Details[Display Name],Table_Process_Details[[#This Row],[Unique Process Inputs]],Table_Process_Details[Input or Output],"Input")</f>
        <v>0</v>
      </c>
      <c r="DI40" s="132">
        <f ca="1">SUMIFS(Table_Process_Details[RV Mass Net (kg) per kg API (OTHER)],Table_Process_Details[Display Name],Table_Process_Details[[#This Row],[Unique Process Inputs]],Table_Process_Details[Input or Output],"Input")</f>
        <v>0</v>
      </c>
      <c r="DJ40" s="132" t="e">
        <f ca="1">INDEX(Table_Process_Details[Unique Process Inputs],MATCH(Table_Process_Details[[#This Row],['[Mass Net (kg) per kg API'] of Unique Inputs Sorted by '[Mass Net (kg) per kg API']]],Table_Process_Details[Total '[Mass Net (kg) per kg API'] of Unique Inputs],0))</f>
        <v>#N/A</v>
      </c>
      <c r="DK40" s="132" t="e">
        <f ca="1">IF(LARGE(Table_Process_Details[Total '[Mass Net (kg) per kg API'] of Unique Inputs],Table_Process_Details[[#This Row],[Table Row]])=0,NA(),LARGE(Table_Process_Details[Total '[Mass Net (kg) per kg API'] of Unique Inputs],Table_Process_Details[[#This Row],[Table Row]]))</f>
        <v>#N/A</v>
      </c>
      <c r="DL40" s="132" t="e">
        <f ca="1">SUM(OFFSET(Table_Process_Details['[Mass Net (kg) per kg API'] of Unique Inputs Sorted by '[Mass Net (kg) per kg API']],0,0,Table_Process_Details[[#This Row],[Table Row]]))</f>
        <v>#N/A</v>
      </c>
      <c r="DM40" s="132" t="e">
        <f ca="1">"("&amp;TEXT(Table_Process_Details[[#This Row],['[Mass Net (kg) per kg API'] of Unique Inputs Sorted by '[Mass Net (kg) per kg API']]]/SUMIF(Table_Process_Details['[Mass Net (kg) per kg API'] of Unique Inputs Sorted by '[Mass Net (kg) per kg API']],"&lt;&gt;#N/A"),"0%")&amp;")"</f>
        <v>#N/A</v>
      </c>
      <c r="DN40" s="132" t="e">
        <f ca="1">INDEX(Table_Process_Details[Total '[Mass Net (kg) per kg API'] of Unique Inputs (REAGENT)], MATCH(Table_Process_Details[[#This Row],[Unique Inputs Sorted by '[Mass Net (kg) per kg API']]],Table_Process_Details[Unique Process Inputs],0))</f>
        <v>#N/A</v>
      </c>
      <c r="DO40" s="132" t="e">
        <f ca="1">INDEX(Table_Process_Details[Total '[Mass Net (kg) per kg API'] of Unique Inputs (METAL)], MATCH(Table_Process_Details[[#This Row],[Unique Inputs Sorted by '[Mass Net (kg) per kg API']]],Table_Process_Details[Unique Process Inputs],0))</f>
        <v>#N/A</v>
      </c>
      <c r="DP40" s="132" t="e">
        <f ca="1">INDEX(Table_Process_Details[Total '[Mass Net (kg) per kg API'] of Unique Inputs (SOLVENT)], MATCH(Table_Process_Details[[#This Row],[Unique Inputs Sorted by '[Mass Net (kg) per kg API']]],Table_Process_Details[Unique Process Inputs],0))</f>
        <v>#N/A</v>
      </c>
      <c r="DQ40" s="132" t="e">
        <f ca="1">INDEX(Table_Process_Details[Total '[Mass Net (kg) per kg API'] of Unique Inputs (WATER)], MATCH(Table_Process_Details[[#This Row],[Unique Inputs Sorted by '[Mass Net (kg) per kg API']]],Table_Process_Details[Unique Process Inputs],0))</f>
        <v>#N/A</v>
      </c>
      <c r="DR40" s="132" t="e">
        <f ca="1">INDEX(Table_Process_Details[Total '[Mass Net (kg) per kg API'] of Unique Inputs (ENZ&amp;PLNT)], MATCH(Table_Process_Details[[#This Row],[Unique Inputs Sorted by '[Mass Net (kg) per kg API']]],Table_Process_Details[Unique Process Inputs],0))</f>
        <v>#N/A</v>
      </c>
      <c r="DS40" s="132" t="e">
        <f ca="1">INDEX(Table_Process_Details[Total '[Mass Net (kg) per kg API'] of Unique Inputs (OTHER)], MATCH(Table_Process_Details[[#This Row],[Unique Inputs Sorted by '[Mass Net (kg) per kg API']]],Table_Process_Details[Unique Process Inputs],0))</f>
        <v>#N/A</v>
      </c>
      <c r="DT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0"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0" s="138">
        <f ca="1">SUMIFS(Table_Process_Details[RV Energy (MJ) per kg API],Table_Process_Details[Display Name],Table_Process_Details[[#This Row],[Unique Process Inputs]],Table_Process_Details[Input or Output],"Input")</f>
        <v>136.34024331780424</v>
      </c>
      <c r="EB40" s="138">
        <f ca="1">SUMIFS(Table_Process_Details[RV Energy (MJ) per kg API (REAGENT)],Table_Process_Details[Display Name],Table_Process_Details[[#This Row],[Unique Process Inputs]],Table_Process_Details[Input or Output],"Input")</f>
        <v>41.218914633641297</v>
      </c>
      <c r="EC40" s="138">
        <f ca="1">SUMIFS(Table_Process_Details[RV Energy (MJ) per kg API (METAL)],Table_Process_Details[Display Name],Table_Process_Details[[#This Row],[Unique Process Inputs]],Table_Process_Details[Input or Output],"Input")</f>
        <v>0</v>
      </c>
      <c r="ED40" s="138">
        <f ca="1">SUMIFS(Table_Process_Details[RV Energy (MJ) per kg API (SOLVENT)],Table_Process_Details[Display Name],Table_Process_Details[[#This Row],[Unique Process Inputs]],Table_Process_Details[Input or Output],"Input")</f>
        <v>95.121328684162947</v>
      </c>
      <c r="EE40" s="138">
        <f ca="1">SUMIFS(Table_Process_Details[RV Energy (MJ) per kg API (WATER)],Table_Process_Details[Display Name],Table_Process_Details[[#This Row],[Unique Process Inputs]],Table_Process_Details[Input or Output],"Input")</f>
        <v>0</v>
      </c>
      <c r="EF40" s="138">
        <f ca="1">SUMIFS(Table_Process_Details[RV Energy (MJ) per kg API (ENZ&amp;PLNT)],Table_Process_Details[Display Name],Table_Process_Details[[#This Row],[Unique Process Inputs]],Table_Process_Details[Input or Output],"Input")</f>
        <v>0</v>
      </c>
      <c r="EG40" s="138">
        <f ca="1">SUMIFS(Table_Process_Details[RV Energy (MJ) per kg API (OTHER)],Table_Process_Details[Display Name],Table_Process_Details[[#This Row],[Unique Process Inputs]],Table_Process_Details[Input or Output],"Input")</f>
        <v>0</v>
      </c>
      <c r="EH40" s="138" t="e">
        <f ca="1">INDEX(Table_Process_Details[Unique Process Inputs],MATCH(Table_Process_Details[[#This Row],['[Energy (MJ) per kg API'] of Unique Inputs Sorted by '[Energy (MJ) per kg API']]],Table_Process_Details[Total '[Energy (MJ) per kg API'] of Unique Inputs],0))</f>
        <v>#N/A</v>
      </c>
      <c r="EI40" s="132" t="e">
        <f ca="1">IF(LARGE(Table_Process_Details[Total '[Energy (MJ) per kg API'] of Unique Inputs],Table_Process_Details[[#This Row],[Table Row]])=0,NA(),LARGE(Table_Process_Details[Total '[Energy (MJ) per kg API'] of Unique Inputs],Table_Process_Details[[#This Row],[Table Row]]))</f>
        <v>#N/A</v>
      </c>
      <c r="EJ40" s="132" t="e">
        <f ca="1">SUM(OFFSET(Table_Process_Details['[Energy (MJ) per kg API'] of Unique Inputs Sorted by '[Energy (MJ) per kg API']],0,0,Table_Process_Details[[#This Row],[Table Row]]))</f>
        <v>#N/A</v>
      </c>
      <c r="EK40" s="132" t="e">
        <f ca="1">"("&amp;TEXT(Table_Process_Details[[#This Row],['[Energy (MJ) per kg API'] of Unique Inputs Sorted by '[Energy (MJ) per kg API']]]/SUMIF(Table_Process_Details['[Energy (MJ) per kg API'] of Unique Inputs Sorted by '[Energy (MJ) per kg API']],"&lt;&gt;#N/A"),"0%")&amp;")"</f>
        <v>#N/A</v>
      </c>
      <c r="EL40" s="132" t="e">
        <f ca="1">INDEX(Table_Process_Details[Total '[Energy (MJ) per kg API'] of Unique Inputs (REAGENT)], MATCH(Table_Process_Details[[#This Row],[Unique Inputs Sorted by '[Energy (MJ) per kg API']]],Table_Process_Details[Unique Process Inputs],0))</f>
        <v>#N/A</v>
      </c>
      <c r="EM40" s="132" t="e">
        <f ca="1">INDEX(Table_Process_Details[Total '[Energy (MJ) per kg API'] of Unique Inputs (METAL)], MATCH(Table_Process_Details[[#This Row],[Unique Inputs Sorted by '[Energy (MJ) per kg API']]],Table_Process_Details[Unique Process Inputs],0))</f>
        <v>#N/A</v>
      </c>
      <c r="EN40" s="132" t="e">
        <f ca="1">INDEX(Table_Process_Details[Total '[Energy (MJ) per kg API'] of Unique Inputs (SOLVENT)], MATCH(Table_Process_Details[[#This Row],[Unique Inputs Sorted by '[Energy (MJ) per kg API']]],Table_Process_Details[Unique Process Inputs],0))</f>
        <v>#N/A</v>
      </c>
      <c r="EO40" s="132" t="e">
        <f ca="1">INDEX(Table_Process_Details[Total '[Energy (MJ) per kg API'] of Unique Inputs (WATER)], MATCH(Table_Process_Details[[#This Row],[Unique Inputs Sorted by '[Energy (MJ) per kg API']]],Table_Process_Details[Unique Process Inputs],0))</f>
        <v>#N/A</v>
      </c>
      <c r="EP40" s="132" t="e">
        <f ca="1">INDEX(Table_Process_Details[Total '[Energy (MJ) per kg API'] of Unique Inputs (ENZ&amp;PLNT)], MATCH(Table_Process_Details[[#This Row],[Unique Inputs Sorted by '[Energy (MJ) per kg API']]],Table_Process_Details[Unique Process Inputs],0))</f>
        <v>#N/A</v>
      </c>
      <c r="EQ40" s="132" t="e">
        <f ca="1">INDEX(Table_Process_Details[Total '[Energy (MJ) per kg API'] of Unique Inputs (OTHER)], MATCH(Table_Process_Details[[#This Row],[Unique Inputs Sorted by '[Energy (MJ) per kg API']]],Table_Process_Details[Unique Process Inputs],0))</f>
        <v>#N/A</v>
      </c>
      <c r="ER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0"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0" s="132">
        <f ca="1">SUMIFS(Table_Process_Details[RV GWP (kg CO2 equiv.) per kg API],Table_Process_Details[Display Name],Table_Process_Details[[#This Row],[Unique Process Inputs]],Table_Process_Details[Input or Output],"Input")</f>
        <v>4.5593040131069085</v>
      </c>
      <c r="EZ40" s="138">
        <f ca="1">SUMIFS(Table_Process_Details[RV GWP (kg CO2 equiv.) per kg API (REAGENT)],Table_Process_Details[Display Name],Table_Process_Details[[#This Row],[Unique Process Inputs]],Table_Process_Details[Input or Output],"Input")</f>
        <v>1.4448909281371654</v>
      </c>
      <c r="FA40" s="138">
        <f ca="1">SUMIFS(Table_Process_Details[RV GWP (kg CO2 equiv.) per kg API (METAL)],Table_Process_Details[Display Name],Table_Process_Details[[#This Row],[Unique Process Inputs]],Table_Process_Details[Input or Output],"Input")</f>
        <v>0</v>
      </c>
      <c r="FB40" s="138">
        <f ca="1">SUMIFS(Table_Process_Details[RV GWP (kg CO2 equiv.) per kg API (SOLVENT)],Table_Process_Details[Display Name],Table_Process_Details[[#This Row],[Unique Process Inputs]],Table_Process_Details[Input or Output],"Input")</f>
        <v>3.1144130849697427</v>
      </c>
      <c r="FC40" s="138">
        <f ca="1">SUMIFS(Table_Process_Details[RV GWP (kg CO2 equiv.) per kg API (WATER)],Table_Process_Details[Display Name],Table_Process_Details[[#This Row],[Unique Process Inputs]],Table_Process_Details[Input or Output],"Input")</f>
        <v>0</v>
      </c>
      <c r="FD40" s="138">
        <f ca="1">SUMIFS(Table_Process_Details[RV GWP (kg CO2 equiv.) per kg API (ENZ&amp;PLNT)],Table_Process_Details[Display Name],Table_Process_Details[[#This Row],[Unique Process Inputs]],Table_Process_Details[Input or Output],"Input")</f>
        <v>0</v>
      </c>
      <c r="FE40" s="138">
        <f ca="1">SUMIFS(Table_Process_Details[RV GWP (kg CO2 equiv.) per kg API (OTHER)],Table_Process_Details[Display Name],Table_Process_Details[[#This Row],[Unique Process Inputs]],Table_Process_Details[Input or Output],"Input")</f>
        <v>0</v>
      </c>
      <c r="FF40" s="132" t="e">
        <f ca="1">INDEX(Table_Process_Details[Unique Process Inputs],MATCH(Table_Process_Details[[#This Row],['[GWP (kg CO2 equiv.) per kg API'] of Unique Inputs Sorted by '[GWP (kg CO2 equiv.) per kg API']]],Table_Process_Details[Total '[GWP (kg CO2 equiv.) per kg API'] of Unique Inputs],0))</f>
        <v>#N/A</v>
      </c>
      <c r="FG40" s="132" t="e">
        <f ca="1">IF(LARGE(Table_Process_Details[Total '[GWP (kg CO2 equiv.) per kg API'] of Unique Inputs],Table_Process_Details[[#This Row],[Table Row]])=0,NA(),LARGE(Table_Process_Details[Total '[GWP (kg CO2 equiv.) per kg API'] of Unique Inputs],Table_Process_Details[[#This Row],[Table Row]]))</f>
        <v>#N/A</v>
      </c>
      <c r="FH40" s="132" t="e">
        <f ca="1">SUM(OFFSET(Table_Process_Details['[GWP (kg CO2 equiv.) per kg API'] of Unique Inputs Sorted by '[GWP (kg CO2 equiv.) per kg API']],0,0,Table_Process_Details[[#This Row],[Table Row]]))</f>
        <v>#N/A</v>
      </c>
      <c r="FI40" s="132" t="e">
        <f ca="1">"("&amp;TEXT(Table_Process_Details[[#This Row],['[GWP (kg CO2 equiv.) per kg API'] of Unique Inputs Sorted by '[GWP (kg CO2 equiv.) per kg API']]]/SUMIF(Table_Process_Details['[GWP (kg CO2 equiv.) per kg API'] of Unique Inputs Sorted by '[GWP (kg CO2 equiv.) per kg API']],"&lt;&gt;#N/A"),"0%")&amp;")"</f>
        <v>#N/A</v>
      </c>
      <c r="FJ40" s="132" t="e">
        <f ca="1">INDEX(Table_Process_Details[Total '[GWP (kg CO2 equiv.) per kg API'] of Unique Inputs (REAGENT)], MATCH(Table_Process_Details[[#This Row],[Unique Inputs Sorted by '[GWP (kg CO2 equiv.) per kg API']]],Table_Process_Details[Unique Process Inputs],0))</f>
        <v>#N/A</v>
      </c>
      <c r="FK40" s="132" t="e">
        <f ca="1">INDEX(Table_Process_Details[Total '[GWP (kg CO2 equiv.) per kg API'] of Unique Inputs (METAL)], MATCH(Table_Process_Details[[#This Row],[Unique Inputs Sorted by '[GWP (kg CO2 equiv.) per kg API']]],Table_Process_Details[Unique Process Inputs],0))</f>
        <v>#N/A</v>
      </c>
      <c r="FL40" s="132" t="e">
        <f ca="1">INDEX(Table_Process_Details[Total '[GWP (kg CO2 equiv.) per kg API'] of Unique Inputs (SOLVENT)], MATCH(Table_Process_Details[[#This Row],[Unique Inputs Sorted by '[GWP (kg CO2 equiv.) per kg API']]],Table_Process_Details[Unique Process Inputs],0))</f>
        <v>#N/A</v>
      </c>
      <c r="FM40" s="132" t="e">
        <f ca="1">INDEX(Table_Process_Details[Total '[GWP (kg CO2 equiv.) per kg API'] of Unique Inputs (WATER)], MATCH(Table_Process_Details[[#This Row],[Unique Inputs Sorted by '[GWP (kg CO2 equiv.) per kg API']]],Table_Process_Details[Unique Process Inputs],0))</f>
        <v>#N/A</v>
      </c>
      <c r="FN40" s="132" t="e">
        <f ca="1">INDEX(Table_Process_Details[Total '[GWP (kg CO2 equiv.) per kg API'] of Unique Inputs (ENZ&amp;PLNT)], MATCH(Table_Process_Details[[#This Row],[Unique Inputs Sorted by '[GWP (kg CO2 equiv.) per kg API']]],Table_Process_Details[Unique Process Inputs],0))</f>
        <v>#N/A</v>
      </c>
      <c r="FO40" s="132" t="e">
        <f ca="1">INDEX(Table_Process_Details[Total '[GWP (kg CO2 equiv.) per kg API'] of Unique Inputs (OTHER)], MATCH(Table_Process_Details[[#This Row],[Unique Inputs Sorted by '[GWP (kg CO2 equiv.) per kg API']]],Table_Process_Details[Unique Process Inputs],0))</f>
        <v>#N/A</v>
      </c>
      <c r="FP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0"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0" s="132">
        <f ca="1">SUMIFS(Table_Process_Details[RV Acidification (kg SO2 equiv.) per kg API],Table_Process_Details[Display Name],Table_Process_Details[[#This Row],[Unique Process Inputs]],Table_Process_Details[Input or Output],"Input")</f>
        <v>1.9942517972223524E-2</v>
      </c>
      <c r="FX40" s="138">
        <f ca="1">SUMIFS(Table_Process_Details[RV Acidification (kg SO2 equiv.) per kg API (REAGENT)],Table_Process_Details[Display Name],Table_Process_Details[[#This Row],[Unique Process Inputs]],Table_Process_Details[Input or Output],"Input")</f>
        <v>6.1789945367306696E-3</v>
      </c>
      <c r="FY40" s="138">
        <f ca="1">SUMIFS(Table_Process_Details[RV Acidification (kg SO2 equiv.) per kg API (METAL)],Table_Process_Details[Display Name],Table_Process_Details[[#This Row],[Unique Process Inputs]],Table_Process_Details[Input or Output],"Input")</f>
        <v>0</v>
      </c>
      <c r="FZ40" s="138">
        <f ca="1">SUMIFS(Table_Process_Details[RV Acidification (kg SO2 equiv.) per kg API (SOLVENT)],Table_Process_Details[Display Name],Table_Process_Details[[#This Row],[Unique Process Inputs]],Table_Process_Details[Input or Output],"Input")</f>
        <v>1.3763523435492855E-2</v>
      </c>
      <c r="GA40" s="138">
        <f ca="1">SUMIFS(Table_Process_Details[RV Acidification (kg SO2 equiv.) per kg API (WATER)],Table_Process_Details[Display Name],Table_Process_Details[[#This Row],[Unique Process Inputs]],Table_Process_Details[Input or Output],"Input")</f>
        <v>0</v>
      </c>
      <c r="GB40" s="138">
        <f ca="1">SUMIFS(Table_Process_Details[RV Acidification (kg SO2 equiv.) per kg API (ENZ&amp;PLNT)],Table_Process_Details[Display Name],Table_Process_Details[[#This Row],[Unique Process Inputs]],Table_Process_Details[Input or Output],"Input")</f>
        <v>0</v>
      </c>
      <c r="GC40" s="138">
        <f ca="1">SUMIFS(Table_Process_Details[RV Acidification (kg SO2 equiv.) per kg API (OTHER)],Table_Process_Details[Display Name],Table_Process_Details[[#This Row],[Unique Process Inputs]],Table_Process_Details[Input or Output],"Input")</f>
        <v>0</v>
      </c>
      <c r="GD40" s="13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0" s="132" t="e">
        <f ca="1">IF(LARGE(Table_Process_Details[Total '[Acidification (kg SO2 equiv.) per kg API'] of Unique Inputs],Table_Process_Details[[#This Row],[Table Row]])=0,NA(),LARGE(Table_Process_Details[Total '[Acidification (kg SO2 equiv.) per kg API'] of Unique Inputs],Table_Process_Details[[#This Row],[Table Row]]))</f>
        <v>#N/A</v>
      </c>
      <c r="GF40" s="132" t="e">
        <f ca="1">SUM(OFFSET(Table_Process_Details['[Acidification (kg SO2 equiv.) per kg API'] of Unique Inputs Sorted by '[Acidification (kg SO2 equiv.) per kg API']],0,0,Table_Process_Details[[#This Row],[Table Row]]))</f>
        <v>#N/A</v>
      </c>
      <c r="GG40" s="13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0" s="132" t="e">
        <f ca="1">INDEX(Table_Process_Details[Total '[Acidification (kg SO2 equiv.) per kg API'] of Unique Inputs (REAGENT)], MATCH(Table_Process_Details[[#This Row],[Unique Inputs Sorted by '[Acidification (kg SO2 equiv.) per kg API']]],Table_Process_Details[Unique Process Inputs],0))</f>
        <v>#N/A</v>
      </c>
      <c r="GI40" s="132" t="e">
        <f ca="1">INDEX(Table_Process_Details[Total '[Acidification (kg SO2 equiv.) per kg API'] of Unique Inputs (METAL)], MATCH(Table_Process_Details[[#This Row],[Unique Inputs Sorted by '[Acidification (kg SO2 equiv.) per kg API']]],Table_Process_Details[Unique Process Inputs],0))</f>
        <v>#N/A</v>
      </c>
      <c r="GJ40" s="132" t="e">
        <f ca="1">INDEX(Table_Process_Details[Total '[Acidification (kg SO2 equiv.) per kg API'] of Unique Inputs (SOLVENT)], MATCH(Table_Process_Details[[#This Row],[Unique Inputs Sorted by '[Acidification (kg SO2 equiv.) per kg API']]],Table_Process_Details[Unique Process Inputs],0))</f>
        <v>#N/A</v>
      </c>
      <c r="GK40" s="132" t="e">
        <f ca="1">INDEX(Table_Process_Details[Total '[Acidification (kg SO2 equiv.) per kg API'] of Unique Inputs (WATER)], MATCH(Table_Process_Details[[#This Row],[Unique Inputs Sorted by '[Acidification (kg SO2 equiv.) per kg API']]],Table_Process_Details[Unique Process Inputs],0))</f>
        <v>#N/A</v>
      </c>
      <c r="GL40" s="132" t="e">
        <f ca="1">INDEX(Table_Process_Details[Total '[Acidification (kg SO2 equiv.) per kg API'] of Unique Inputs (ENZ&amp;PLNT)], MATCH(Table_Process_Details[[#This Row],[Unique Inputs Sorted by '[Acidification (kg SO2 equiv.) per kg API']]],Table_Process_Details[Unique Process Inputs],0))</f>
        <v>#N/A</v>
      </c>
      <c r="GM40" s="132" t="e">
        <f ca="1">INDEX(Table_Process_Details[Total '[Acidification (kg SO2 equiv.) per kg API'] of Unique Inputs (OTHER)], MATCH(Table_Process_Details[[#This Row],[Unique Inputs Sorted by '[Acidification (kg SO2 equiv.) per kg API']]],Table_Process_Details[Unique Process Inputs],0))</f>
        <v>#N/A</v>
      </c>
      <c r="GN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0"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0" s="132">
        <f ca="1">SUMIFS(Table_Process_Details[RV Eutrophication (kg phosphate equiv.) per kg API],Table_Process_Details[Display Name],Table_Process_Details[[#This Row],[Unique Process Inputs]],Table_Process_Details[Input or Output],"Input")</f>
        <v>0.15169492326440598</v>
      </c>
      <c r="GV40" s="138">
        <f ca="1">SUMIFS(Table_Process_Details[RV Eutrophication (kg phosphate equiv.) per kg API (REAGENT)],Table_Process_Details[Display Name],Table_Process_Details[[#This Row],[Unique Process Inputs]],Table_Process_Details[Input or Output],"Input")</f>
        <v>4.9475795316098626E-3</v>
      </c>
      <c r="GW40" s="138">
        <f ca="1">SUMIFS(Table_Process_Details[RV Eutrophication (kg phosphate equiv.) per kg API (METAL)],Table_Process_Details[Display Name],Table_Process_Details[[#This Row],[Unique Process Inputs]],Table_Process_Details[Input or Output],"Input")</f>
        <v>0</v>
      </c>
      <c r="GX40" s="138">
        <f ca="1">SUMIFS(Table_Process_Details[RV Eutrophication (kg phosphate equiv.) per kg API (SOLVENT)],Table_Process_Details[Display Name],Table_Process_Details[[#This Row],[Unique Process Inputs]],Table_Process_Details[Input or Output],"Input")</f>
        <v>0.14674734373279613</v>
      </c>
      <c r="GY40" s="138">
        <f ca="1">SUMIFS(Table_Process_Details[RV Eutrophication (kg phosphate equiv.) per kg API (WATER)],Table_Process_Details[Display Name],Table_Process_Details[[#This Row],[Unique Process Inputs]],Table_Process_Details[Input or Output],"Input")</f>
        <v>0</v>
      </c>
      <c r="GZ40" s="138">
        <f ca="1">SUMIFS(Table_Process_Details[RV Eutrophication (kg phosphate equiv.) per kg API (ENZ&amp;PLNT)],Table_Process_Details[Display Name],Table_Process_Details[[#This Row],[Unique Process Inputs]],Table_Process_Details[Input or Output],"Input")</f>
        <v>0</v>
      </c>
      <c r="HA40" s="138">
        <f ca="1">SUMIFS(Table_Process_Details[RV Eutrophication (kg phosphate equiv.) per kg API (OTHER)],Table_Process_Details[Display Name],Table_Process_Details[[#This Row],[Unique Process Inputs]],Table_Process_Details[Input or Output],"Input")</f>
        <v>0</v>
      </c>
      <c r="HB40" s="13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0" s="13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0" s="132" t="e">
        <f ca="1">SUM(OFFSET(Table_Process_Details['[Eutrophication (kg posphate equiv.) per kg API'] of Unique Inputs Sorted by '[Eutrophication (kg posphate equiv.) per kg API']],0,0,Table_Process_Details[[#This Row],[Table Row]]))</f>
        <v>#N/A</v>
      </c>
      <c r="HE40" s="13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0" s="138" t="e">
        <f ca="1">INDEX(Table_Process_Details[Total '[Eutrophication (kg posphate equiv.) per kg API'] of Unique Inputs (REAGENT)], MATCH(Table_Process_Details[[#This Row],[Unique Inputs Sorted by '[Eutrophication (kg posphate equiv.) per kg API']]],Table_Process_Details[Unique Process Inputs],0))</f>
        <v>#N/A</v>
      </c>
      <c r="HG40" s="138" t="e">
        <f ca="1">INDEX(Table_Process_Details[Total '[Eutrophication (kg posphate equiv.) per kg API'] of Unique Inputs (METAL)], MATCH(Table_Process_Details[[#This Row],[Unique Inputs Sorted by '[Eutrophication (kg posphate equiv.) per kg API']]],Table_Process_Details[Unique Process Inputs],0))</f>
        <v>#N/A</v>
      </c>
      <c r="HH40" s="138" t="e">
        <f ca="1">INDEX(Table_Process_Details[Total '[Eutrophication (kg posphate equiv.) per kg API'] of Unique Inputs (SOLVENT)], MATCH(Table_Process_Details[[#This Row],[Unique Inputs Sorted by '[Eutrophication (kg posphate equiv.) per kg API']]],Table_Process_Details[Unique Process Inputs],0))</f>
        <v>#N/A</v>
      </c>
      <c r="HI40" s="138" t="e">
        <f ca="1">INDEX(Table_Process_Details[Total '[Eutrophication (kg posphate equiv.) per kg API'] of Unique Inputs (WATER)], MATCH(Table_Process_Details[[#This Row],[Unique Inputs Sorted by '[Eutrophication (kg posphate equiv.) per kg API']]],Table_Process_Details[Unique Process Inputs],0))</f>
        <v>#N/A</v>
      </c>
      <c r="HJ40" s="138" t="e">
        <f ca="1">INDEX(Table_Process_Details[Total '[Eutrophication (kg posphate equiv.) per kg API'] of Unique Inputs (ENZ&amp;PLNT)], MATCH(Table_Process_Details[[#This Row],[Unique Inputs Sorted by '[Eutrophication (kg posphate equiv.) per kg API']]],Table_Process_Details[Unique Process Inputs],0))</f>
        <v>#N/A</v>
      </c>
      <c r="HK40" s="138" t="e">
        <f ca="1">INDEX(Table_Process_Details[Total '[Eutrophication (kg posphate equiv.) per kg API'] of Unique Inputs (OTHER)], MATCH(Table_Process_Details[[#This Row],[Unique Inputs Sorted by '[Eutrophication (kg posphate equiv.) per kg API']]],Table_Process_Details[Unique Process Inputs],0))</f>
        <v>#N/A</v>
      </c>
      <c r="HL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0"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0" s="138">
        <f ca="1">SUMIFS(Table_Process_Details[RV Water (kg) per kg API],Table_Process_Details[Display Name],Table_Process_Details[[#This Row],[Unique Process Inputs]],Table_Process_Details[Input or Output],"Input")</f>
        <v>24.047755110052929</v>
      </c>
      <c r="HT40" s="138">
        <f ca="1">SUMIFS(Table_Process_Details[RV Water (kg) per kg API (REAGENT)],Table_Process_Details[Display Name],Table_Process_Details[[#This Row],[Unique Process Inputs]],Table_Process_Details[Input or Output],"Input")</f>
        <v>8.0906510542627554</v>
      </c>
      <c r="HU40" s="138">
        <f ca="1">SUMIFS(Table_Process_Details[RV Water (kg) per kg API (METAL)],Table_Process_Details[Display Name],Table_Process_Details[[#This Row],[Unique Process Inputs]],Table_Process_Details[Input or Output],"Input")</f>
        <v>0</v>
      </c>
      <c r="HV40" s="138">
        <f ca="1">SUMIFS(Table_Process_Details[RV Water (kg) per kg API (SOLVENT)],Table_Process_Details[Display Name],Table_Process_Details[[#This Row],[Unique Process Inputs]],Table_Process_Details[Input or Output],"Input")</f>
        <v>15.957104055790174</v>
      </c>
      <c r="HW40" s="138">
        <f ca="1">SUMIFS(Table_Process_Details[RV Water (kg) per kg API (WATER)],Table_Process_Details[Display Name],Table_Process_Details[[#This Row],[Unique Process Inputs]],Table_Process_Details[Input or Output],"Input")</f>
        <v>0</v>
      </c>
      <c r="HX40" s="138">
        <f ca="1">SUMIFS(Table_Process_Details[RV Water (kg) per kg API (ENZ&amp;PLNT)],Table_Process_Details[Display Name],Table_Process_Details[[#This Row],[Unique Process Inputs]],Table_Process_Details[Input or Output],"Input")</f>
        <v>0</v>
      </c>
      <c r="HY40" s="138">
        <f ca="1">SUMIFS(Table_Process_Details[RV Water (kg) per kg API (OTHER)],Table_Process_Details[Display Name],Table_Process_Details[[#This Row],[Unique Process Inputs]],Table_Process_Details[Input or Output],"Input")</f>
        <v>0</v>
      </c>
      <c r="HZ40" s="132" t="e">
        <f ca="1">INDEX(Table_Process_Details[Unique Process Inputs],MATCH(Table_Process_Details[[#This Row],['[Water (kg) per kg API'] of Unique Inputs Sorted by '[Water (kg) per kg API']]],Table_Process_Details[Total '[Water (kg) per kg API'] of Unique Inputs],0))</f>
        <v>#N/A</v>
      </c>
      <c r="IA40" s="132" t="e">
        <f ca="1">IF(LARGE(Table_Process_Details[Total '[Water (kg) per kg API'] of Unique Inputs],Table_Process_Details[[#This Row],[Table Row]])=0,NA(),LARGE(Table_Process_Details[Total '[Water (kg) per kg API'] of Unique Inputs],Table_Process_Details[[#This Row],[Table Row]]))</f>
        <v>#N/A</v>
      </c>
      <c r="IB40" s="138" t="e">
        <f ca="1">SUM(OFFSET(Table_Process_Details['[Water (kg) per kg API'] of Unique Inputs Sorted by '[Water (kg) per kg API']],0,0,Table_Process_Details[[#This Row],[Table Row]]))</f>
        <v>#N/A</v>
      </c>
      <c r="IC40" s="138" t="e">
        <f ca="1">"("&amp;TEXT(Table_Process_Details[[#This Row],['[Water (kg) per kg API'] of Unique Inputs Sorted by '[Water (kg) per kg API']]]/SUMIF(Table_Process_Details['[Water (kg) per kg API'] of Unique Inputs Sorted by '[Water (kg) per kg API']],"&lt;&gt;#N/A"),"0%")&amp;")"</f>
        <v>#N/A</v>
      </c>
      <c r="ID40" s="138" t="e">
        <f ca="1">INDEX(Table_Process_Details[Total '[Water (kg) per kg API'] of Unique Inputs (REAGENT)], MATCH(Table_Process_Details[[#This Row],[Unique Inputs Sorted by '[Water (kg) per kg API']]],Table_Process_Details[Unique Process Inputs],0))</f>
        <v>#N/A</v>
      </c>
      <c r="IE40" s="138" t="e">
        <f ca="1">INDEX(Table_Process_Details[Total '[Water (kg) per kg API'] of Unique Inputs (METAL)], MATCH(Table_Process_Details[[#This Row],[Unique Inputs Sorted by '[Water (kg) per kg API']]],Table_Process_Details[Unique Process Inputs],0))</f>
        <v>#N/A</v>
      </c>
      <c r="IF40" s="138" t="e">
        <f ca="1">INDEX(Table_Process_Details[Total '[Water (kg) per kg API'] of Unique Inputs (SOLVENT)], MATCH(Table_Process_Details[[#This Row],[Unique Inputs Sorted by '[Water (kg) per kg API']]],Table_Process_Details[Unique Process Inputs],0))</f>
        <v>#N/A</v>
      </c>
      <c r="IG40" s="138" t="e">
        <f ca="1">INDEX(Table_Process_Details[Total '[Water (kg) per kg API'] of Unique Inputs (WATER)], MATCH(Table_Process_Details[[#This Row],[Unique Inputs Sorted by '[Water (kg) per kg API']]],Table_Process_Details[Unique Process Inputs],0))</f>
        <v>#N/A</v>
      </c>
      <c r="IH40" s="138" t="e">
        <f ca="1">INDEX(Table_Process_Details[Total '[Water (kg) per kg API'] of Unique Inputs (ENZ&amp;PLNT)], MATCH(Table_Process_Details[[#This Row],[Unique Inputs Sorted by '[Water (kg) per kg API']]],Table_Process_Details[Unique Process Inputs],0))</f>
        <v>#N/A</v>
      </c>
      <c r="II40" s="138" t="e">
        <f ca="1">INDEX(Table_Process_Details[Total '[Water (kg) per kg API'] of Unique Inputs (OTHER)], MATCH(Table_Process_Details[[#This Row],[Unique Inputs Sorted by '[Water (kg) per kg API']]],Table_Process_Details[Unique Process Inputs],0))</f>
        <v>#N/A</v>
      </c>
    </row>
    <row r="41" spans="1:243" customFormat="1" x14ac:dyDescent="0.25">
      <c r="A41" s="22" t="str">
        <f>'1. Define Process Steps'!A14</f>
        <v>2a) Virtual solution prep for (2): 25 wt% reagent E (inorganic) in water</v>
      </c>
      <c r="B41" s="21" t="s">
        <v>4</v>
      </c>
      <c r="C41" s="21" t="s">
        <v>7</v>
      </c>
      <c r="D41" s="22" t="s">
        <v>158</v>
      </c>
      <c r="E41" s="22" t="s">
        <v>826</v>
      </c>
      <c r="F41" s="26">
        <v>25</v>
      </c>
      <c r="G41" s="26"/>
      <c r="H41" s="26"/>
      <c r="I41" s="26"/>
      <c r="J41" s="26" t="str">
        <f>INDEX(Process_Steps[Reference],MATCH(Table_Process_Details[[#This Row],[Step Name]],Process_Steps[Name],0))</f>
        <v>Reference Document for Step 2</v>
      </c>
      <c r="K41" s="27" t="str">
        <f>INDEX(Process_Steps[Real or Virtual?],MATCH(Table_Process_Details[[#This Row],[Step Name]],Process_Steps[Name],0))</f>
        <v>Virtual</v>
      </c>
      <c r="L4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4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41" s="26">
        <f>INDEX(Table_Process_Details[Physical Mass (kg)],MATCH(1,INDEX(((Table_Process_Details[Step Name]=Table_Process_Details[[#This Row],[Step Name]])*(Table_Process_Details[Input or Output]="Output")),0),0))</f>
        <v>100</v>
      </c>
      <c r="O41" s="29">
        <f ca="1">INDEX(Process_Steps[Step Scale Factor for 1kg Packaged API],MATCH(Table_Process_Details[[#This Row],[Step Name]],Process_Steps[Name],0))</f>
        <v>1.398020511137271E-3</v>
      </c>
      <c r="P4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7.333333333333333</v>
      </c>
      <c r="Q4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12.333333333333334</v>
      </c>
      <c r="R41" s="26">
        <f ca="1">_xlfn.SWITCH(Run_Reset_PNG,"Reset",Table_Process_Details[[#This Row],[X Init]],"Run",Table_Process_Details[[#This Row],[X Moved]],"Freeze",Table_Process_Details[[#This Row],[X Mover]])</f>
        <v>-12.252350354880075</v>
      </c>
      <c r="S41" s="26">
        <f ca="1">_xlfn.SWITCH(Run_Reset_PNG,"Reset",Table_Process_Details[[#This Row],[Y Init]],"Run",Table_Process_Details[[#This Row],[Y Moved]],"Freeze",Table_Process_Details[[#This Row],[Y Mover]])</f>
        <v>5.6024389994262531</v>
      </c>
      <c r="T41" s="26" cm="1">
        <f t="array" aca="1" ref="T4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-5.7414756789814847</v>
      </c>
      <c r="U41" s="26" cm="1">
        <f t="array" aca="1" ref="U4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1.4811275974852895</v>
      </c>
      <c r="V41" s="26" cm="1">
        <f t="array" aca="1" ref="V41" ca="1">SUM(--(SQRT((Table_Process_Details[[#This Row],[X Mover]]-Table_Process_Details[X Mover])^2+(Table_Process_Details[[#This Row],[Y Mover]]-Table_Process_Details[Y Mover])^2)&lt;Collision_Distance))</f>
        <v>8</v>
      </c>
      <c r="W41" s="26" cm="1">
        <f t="array" aca="1" ref="W4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0.57640176515370167</v>
      </c>
      <c r="X41" s="26" cm="1">
        <f t="array" aca="1" ref="X4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-0.16387086548050039</v>
      </c>
      <c r="Y41" s="26" cm="1">
        <f t="array" aca="1" ref="Y4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1" s="26">
        <f>0</f>
        <v>0</v>
      </c>
      <c r="AA41" s="26">
        <f>0</f>
        <v>0</v>
      </c>
      <c r="AB4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6.1261751774400377</v>
      </c>
      <c r="AC41" s="26" cm="1">
        <f t="array" aca="1" ref="AC4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-2.8012194997131266</v>
      </c>
      <c r="AD41" s="26">
        <f>MIN(1,COUNTA(Table_Process_Details[[#This Row],[target x]]),COUNTA(Table_Process_Details[[#This Row],[target y]]))*COUNTA(Table_Process_Details[Step Name])</f>
        <v>98</v>
      </c>
      <c r="AE4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-12.331121057992529</v>
      </c>
      <c r="AF4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5.5951252111853611</v>
      </c>
      <c r="AG4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1" s="26" cm="1">
        <f t="array" aca="1" ref="AH41" ca="1">INDEX(Table_Process_Details[X Mover],MATCH(1,INDEX((Table_Process_Details[Input or Output]="Output")*(Table_Process_Details[Step Name]=Table_Process_Details[[#This Row],[Step Name]])*(Table_Process_Details[[#This Row],[Input or Output]]="Input"),0),0))</f>
        <v>-8.2138992091278542</v>
      </c>
      <c r="AI41" s="26" cm="1">
        <f t="array" aca="1" ref="AI41" ca="1">INDEX(Table_Process_Details[Y Mover],MATCH(1,INDEX((Table_Process_Details[Input or Output]="Output")*(Table_Process_Details[Step Name]=Table_Process_Details[[#This Row],[Step Name]])*(Table_Process_Details[[#This Row],[Input or Output]]="Input"),0),0))</f>
        <v>4.4543084341448207</v>
      </c>
      <c r="AJ41" s="26" t="e">
        <f ca="1">SQRT((Table_Process_Details[[#This Row],[X End (To Node Center)]]-Table_Process_Details[[#This Row],[X Guide]])^2+(Table_Process_Details[[#This Row],[Y End (to Node Center)]]-Table_Process_Details[[#This Row],[Y Guide]])^2)</f>
        <v>#N/A</v>
      </c>
      <c r="AK41" s="26" t="e" cm="1">
        <f t="array" ref="AK41">INDEX(Table_Process_Details[X Mover],MATCH(1,INDEX((Table_Process_Details[Step Name]=Table_Process_Details[[#This Row],[LCA Data Source Subclass]])*(Table_Process_Details[Input or Output]="Output"),0)*(Table_Process_Details[[#This Row],[Input or Output]]="Input"),0))</f>
        <v>#N/A</v>
      </c>
      <c r="AL41" s="26" cm="1">
        <f t="array" aca="1" ref="AL41" ca="1">INDEX(Table_Process_Details[X Mover],MATCH(1,INDEX(((Table_Process_Details[Table Row]=Table_Process_Details[[#This Row],[Table Row]])*(1)),0)*(Table_Process_Details[[#This Row],[Input or Output]]="Input"),0))</f>
        <v>-12.252350354880075</v>
      </c>
      <c r="AM41" s="26" t="e" cm="1">
        <f t="array" aca="1" ref="AM41" ca="1">(Table_Process_Details[[#This Row],[X End (To Node Center)]]*Table_Process_Details[[#This Row],[r0]]-Table_Process_Details[[#This Row],[X End (To Node Center)]]*Arrow_Offset+Table_Process_Details[[#This Row],[X Guide]]*Arrow_Offset)/Table_Process_Details[[#This Row],[r0]]</f>
        <v>#N/A</v>
      </c>
      <c r="AN41" s="26" t="e">
        <f>IF(NOT(Table_Process_Details[[#This Row],[Display As]]="None"),Table_Process_Details[[#This Row],[X Start Prefilter]],NA())</f>
        <v>#N/A</v>
      </c>
      <c r="AO41" s="26" t="e">
        <f>IF(NOT(Table_Process_Details[[#This Row],[Display As]]="None"),Table_Process_Details[[#This Row],[X Guide Prefilter]],NA())</f>
        <v>#N/A</v>
      </c>
      <c r="AP41" s="26" t="e">
        <f>IF(NOT(Table_Process_Details[[#This Row],[Display As]]="None"),Table_Process_Details[[#This Row],[X End (to Stop Radius) Prefilter]],NA())</f>
        <v>#N/A</v>
      </c>
      <c r="AQ41" s="26" t="e">
        <f>NA()</f>
        <v>#N/A</v>
      </c>
      <c r="AR41" s="26" t="e" cm="1">
        <f t="array" ref="AR41">INDEX(Table_Process_Details[Y Mover],MATCH(1,INDEX((Table_Process_Details[Step Name]=Table_Process_Details[[#This Row],[LCA Data Source Subclass]])*(Table_Process_Details[Input or Output]="Output"),0)*(Table_Process_Details[[#This Row],[Input or Output]]="Input"),0))</f>
        <v>#N/A</v>
      </c>
      <c r="AS41" s="26" cm="1">
        <f t="array" aca="1" ref="AS41" ca="1">INDEX(Table_Process_Details[Y Mover],MATCH(1,INDEX(((Table_Process_Details[Table Row]=Table_Process_Details[[#This Row],[Table Row]])*(1)),0)*(Table_Process_Details[[#This Row],[Input or Output]]="Input"),0))</f>
        <v>5.6024389994262531</v>
      </c>
      <c r="AT41" s="26" t="e" cm="1">
        <f t="array" aca="1" ref="AT41" ca="1">(Table_Process_Details[[#This Row],[Y Guide]]*Arrow_Offset-Table_Process_Details[[#This Row],[Y End (to Node Center)]]*Arrow_Offset+Table_Process_Details[[#This Row],[Y End (to Node Center)]]*Table_Process_Details[[#This Row],[r0]])/Table_Process_Details[[#This Row],[r0]]</f>
        <v>#N/A</v>
      </c>
      <c r="AU41" s="26" t="e">
        <f>IF(NOT(Table_Process_Details[[#This Row],[Display As]]="None"),Table_Process_Details[[#This Row],[Y Start Prefilter]],NA())</f>
        <v>#N/A</v>
      </c>
      <c r="AV41" s="26" t="e">
        <f>IF(NOT(Table_Process_Details[[#This Row],[Display As]]="None"),Table_Process_Details[[#This Row],[Y Guide Prefilter]],NA())</f>
        <v>#N/A</v>
      </c>
      <c r="AW41" s="26" t="e">
        <f>IF(NOT(Table_Process_Details[[#This Row],[Display As]]="None"),Table_Process_Details[[#This Row],[Y End (to Stop Radius) Prefilter]],NA())</f>
        <v>#N/A</v>
      </c>
      <c r="AX41" s="26" t="e">
        <f>NA()</f>
        <v>#N/A</v>
      </c>
      <c r="AY41" s="26" t="e">
        <f>IF(Table_Process_Details[[#This Row],[Display As]]="Real Step",Table_Process_Details[[#This Row],[X Mover]],NA())</f>
        <v>#N/A</v>
      </c>
      <c r="AZ41" s="26" t="e">
        <f>IF(Table_Process_Details[[#This Row],[Display As]]="Real Step",Table_Process_Details[[#This Row],[Y Mover]],NA())</f>
        <v>#N/A</v>
      </c>
      <c r="BA41" s="26" t="e">
        <f>IF(Table_Process_Details[[#This Row],[Display As]]="Raw Material",Table_Process_Details[[#This Row],[X Mover]],NA())</f>
        <v>#N/A</v>
      </c>
      <c r="BB41" s="26" t="e">
        <f>IF(Table_Process_Details[[#This Row],[Display As]]="Raw Material",Table_Process_Details[[#This Row],[Y Mover]],NA())</f>
        <v>#N/A</v>
      </c>
      <c r="BC41" s="26" t="e">
        <f>IF(OR(Table_Process_Details[[#This Row],[Display As]]="Real Step",Table_Process_Details[[#This Row],[Display As]]="Raw Material"),Table_Process_Details[[#This Row],[X Mover]],NA())</f>
        <v>#N/A</v>
      </c>
      <c r="BD41" s="26" t="e">
        <f>IF(OR(Table_Process_Details[[#This Row],[Display As]]="Real Step",Table_Process_Details[[#This Row],[Display As]]="Raw Material"),Table_Process_Details[[#This Row],[Y Mover]],NA())</f>
        <v>#N/A</v>
      </c>
      <c r="BE41" s="22">
        <f>ROW()-ROW(Table_Process_Details[[#Headers],[Table Row]])</f>
        <v>37</v>
      </c>
      <c r="BF41" s="23" t="str" cm="1">
        <f t="array" aca="1" ref="BF41" ca="1">INDEX(Table_Process_Details[Display Name],MATCH(0,IF(Table_Process_Details[Input or Output]="Input",INDEX(COUNTIF(OFFSET(Table_Process_Details[[#Headers],[Unique Process Inputs]],0,0,Table_Process_Details[[#This Row],[Table Row]],1),Table_Process_Details[Display Name]),),""),0))</f>
        <v>reagent T (organic)</v>
      </c>
      <c r="BG41" s="23">
        <f ca="1">Table_Process_Details[[#This Row],[Physical Mass (kg)]]*Table_Process_Details[[#This Row],[Step Scale Factor for 1kg Packaged API]]</f>
        <v>3.4950512778431773E-2</v>
      </c>
      <c r="BH4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1" s="23">
        <f ca="1">MATCH(Table_Process_Details[[#This Row],[LCA Data Source Class]],INDIRECT(Table_Process_Details[[#This Row],[Input or Output]]),0)</f>
        <v>6</v>
      </c>
      <c r="BJ41" s="23">
        <f ca="1">MATCH(Table_Process_Details[[#This Row],[LCA Data Source Subclass]],INDIRECT(Table_Process_Details[[#This Row],[LCA Data Source Class]]&amp;"[Name]"),0)</f>
        <v>1</v>
      </c>
      <c r="BK41" s="23">
        <f ca="1">IFERROR(INDEX(INDIRECT(Table_Process_Details[[#This Row],[LCA Data Source Class]]&amp;"[Mass Net (kg)]"),MATCH(Table_Process_Details[[#This Row],[LCA Data Source Subclass]],INDIRECT(Table_Process_Details[[#This Row],[LCA Data Source Class]]&amp;"[Name]"),0)),0)</f>
        <v>1.34</v>
      </c>
      <c r="BL41" s="23">
        <f ca="1">IFERROR(INDEX(INDIRECT(Table_Process_Details[[#This Row],[LCA Data Source Class]]&amp;"[Energy (MJ)]"),MATCH(Table_Process_Details[[#This Row],[LCA Data Source Subclass]],INDIRECT(Table_Process_Details[[#This Row],[LCA Data Source Class]]&amp;"[Name]"),0)),0)</f>
        <v>10.63</v>
      </c>
      <c r="BM41" s="23">
        <f ca="1">IFERROR(INDEX(INDIRECT(Table_Process_Details[[#This Row],[LCA Data Source Class]]&amp;"[GWP (kg CO2 equiv.)]"),MATCH(Table_Process_Details[[#This Row],[LCA Data Source Subclass]],INDIRECT(Table_Process_Details[[#This Row],[LCA Data Source Class]]&amp;"[Name]"),0)),0)</f>
        <v>1.3854</v>
      </c>
      <c r="BN41" s="23">
        <f ca="1">IFERROR(INDEX(INDIRECT(Table_Process_Details[[#This Row],[LCA Data Source Class]]&amp;"[Acidification (kg SO2 equiv.)]"),MATCH(Table_Process_Details[[#This Row],[LCA Data Source Subclass]],INDIRECT(Table_Process_Details[[#This Row],[LCA Data Source Class]]&amp;"[Name]"),0)),0)</f>
        <v>1.3899999999999999E-2</v>
      </c>
      <c r="BO41" s="23">
        <f ca="1">IFERROR(INDEX(INDIRECT(Table_Process_Details[[#This Row],[LCA Data Source Class]]&amp;"[Eutrophication (kg posphate equiv.)]"),MATCH(Table_Process_Details[[#This Row],[LCA Data Source Subclass]],INDIRECT(Table_Process_Details[[#This Row],[LCA Data Source Class]]&amp;"[Name]"),0)),0)</f>
        <v>6.9999999999999999E-4</v>
      </c>
      <c r="BP41" s="23">
        <f ca="1">IFERROR(INDEX(INDIRECT(Table_Process_Details[[#This Row],[LCA Data Source Class]]&amp;"[Water (kg)]"),MATCH(Table_Process_Details[[#This Row],[LCA Data Source Subclass]],INDIRECT(Table_Process_Details[[#This Row],[LCA Data Source Class]]&amp;"[Name]"),0)),0)</f>
        <v>0.69123000000000001</v>
      </c>
      <c r="BQ41" s="27">
        <f ca="1">(Table_Process_Details[[#This Row],[Input or Output]]="Input")*(Table_Process_Details[[#This Row],[LCA Data Source Class]]&lt;&gt;"Process_Steps")*Table_Process_Details[[#This Row],[Scaled Physical Mass per kg API for All Inputs &amp; Outputs]]</f>
        <v>3.4950512778431773E-2</v>
      </c>
      <c r="BR41" s="27">
        <f ca="1">(Table_Process_Details[[#This Row],[Material Class]]="REAGENT")*Table_Process_Details[[#This Row],[Physical Mass per kg API]]</f>
        <v>3.4950512778431773E-2</v>
      </c>
      <c r="BS41" s="27">
        <f ca="1">(Table_Process_Details[[#This Row],[Material Class]]="METAL")*Table_Process_Details[[#This Row],[Physical Mass per kg API]]</f>
        <v>0</v>
      </c>
      <c r="BT41" s="27">
        <f ca="1">(Table_Process_Details[[#This Row],[Material Class]]="SOLVENT")*Table_Process_Details[[#This Row],[Physical Mass per kg API]]</f>
        <v>0</v>
      </c>
      <c r="BU41" s="27">
        <f ca="1">(Table_Process_Details[[#This Row],[Material Class]]="WATER")*Table_Process_Details[[#This Row],[Physical Mass per kg API]]</f>
        <v>0</v>
      </c>
      <c r="BV41" s="27">
        <f ca="1">(Table_Process_Details[[#This Row],[Material Class]]="ENZ&amp;PLNT")*Table_Process_Details[[#This Row],[Physical Mass per kg API]]</f>
        <v>0</v>
      </c>
      <c r="BW41" s="27">
        <f ca="1">(Table_Process_Details[[#This Row],[Material Class]]="OTHER")*Table_Process_Details[[#This Row],[Physical Mass per kg API]]</f>
        <v>0</v>
      </c>
      <c r="BX4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1" s="1">
        <f ca="1">SUMIFS(Table_Process_Details[RV Physical Mass per kg API],Table_Process_Details[Display Name],Table_Process_Details[[#This Row],[Unique Process Inputs]],Table_Process_Details[Input or Output],"Input")</f>
        <v>4.4044778858506479</v>
      </c>
      <c r="CF41" s="1">
        <f ca="1">SUMIFS(Table_Process_Details[RV Physical Mass per kg API (REAGENT)],Table_Process_Details[Display Name],Table_Process_Details[[#This Row],[Unique Process Inputs]],Table_Process_Details[Input or Output],"Input")</f>
        <v>4.4044778858506479</v>
      </c>
      <c r="CG41" s="1">
        <f ca="1">SUMIFS(Table_Process_Details[RV Physical Mass per kg API (METAL)],Table_Process_Details[Display Name],Table_Process_Details[[#This Row],[Unique Process Inputs]],Table_Process_Details[Input or Output],"Input")</f>
        <v>0</v>
      </c>
      <c r="CH41" s="1">
        <f ca="1">SUMIFS(Table_Process_Details[RV Physical Mass per kg API (SOLVENT)],Table_Process_Details[Display Name],Table_Process_Details[[#This Row],[Unique Process Inputs]],Table_Process_Details[Input or Output],"Input")</f>
        <v>0</v>
      </c>
      <c r="CI41" s="1">
        <f ca="1">SUMIFS(Table_Process_Details[RV Physical Mass per kg API (WATER)],Table_Process_Details[Display Name],Table_Process_Details[[#This Row],[Unique Process Inputs]],Table_Process_Details[Input or Output],"Input")</f>
        <v>0</v>
      </c>
      <c r="CJ41" s="1">
        <f ca="1">SUMIFS(Table_Process_Details[RV Physical Mass per kg API (ENZ&amp;PLNT)],Table_Process_Details[Display Name],Table_Process_Details[[#This Row],[Unique Process Inputs]],Table_Process_Details[Input or Output],"Input")</f>
        <v>0</v>
      </c>
      <c r="CK41" s="1">
        <f ca="1">SUMIFS(Table_Process_Details[RV Physical Mass per kg API (OTHER)],Table_Process_Details[Display Name],Table_Process_Details[[#This Row],[Unique Process Inputs]],Table_Process_Details[Input or Output],"Input")</f>
        <v>0</v>
      </c>
      <c r="CL41" s="22" t="e">
        <f ca="1">INDEX(Table_Process_Details[Unique Process Inputs],MATCH(Table_Process_Details[[#This Row],['[Physical Mass per kg API'] of Unique Inputs Sorted by '[Physical Mass per kg API']]],Table_Process_Details[Total '[Physical Mass per kg API'] of Unique Inputs],0))</f>
        <v>#N/A</v>
      </c>
      <c r="CM41" s="22" t="e">
        <f ca="1">IF(LARGE(Table_Process_Details[Total '[Physical Mass per kg API'] of Unique Inputs],Table_Process_Details[[#This Row],[Table Row]])=0,NA(),LARGE(Table_Process_Details[Total '[Physical Mass per kg API'] of Unique Inputs],Table_Process_Details[[#This Row],[Table Row]]))</f>
        <v>#N/A</v>
      </c>
      <c r="CN41" s="22" t="e">
        <f ca="1">SUM(OFFSET(Table_Process_Details['[Physical Mass per kg API'] of Unique Inputs Sorted by '[Physical Mass per kg API']],0,0,Table_Process_Details[[#This Row],[Table Row]]))</f>
        <v>#N/A</v>
      </c>
      <c r="CO41" s="22" t="e">
        <f ca="1">"("&amp;TEXT(Table_Process_Details[[#This Row],['[Physical Mass per kg API'] of Unique Inputs Sorted by '[Physical Mass per kg API']]]/SUMIF(Table_Process_Details['[Physical Mass per kg API'] of Unique Inputs Sorted by '[Physical Mass per kg API']],"&lt;&gt;#N/A"),"0%")&amp;")"</f>
        <v>#N/A</v>
      </c>
      <c r="CP41" s="22" t="e">
        <f ca="1">INDEX(Table_Process_Details[Total '[Physical Mass per kg API'] of Unique Inputs (REAGENT)],MATCH(Table_Process_Details[[#This Row],[Unique Inputs Sorted by '[Physical Mass per kg API']]],Table_Process_Details[Unique Process Inputs],0))</f>
        <v>#N/A</v>
      </c>
      <c r="CQ41" s="22" t="e">
        <f ca="1">INDEX(Table_Process_Details[Total '[Physical Mass per kg API'] of Unique Inputs (METAL)],MATCH(Table_Process_Details[[#This Row],[Unique Inputs Sorted by '[Physical Mass per kg API']]],Table_Process_Details[Unique Process Inputs],0))</f>
        <v>#N/A</v>
      </c>
      <c r="CR41" s="22" t="e">
        <f ca="1">INDEX(Table_Process_Details[Total '[Physical Mass per kg API'] of Unique Inputs (SOLVENT)],MATCH(Table_Process_Details[[#This Row],[Unique Inputs Sorted by '[Physical Mass per kg API']]],Table_Process_Details[Unique Process Inputs],0))</f>
        <v>#N/A</v>
      </c>
      <c r="CS41" s="22" t="e">
        <f ca="1">INDEX(Table_Process_Details[Total '[Physical Mass per kg API'] of Unique Inputs (WATER)],MATCH(Table_Process_Details[[#This Row],[Unique Inputs Sorted by '[Physical Mass per kg API']]],Table_Process_Details[Unique Process Inputs],0))</f>
        <v>#N/A</v>
      </c>
      <c r="CT41" s="22" t="e">
        <f ca="1">INDEX(Table_Process_Details[Total '[Physical Mass per kg API'] of Unique Inputs (ENZ&amp;PLNT)],MATCH(Table_Process_Details[[#This Row],[Unique Inputs Sorted by '[Physical Mass per kg API']]],Table_Process_Details[Unique Process Inputs],0))</f>
        <v>#N/A</v>
      </c>
      <c r="CU41" s="22" t="e">
        <f ca="1">INDEX(Table_Process_Details[Total '[Physical Mass per kg API'] of Unique Inputs (OTHER)],MATCH(Table_Process_Details[[#This Row],[Unique Inputs Sorted by '[Physical Mass per kg API']]],Table_Process_Details[Unique Process Inputs],0))</f>
        <v>#N/A</v>
      </c>
      <c r="CV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1" s="22">
        <f ca="1">SUMIFS(Table_Process_Details[RV Mass Net (kg) per kg API],Table_Process_Details[Display Name],Table_Process_Details[[#This Row],[Unique Process Inputs]],Table_Process_Details[Input or Output],"Input")</f>
        <v>9.1882730075362247</v>
      </c>
      <c r="DD41" s="22">
        <f ca="1">SUMIFS(Table_Process_Details[RV Mass Net (kg) per kg API (REAGENT)],Table_Process_Details[Display Name],Table_Process_Details[[#This Row],[Unique Process Inputs]],Table_Process_Details[Input or Output],"Input")</f>
        <v>9.1882730075362247</v>
      </c>
      <c r="DE41" s="22">
        <f ca="1">SUMIFS(Table_Process_Details[RV Mass Net (kg) per kg API (METAL)],Table_Process_Details[Display Name],Table_Process_Details[[#This Row],[Unique Process Inputs]],Table_Process_Details[Input or Output],"Input")</f>
        <v>0</v>
      </c>
      <c r="DF41" s="22">
        <f ca="1">SUMIFS(Table_Process_Details[RV Mass Net (kg) per kg API (SOLVENT)],Table_Process_Details[Display Name],Table_Process_Details[[#This Row],[Unique Process Inputs]],Table_Process_Details[Input or Output],"Input")</f>
        <v>0</v>
      </c>
      <c r="DG41" s="22">
        <f ca="1">SUMIFS(Table_Process_Details[RV Mass Net (kg) per kg API (WATER)],Table_Process_Details[Display Name],Table_Process_Details[[#This Row],[Unique Process Inputs]],Table_Process_Details[Input or Output],"Input")</f>
        <v>0</v>
      </c>
      <c r="DH41" s="22">
        <f ca="1">SUMIFS(Table_Process_Details[RV Mass Net (kg) per kg API (ENZ&amp;PLNT)],Table_Process_Details[Display Name],Table_Process_Details[[#This Row],[Unique Process Inputs]],Table_Process_Details[Input or Output],"Input")</f>
        <v>0</v>
      </c>
      <c r="DI41" s="22">
        <f ca="1">SUMIFS(Table_Process_Details[RV Mass Net (kg) per kg API (OTHER)],Table_Process_Details[Display Name],Table_Process_Details[[#This Row],[Unique Process Inputs]],Table_Process_Details[Input or Output],"Input")</f>
        <v>0</v>
      </c>
      <c r="DJ41" s="22" t="e">
        <f ca="1">INDEX(Table_Process_Details[Unique Process Inputs],MATCH(Table_Process_Details[[#This Row],['[Mass Net (kg) per kg API'] of Unique Inputs Sorted by '[Mass Net (kg) per kg API']]],Table_Process_Details[Total '[Mass Net (kg) per kg API'] of Unique Inputs],0))</f>
        <v>#N/A</v>
      </c>
      <c r="DK41" s="22" t="e">
        <f ca="1">IF(LARGE(Table_Process_Details[Total '[Mass Net (kg) per kg API'] of Unique Inputs],Table_Process_Details[[#This Row],[Table Row]])=0,NA(),LARGE(Table_Process_Details[Total '[Mass Net (kg) per kg API'] of Unique Inputs],Table_Process_Details[[#This Row],[Table Row]]))</f>
        <v>#N/A</v>
      </c>
      <c r="DL41" s="22" t="e">
        <f ca="1">SUM(OFFSET(Table_Process_Details['[Mass Net (kg) per kg API'] of Unique Inputs Sorted by '[Mass Net (kg) per kg API']],0,0,Table_Process_Details[[#This Row],[Table Row]]))</f>
        <v>#N/A</v>
      </c>
      <c r="DM41" s="22" t="e">
        <f ca="1">"("&amp;TEXT(Table_Process_Details[[#This Row],['[Mass Net (kg) per kg API'] of Unique Inputs Sorted by '[Mass Net (kg) per kg API']]]/SUMIF(Table_Process_Details['[Mass Net (kg) per kg API'] of Unique Inputs Sorted by '[Mass Net (kg) per kg API']],"&lt;&gt;#N/A"),"0%")&amp;")"</f>
        <v>#N/A</v>
      </c>
      <c r="DN41" s="22" t="e">
        <f ca="1">INDEX(Table_Process_Details[Total '[Mass Net (kg) per kg API'] of Unique Inputs (REAGENT)], MATCH(Table_Process_Details[[#This Row],[Unique Inputs Sorted by '[Mass Net (kg) per kg API']]],Table_Process_Details[Unique Process Inputs],0))</f>
        <v>#N/A</v>
      </c>
      <c r="DO41" s="22" t="e">
        <f ca="1">INDEX(Table_Process_Details[Total '[Mass Net (kg) per kg API'] of Unique Inputs (METAL)], MATCH(Table_Process_Details[[#This Row],[Unique Inputs Sorted by '[Mass Net (kg) per kg API']]],Table_Process_Details[Unique Process Inputs],0))</f>
        <v>#N/A</v>
      </c>
      <c r="DP41" s="22" t="e">
        <f ca="1">INDEX(Table_Process_Details[Total '[Mass Net (kg) per kg API'] of Unique Inputs (SOLVENT)], MATCH(Table_Process_Details[[#This Row],[Unique Inputs Sorted by '[Mass Net (kg) per kg API']]],Table_Process_Details[Unique Process Inputs],0))</f>
        <v>#N/A</v>
      </c>
      <c r="DQ41" s="22" t="e">
        <f ca="1">INDEX(Table_Process_Details[Total '[Mass Net (kg) per kg API'] of Unique Inputs (WATER)], MATCH(Table_Process_Details[[#This Row],[Unique Inputs Sorted by '[Mass Net (kg) per kg API']]],Table_Process_Details[Unique Process Inputs],0))</f>
        <v>#N/A</v>
      </c>
      <c r="DR41" s="22" t="e">
        <f ca="1">INDEX(Table_Process_Details[Total '[Mass Net (kg) per kg API'] of Unique Inputs (ENZ&amp;PLNT)], MATCH(Table_Process_Details[[#This Row],[Unique Inputs Sorted by '[Mass Net (kg) per kg API']]],Table_Process_Details[Unique Process Inputs],0))</f>
        <v>#N/A</v>
      </c>
      <c r="DS41" s="22" t="e">
        <f ca="1">INDEX(Table_Process_Details[Total '[Mass Net (kg) per kg API'] of Unique Inputs (OTHER)], MATCH(Table_Process_Details[[#This Row],[Unique Inputs Sorted by '[Mass Net (kg) per kg API']]],Table_Process_Details[Unique Process Inputs],0))</f>
        <v>#N/A</v>
      </c>
      <c r="DT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1" s="1">
        <f ca="1">SUMIFS(Table_Process_Details[RV Energy (MJ) per kg API],Table_Process_Details[Display Name],Table_Process_Details[[#This Row],[Unique Process Inputs]],Table_Process_Details[Input or Output],"Input")</f>
        <v>329.75131706913032</v>
      </c>
      <c r="EB41" s="1">
        <f ca="1">SUMIFS(Table_Process_Details[RV Energy (MJ) per kg API (REAGENT)],Table_Process_Details[Display Name],Table_Process_Details[[#This Row],[Unique Process Inputs]],Table_Process_Details[Input or Output],"Input")</f>
        <v>329.75131706913032</v>
      </c>
      <c r="EC41" s="1">
        <f ca="1">SUMIFS(Table_Process_Details[RV Energy (MJ) per kg API (METAL)],Table_Process_Details[Display Name],Table_Process_Details[[#This Row],[Unique Process Inputs]],Table_Process_Details[Input or Output],"Input")</f>
        <v>0</v>
      </c>
      <c r="ED41" s="1">
        <f ca="1">SUMIFS(Table_Process_Details[RV Energy (MJ) per kg API (SOLVENT)],Table_Process_Details[Display Name],Table_Process_Details[[#This Row],[Unique Process Inputs]],Table_Process_Details[Input or Output],"Input")</f>
        <v>0</v>
      </c>
      <c r="EE41" s="1">
        <f ca="1">SUMIFS(Table_Process_Details[RV Energy (MJ) per kg API (WATER)],Table_Process_Details[Display Name],Table_Process_Details[[#This Row],[Unique Process Inputs]],Table_Process_Details[Input or Output],"Input")</f>
        <v>0</v>
      </c>
      <c r="EF41" s="1">
        <f ca="1">SUMIFS(Table_Process_Details[RV Energy (MJ) per kg API (ENZ&amp;PLNT)],Table_Process_Details[Display Name],Table_Process_Details[[#This Row],[Unique Process Inputs]],Table_Process_Details[Input or Output],"Input")</f>
        <v>0</v>
      </c>
      <c r="EG41" s="1">
        <f ca="1">SUMIFS(Table_Process_Details[RV Energy (MJ) per kg API (OTHER)],Table_Process_Details[Display Name],Table_Process_Details[[#This Row],[Unique Process Inputs]],Table_Process_Details[Input or Output],"Input")</f>
        <v>0</v>
      </c>
      <c r="EH41" s="1" t="e">
        <f ca="1">INDEX(Table_Process_Details[Unique Process Inputs],MATCH(Table_Process_Details[[#This Row],['[Energy (MJ) per kg API'] of Unique Inputs Sorted by '[Energy (MJ) per kg API']]],Table_Process_Details[Total '[Energy (MJ) per kg API'] of Unique Inputs],0))</f>
        <v>#N/A</v>
      </c>
      <c r="EI41" s="22" t="e">
        <f ca="1">IF(LARGE(Table_Process_Details[Total '[Energy (MJ) per kg API'] of Unique Inputs],Table_Process_Details[[#This Row],[Table Row]])=0,NA(),LARGE(Table_Process_Details[Total '[Energy (MJ) per kg API'] of Unique Inputs],Table_Process_Details[[#This Row],[Table Row]]))</f>
        <v>#N/A</v>
      </c>
      <c r="EJ41" s="22" t="e">
        <f ca="1">SUM(OFFSET(Table_Process_Details['[Energy (MJ) per kg API'] of Unique Inputs Sorted by '[Energy (MJ) per kg API']],0,0,Table_Process_Details[[#This Row],[Table Row]]))</f>
        <v>#N/A</v>
      </c>
      <c r="EK41" s="22" t="e">
        <f ca="1">"("&amp;TEXT(Table_Process_Details[[#This Row],['[Energy (MJ) per kg API'] of Unique Inputs Sorted by '[Energy (MJ) per kg API']]]/SUMIF(Table_Process_Details['[Energy (MJ) per kg API'] of Unique Inputs Sorted by '[Energy (MJ) per kg API']],"&lt;&gt;#N/A"),"0%")&amp;")"</f>
        <v>#N/A</v>
      </c>
      <c r="EL41" s="22" t="e">
        <f ca="1">INDEX(Table_Process_Details[Total '[Energy (MJ) per kg API'] of Unique Inputs (REAGENT)], MATCH(Table_Process_Details[[#This Row],[Unique Inputs Sorted by '[Energy (MJ) per kg API']]],Table_Process_Details[Unique Process Inputs],0))</f>
        <v>#N/A</v>
      </c>
      <c r="EM41" s="22" t="e">
        <f ca="1">INDEX(Table_Process_Details[Total '[Energy (MJ) per kg API'] of Unique Inputs (METAL)], MATCH(Table_Process_Details[[#This Row],[Unique Inputs Sorted by '[Energy (MJ) per kg API']]],Table_Process_Details[Unique Process Inputs],0))</f>
        <v>#N/A</v>
      </c>
      <c r="EN41" s="22" t="e">
        <f ca="1">INDEX(Table_Process_Details[Total '[Energy (MJ) per kg API'] of Unique Inputs (SOLVENT)], MATCH(Table_Process_Details[[#This Row],[Unique Inputs Sorted by '[Energy (MJ) per kg API']]],Table_Process_Details[Unique Process Inputs],0))</f>
        <v>#N/A</v>
      </c>
      <c r="EO41" s="22" t="e">
        <f ca="1">INDEX(Table_Process_Details[Total '[Energy (MJ) per kg API'] of Unique Inputs (WATER)], MATCH(Table_Process_Details[[#This Row],[Unique Inputs Sorted by '[Energy (MJ) per kg API']]],Table_Process_Details[Unique Process Inputs],0))</f>
        <v>#N/A</v>
      </c>
      <c r="EP41" s="22" t="e">
        <f ca="1">INDEX(Table_Process_Details[Total '[Energy (MJ) per kg API'] of Unique Inputs (ENZ&amp;PLNT)], MATCH(Table_Process_Details[[#This Row],[Unique Inputs Sorted by '[Energy (MJ) per kg API']]],Table_Process_Details[Unique Process Inputs],0))</f>
        <v>#N/A</v>
      </c>
      <c r="EQ41" s="22" t="e">
        <f ca="1">INDEX(Table_Process_Details[Total '[Energy (MJ) per kg API'] of Unique Inputs (OTHER)], MATCH(Table_Process_Details[[#This Row],[Unique Inputs Sorted by '[Energy (MJ) per kg API']]],Table_Process_Details[Unique Process Inputs],0))</f>
        <v>#N/A</v>
      </c>
      <c r="ER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1" s="22">
        <f ca="1">SUMIFS(Table_Process_Details[RV GWP (kg CO2 equiv.) per kg API],Table_Process_Details[Display Name],Table_Process_Details[[#This Row],[Unique Process Inputs]],Table_Process_Details[Input or Output],"Input")</f>
        <v>11.559127425097321</v>
      </c>
      <c r="EZ41" s="1">
        <f ca="1">SUMIFS(Table_Process_Details[RV GWP (kg CO2 equiv.) per kg API (REAGENT)],Table_Process_Details[Display Name],Table_Process_Details[[#This Row],[Unique Process Inputs]],Table_Process_Details[Input or Output],"Input")</f>
        <v>11.559127425097321</v>
      </c>
      <c r="FA41" s="1">
        <f ca="1">SUMIFS(Table_Process_Details[RV GWP (kg CO2 equiv.) per kg API (METAL)],Table_Process_Details[Display Name],Table_Process_Details[[#This Row],[Unique Process Inputs]],Table_Process_Details[Input or Output],"Input")</f>
        <v>0</v>
      </c>
      <c r="FB41" s="1">
        <f ca="1">SUMIFS(Table_Process_Details[RV GWP (kg CO2 equiv.) per kg API (SOLVENT)],Table_Process_Details[Display Name],Table_Process_Details[[#This Row],[Unique Process Inputs]],Table_Process_Details[Input or Output],"Input")</f>
        <v>0</v>
      </c>
      <c r="FC41" s="1">
        <f ca="1">SUMIFS(Table_Process_Details[RV GWP (kg CO2 equiv.) per kg API (WATER)],Table_Process_Details[Display Name],Table_Process_Details[[#This Row],[Unique Process Inputs]],Table_Process_Details[Input or Output],"Input")</f>
        <v>0</v>
      </c>
      <c r="FD41" s="1">
        <f ca="1">SUMIFS(Table_Process_Details[RV GWP (kg CO2 equiv.) per kg API (ENZ&amp;PLNT)],Table_Process_Details[Display Name],Table_Process_Details[[#This Row],[Unique Process Inputs]],Table_Process_Details[Input or Output],"Input")</f>
        <v>0</v>
      </c>
      <c r="FE41" s="1">
        <f ca="1">SUMIFS(Table_Process_Details[RV GWP (kg CO2 equiv.) per kg API (OTHER)],Table_Process_Details[Display Name],Table_Process_Details[[#This Row],[Unique Process Inputs]],Table_Process_Details[Input or Output],"Input")</f>
        <v>0</v>
      </c>
      <c r="FF41" s="22" t="e">
        <f ca="1">INDEX(Table_Process_Details[Unique Process Inputs],MATCH(Table_Process_Details[[#This Row],['[GWP (kg CO2 equiv.) per kg API'] of Unique Inputs Sorted by '[GWP (kg CO2 equiv.) per kg API']]],Table_Process_Details[Total '[GWP (kg CO2 equiv.) per kg API'] of Unique Inputs],0))</f>
        <v>#N/A</v>
      </c>
      <c r="FG41" s="22" t="e">
        <f ca="1">IF(LARGE(Table_Process_Details[Total '[GWP (kg CO2 equiv.) per kg API'] of Unique Inputs],Table_Process_Details[[#This Row],[Table Row]])=0,NA(),LARGE(Table_Process_Details[Total '[GWP (kg CO2 equiv.) per kg API'] of Unique Inputs],Table_Process_Details[[#This Row],[Table Row]]))</f>
        <v>#N/A</v>
      </c>
      <c r="FH41" s="22" t="e">
        <f ca="1">SUM(OFFSET(Table_Process_Details['[GWP (kg CO2 equiv.) per kg API'] of Unique Inputs Sorted by '[GWP (kg CO2 equiv.) per kg API']],0,0,Table_Process_Details[[#This Row],[Table Row]]))</f>
        <v>#N/A</v>
      </c>
      <c r="FI41" s="22" t="e">
        <f ca="1">"("&amp;TEXT(Table_Process_Details[[#This Row],['[GWP (kg CO2 equiv.) per kg API'] of Unique Inputs Sorted by '[GWP (kg CO2 equiv.) per kg API']]]/SUMIF(Table_Process_Details['[GWP (kg CO2 equiv.) per kg API'] of Unique Inputs Sorted by '[GWP (kg CO2 equiv.) per kg API']],"&lt;&gt;#N/A"),"0%")&amp;")"</f>
        <v>#N/A</v>
      </c>
      <c r="FJ41" s="22" t="e">
        <f ca="1">INDEX(Table_Process_Details[Total '[GWP (kg CO2 equiv.) per kg API'] of Unique Inputs (REAGENT)], MATCH(Table_Process_Details[[#This Row],[Unique Inputs Sorted by '[GWP (kg CO2 equiv.) per kg API']]],Table_Process_Details[Unique Process Inputs],0))</f>
        <v>#N/A</v>
      </c>
      <c r="FK41" s="22" t="e">
        <f ca="1">INDEX(Table_Process_Details[Total '[GWP (kg CO2 equiv.) per kg API'] of Unique Inputs (METAL)], MATCH(Table_Process_Details[[#This Row],[Unique Inputs Sorted by '[GWP (kg CO2 equiv.) per kg API']]],Table_Process_Details[Unique Process Inputs],0))</f>
        <v>#N/A</v>
      </c>
      <c r="FL41" s="22" t="e">
        <f ca="1">INDEX(Table_Process_Details[Total '[GWP (kg CO2 equiv.) per kg API'] of Unique Inputs (SOLVENT)], MATCH(Table_Process_Details[[#This Row],[Unique Inputs Sorted by '[GWP (kg CO2 equiv.) per kg API']]],Table_Process_Details[Unique Process Inputs],0))</f>
        <v>#N/A</v>
      </c>
      <c r="FM41" s="22" t="e">
        <f ca="1">INDEX(Table_Process_Details[Total '[GWP (kg CO2 equiv.) per kg API'] of Unique Inputs (WATER)], MATCH(Table_Process_Details[[#This Row],[Unique Inputs Sorted by '[GWP (kg CO2 equiv.) per kg API']]],Table_Process_Details[Unique Process Inputs],0))</f>
        <v>#N/A</v>
      </c>
      <c r="FN41" s="22" t="e">
        <f ca="1">INDEX(Table_Process_Details[Total '[GWP (kg CO2 equiv.) per kg API'] of Unique Inputs (ENZ&amp;PLNT)], MATCH(Table_Process_Details[[#This Row],[Unique Inputs Sorted by '[GWP (kg CO2 equiv.) per kg API']]],Table_Process_Details[Unique Process Inputs],0))</f>
        <v>#N/A</v>
      </c>
      <c r="FO41" s="22" t="e">
        <f ca="1">INDEX(Table_Process_Details[Total '[GWP (kg CO2 equiv.) per kg API'] of Unique Inputs (OTHER)], MATCH(Table_Process_Details[[#This Row],[Unique Inputs Sorted by '[GWP (kg CO2 equiv.) per kg API']]],Table_Process_Details[Unique Process Inputs],0))</f>
        <v>#N/A</v>
      </c>
      <c r="FP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1" s="22">
        <f ca="1">SUMIFS(Table_Process_Details[RV Acidification (kg SO2 equiv.) per kg API],Table_Process_Details[Display Name],Table_Process_Details[[#This Row],[Unique Process Inputs]],Table_Process_Details[Input or Output],"Input")</f>
        <v>4.943195629384535E-2</v>
      </c>
      <c r="FX41" s="1">
        <f ca="1">SUMIFS(Table_Process_Details[RV Acidification (kg SO2 equiv.) per kg API (REAGENT)],Table_Process_Details[Display Name],Table_Process_Details[[#This Row],[Unique Process Inputs]],Table_Process_Details[Input or Output],"Input")</f>
        <v>4.943195629384535E-2</v>
      </c>
      <c r="FY41" s="1">
        <f ca="1">SUMIFS(Table_Process_Details[RV Acidification (kg SO2 equiv.) per kg API (METAL)],Table_Process_Details[Display Name],Table_Process_Details[[#This Row],[Unique Process Inputs]],Table_Process_Details[Input or Output],"Input")</f>
        <v>0</v>
      </c>
      <c r="FZ41" s="1">
        <f ca="1">SUMIFS(Table_Process_Details[RV Acidification (kg SO2 equiv.) per kg API (SOLVENT)],Table_Process_Details[Display Name],Table_Process_Details[[#This Row],[Unique Process Inputs]],Table_Process_Details[Input or Output],"Input")</f>
        <v>0</v>
      </c>
      <c r="GA41" s="1">
        <f ca="1">SUMIFS(Table_Process_Details[RV Acidification (kg SO2 equiv.) per kg API (WATER)],Table_Process_Details[Display Name],Table_Process_Details[[#This Row],[Unique Process Inputs]],Table_Process_Details[Input or Output],"Input")</f>
        <v>0</v>
      </c>
      <c r="GB41" s="1">
        <f ca="1">SUMIFS(Table_Process_Details[RV Acidification (kg SO2 equiv.) per kg API (ENZ&amp;PLNT)],Table_Process_Details[Display Name],Table_Process_Details[[#This Row],[Unique Process Inputs]],Table_Process_Details[Input or Output],"Input")</f>
        <v>0</v>
      </c>
      <c r="GC41" s="1">
        <f ca="1">SUMIFS(Table_Process_Details[RV Acidification (kg SO2 equiv.) per kg API (OTHER)],Table_Process_Details[Display Name],Table_Process_Details[[#This Row],[Unique Process Inputs]],Table_Process_Details[Input or Output],"Input")</f>
        <v>0</v>
      </c>
      <c r="GD41"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1"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1" s="22" t="e">
        <f ca="1">SUM(OFFSET(Table_Process_Details['[Acidification (kg SO2 equiv.) per kg API'] of Unique Inputs Sorted by '[Acidification (kg SO2 equiv.) per kg API']],0,0,Table_Process_Details[[#This Row],[Table Row]]))</f>
        <v>#N/A</v>
      </c>
      <c r="GG41"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1" s="22" t="e">
        <f ca="1">INDEX(Table_Process_Details[Total '[Acidification (kg SO2 equiv.) per kg API'] of Unique Inputs (REAGENT)], MATCH(Table_Process_Details[[#This Row],[Unique Inputs Sorted by '[Acidification (kg SO2 equiv.) per kg API']]],Table_Process_Details[Unique Process Inputs],0))</f>
        <v>#N/A</v>
      </c>
      <c r="GI41" s="22" t="e">
        <f ca="1">INDEX(Table_Process_Details[Total '[Acidification (kg SO2 equiv.) per kg API'] of Unique Inputs (METAL)], MATCH(Table_Process_Details[[#This Row],[Unique Inputs Sorted by '[Acidification (kg SO2 equiv.) per kg API']]],Table_Process_Details[Unique Process Inputs],0))</f>
        <v>#N/A</v>
      </c>
      <c r="GJ41" s="22" t="e">
        <f ca="1">INDEX(Table_Process_Details[Total '[Acidification (kg SO2 equiv.) per kg API'] of Unique Inputs (SOLVENT)], MATCH(Table_Process_Details[[#This Row],[Unique Inputs Sorted by '[Acidification (kg SO2 equiv.) per kg API']]],Table_Process_Details[Unique Process Inputs],0))</f>
        <v>#N/A</v>
      </c>
      <c r="GK41" s="22" t="e">
        <f ca="1">INDEX(Table_Process_Details[Total '[Acidification (kg SO2 equiv.) per kg API'] of Unique Inputs (WATER)], MATCH(Table_Process_Details[[#This Row],[Unique Inputs Sorted by '[Acidification (kg SO2 equiv.) per kg API']]],Table_Process_Details[Unique Process Inputs],0))</f>
        <v>#N/A</v>
      </c>
      <c r="GL41" s="22" t="e">
        <f ca="1">INDEX(Table_Process_Details[Total '[Acidification (kg SO2 equiv.) per kg API'] of Unique Inputs (ENZ&amp;PLNT)], MATCH(Table_Process_Details[[#This Row],[Unique Inputs Sorted by '[Acidification (kg SO2 equiv.) per kg API']]],Table_Process_Details[Unique Process Inputs],0))</f>
        <v>#N/A</v>
      </c>
      <c r="GM41" s="22" t="e">
        <f ca="1">INDEX(Table_Process_Details[Total '[Acidification (kg SO2 equiv.) per kg API'] of Unique Inputs (OTHER)], MATCH(Table_Process_Details[[#This Row],[Unique Inputs Sorted by '[Acidification (kg SO2 equiv.) per kg API']]],Table_Process_Details[Unique Process Inputs],0))</f>
        <v>#N/A</v>
      </c>
      <c r="GN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1" s="22">
        <f ca="1">SUMIFS(Table_Process_Details[RV Eutrophication (kg phosphate equiv.) per kg API],Table_Process_Details[Display Name],Table_Process_Details[[#This Row],[Unique Process Inputs]],Table_Process_Details[Input or Output],"Input")</f>
        <v>3.9580636252878894E-2</v>
      </c>
      <c r="GV41" s="1">
        <f ca="1">SUMIFS(Table_Process_Details[RV Eutrophication (kg phosphate equiv.) per kg API (REAGENT)],Table_Process_Details[Display Name],Table_Process_Details[[#This Row],[Unique Process Inputs]],Table_Process_Details[Input or Output],"Input")</f>
        <v>3.9580636252878894E-2</v>
      </c>
      <c r="GW41" s="1">
        <f ca="1">SUMIFS(Table_Process_Details[RV Eutrophication (kg phosphate equiv.) per kg API (METAL)],Table_Process_Details[Display Name],Table_Process_Details[[#This Row],[Unique Process Inputs]],Table_Process_Details[Input or Output],"Input")</f>
        <v>0</v>
      </c>
      <c r="GX41" s="1">
        <f ca="1">SUMIFS(Table_Process_Details[RV Eutrophication (kg phosphate equiv.) per kg API (SOLVENT)],Table_Process_Details[Display Name],Table_Process_Details[[#This Row],[Unique Process Inputs]],Table_Process_Details[Input or Output],"Input")</f>
        <v>0</v>
      </c>
      <c r="GY41" s="1">
        <f ca="1">SUMIFS(Table_Process_Details[RV Eutrophication (kg phosphate equiv.) per kg API (WATER)],Table_Process_Details[Display Name],Table_Process_Details[[#This Row],[Unique Process Inputs]],Table_Process_Details[Input or Output],"Input")</f>
        <v>0</v>
      </c>
      <c r="GZ41" s="1">
        <f ca="1">SUMIFS(Table_Process_Details[RV Eutrophication (kg phosphate equiv.) per kg API (ENZ&amp;PLNT)],Table_Process_Details[Display Name],Table_Process_Details[[#This Row],[Unique Process Inputs]],Table_Process_Details[Input or Output],"Input")</f>
        <v>0</v>
      </c>
      <c r="HA41" s="1">
        <f ca="1">SUMIFS(Table_Process_Details[RV Eutrophication (kg phosphate equiv.) per kg API (OTHER)],Table_Process_Details[Display Name],Table_Process_Details[[#This Row],[Unique Process Inputs]],Table_Process_Details[Input or Output],"Input")</f>
        <v>0</v>
      </c>
      <c r="HB41"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1"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1" s="22" t="e">
        <f ca="1">SUM(OFFSET(Table_Process_Details['[Eutrophication (kg posphate equiv.) per kg API'] of Unique Inputs Sorted by '[Eutrophication (kg posphate equiv.) per kg API']],0,0,Table_Process_Details[[#This Row],[Table Row]]))</f>
        <v>#N/A</v>
      </c>
      <c r="HE41"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1" s="1" t="e">
        <f ca="1">INDEX(Table_Process_Details[Total '[Eutrophication (kg posphate equiv.) per kg API'] of Unique Inputs (REAGENT)], MATCH(Table_Process_Details[[#This Row],[Unique Inputs Sorted by '[Eutrophication (kg posphate equiv.) per kg API']]],Table_Process_Details[Unique Process Inputs],0))</f>
        <v>#N/A</v>
      </c>
      <c r="HG41" s="1" t="e">
        <f ca="1">INDEX(Table_Process_Details[Total '[Eutrophication (kg posphate equiv.) per kg API'] of Unique Inputs (METAL)], MATCH(Table_Process_Details[[#This Row],[Unique Inputs Sorted by '[Eutrophication (kg posphate equiv.) per kg API']]],Table_Process_Details[Unique Process Inputs],0))</f>
        <v>#N/A</v>
      </c>
      <c r="HH41" s="1" t="e">
        <f ca="1">INDEX(Table_Process_Details[Total '[Eutrophication (kg posphate equiv.) per kg API'] of Unique Inputs (SOLVENT)], MATCH(Table_Process_Details[[#This Row],[Unique Inputs Sorted by '[Eutrophication (kg posphate equiv.) per kg API']]],Table_Process_Details[Unique Process Inputs],0))</f>
        <v>#N/A</v>
      </c>
      <c r="HI41" s="1" t="e">
        <f ca="1">INDEX(Table_Process_Details[Total '[Eutrophication (kg posphate equiv.) per kg API'] of Unique Inputs (WATER)], MATCH(Table_Process_Details[[#This Row],[Unique Inputs Sorted by '[Eutrophication (kg posphate equiv.) per kg API']]],Table_Process_Details[Unique Process Inputs],0))</f>
        <v>#N/A</v>
      </c>
      <c r="HJ41" s="1" t="e">
        <f ca="1">INDEX(Table_Process_Details[Total '[Eutrophication (kg posphate equiv.) per kg API'] of Unique Inputs (ENZ&amp;PLNT)], MATCH(Table_Process_Details[[#This Row],[Unique Inputs Sorted by '[Eutrophication (kg posphate equiv.) per kg API']]],Table_Process_Details[Unique Process Inputs],0))</f>
        <v>#N/A</v>
      </c>
      <c r="HK41" s="1" t="e">
        <f ca="1">INDEX(Table_Process_Details[Total '[Eutrophication (kg posphate equiv.) per kg API'] of Unique Inputs (OTHER)], MATCH(Table_Process_Details[[#This Row],[Unique Inputs Sorted by '[Eutrophication (kg posphate equiv.) per kg API']]],Table_Process_Details[Unique Process Inputs],0))</f>
        <v>#N/A</v>
      </c>
      <c r="HL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1" s="1">
        <f ca="1">SUMIFS(Table_Process_Details[RV Water (kg) per kg API],Table_Process_Details[Display Name],Table_Process_Details[[#This Row],[Unique Process Inputs]],Table_Process_Details[Input or Output],"Input")</f>
        <v>64.725208434102043</v>
      </c>
      <c r="HT41" s="1">
        <f ca="1">SUMIFS(Table_Process_Details[RV Water (kg) per kg API (REAGENT)],Table_Process_Details[Display Name],Table_Process_Details[[#This Row],[Unique Process Inputs]],Table_Process_Details[Input or Output],"Input")</f>
        <v>64.725208434102043</v>
      </c>
      <c r="HU41" s="1">
        <f ca="1">SUMIFS(Table_Process_Details[RV Water (kg) per kg API (METAL)],Table_Process_Details[Display Name],Table_Process_Details[[#This Row],[Unique Process Inputs]],Table_Process_Details[Input or Output],"Input")</f>
        <v>0</v>
      </c>
      <c r="HV41" s="1">
        <f ca="1">SUMIFS(Table_Process_Details[RV Water (kg) per kg API (SOLVENT)],Table_Process_Details[Display Name],Table_Process_Details[[#This Row],[Unique Process Inputs]],Table_Process_Details[Input or Output],"Input")</f>
        <v>0</v>
      </c>
      <c r="HW41" s="1">
        <f ca="1">SUMIFS(Table_Process_Details[RV Water (kg) per kg API (WATER)],Table_Process_Details[Display Name],Table_Process_Details[[#This Row],[Unique Process Inputs]],Table_Process_Details[Input or Output],"Input")</f>
        <v>0</v>
      </c>
      <c r="HX41" s="1">
        <f ca="1">SUMIFS(Table_Process_Details[RV Water (kg) per kg API (ENZ&amp;PLNT)],Table_Process_Details[Display Name],Table_Process_Details[[#This Row],[Unique Process Inputs]],Table_Process_Details[Input or Output],"Input")</f>
        <v>0</v>
      </c>
      <c r="HY41" s="1">
        <f ca="1">SUMIFS(Table_Process_Details[RV Water (kg) per kg API (OTHER)],Table_Process_Details[Display Name],Table_Process_Details[[#This Row],[Unique Process Inputs]],Table_Process_Details[Input or Output],"Input")</f>
        <v>0</v>
      </c>
      <c r="HZ41" s="22" t="e">
        <f ca="1">INDEX(Table_Process_Details[Unique Process Inputs],MATCH(Table_Process_Details[[#This Row],['[Water (kg) per kg API'] of Unique Inputs Sorted by '[Water (kg) per kg API']]],Table_Process_Details[Total '[Water (kg) per kg API'] of Unique Inputs],0))</f>
        <v>#N/A</v>
      </c>
      <c r="IA41" s="22" t="e">
        <f ca="1">IF(LARGE(Table_Process_Details[Total '[Water (kg) per kg API'] of Unique Inputs],Table_Process_Details[[#This Row],[Table Row]])=0,NA(),LARGE(Table_Process_Details[Total '[Water (kg) per kg API'] of Unique Inputs],Table_Process_Details[[#This Row],[Table Row]]))</f>
        <v>#N/A</v>
      </c>
      <c r="IB41" s="1" t="e">
        <f ca="1">SUM(OFFSET(Table_Process_Details['[Water (kg) per kg API'] of Unique Inputs Sorted by '[Water (kg) per kg API']],0,0,Table_Process_Details[[#This Row],[Table Row]]))</f>
        <v>#N/A</v>
      </c>
      <c r="IC41" s="1" t="e">
        <f ca="1">"("&amp;TEXT(Table_Process_Details[[#This Row],['[Water (kg) per kg API'] of Unique Inputs Sorted by '[Water (kg) per kg API']]]/SUMIF(Table_Process_Details['[Water (kg) per kg API'] of Unique Inputs Sorted by '[Water (kg) per kg API']],"&lt;&gt;#N/A"),"0%")&amp;")"</f>
        <v>#N/A</v>
      </c>
      <c r="ID41" s="1" t="e">
        <f ca="1">INDEX(Table_Process_Details[Total '[Water (kg) per kg API'] of Unique Inputs (REAGENT)], MATCH(Table_Process_Details[[#This Row],[Unique Inputs Sorted by '[Water (kg) per kg API']]],Table_Process_Details[Unique Process Inputs],0))</f>
        <v>#N/A</v>
      </c>
      <c r="IE41" s="1" t="e">
        <f ca="1">INDEX(Table_Process_Details[Total '[Water (kg) per kg API'] of Unique Inputs (METAL)], MATCH(Table_Process_Details[[#This Row],[Unique Inputs Sorted by '[Water (kg) per kg API']]],Table_Process_Details[Unique Process Inputs],0))</f>
        <v>#N/A</v>
      </c>
      <c r="IF41" s="1" t="e">
        <f ca="1">INDEX(Table_Process_Details[Total '[Water (kg) per kg API'] of Unique Inputs (SOLVENT)], MATCH(Table_Process_Details[[#This Row],[Unique Inputs Sorted by '[Water (kg) per kg API']]],Table_Process_Details[Unique Process Inputs],0))</f>
        <v>#N/A</v>
      </c>
      <c r="IG41" s="1" t="e">
        <f ca="1">INDEX(Table_Process_Details[Total '[Water (kg) per kg API'] of Unique Inputs (WATER)], MATCH(Table_Process_Details[[#This Row],[Unique Inputs Sorted by '[Water (kg) per kg API']]],Table_Process_Details[Unique Process Inputs],0))</f>
        <v>#N/A</v>
      </c>
      <c r="IH41" s="1" t="e">
        <f ca="1">INDEX(Table_Process_Details[Total '[Water (kg) per kg API'] of Unique Inputs (ENZ&amp;PLNT)], MATCH(Table_Process_Details[[#This Row],[Unique Inputs Sorted by '[Water (kg) per kg API']]],Table_Process_Details[Unique Process Inputs],0))</f>
        <v>#N/A</v>
      </c>
      <c r="II41" s="1" t="e">
        <f ca="1">INDEX(Table_Process_Details[Total '[Water (kg) per kg API'] of Unique Inputs (OTHER)], MATCH(Table_Process_Details[[#This Row],[Unique Inputs Sorted by '[Water (kg) per kg API']]],Table_Process_Details[Unique Process Inputs],0))</f>
        <v>#N/A</v>
      </c>
    </row>
    <row r="42" spans="1:243" customFormat="1" x14ac:dyDescent="0.25">
      <c r="A42" s="22" t="str">
        <f>A41</f>
        <v>2a) Virtual solution prep for (2): 25 wt% reagent E (inorganic) in water</v>
      </c>
      <c r="B42" s="21" t="s">
        <v>4</v>
      </c>
      <c r="C42" s="21" t="s">
        <v>6</v>
      </c>
      <c r="D42" s="22" t="s">
        <v>146</v>
      </c>
      <c r="E42" s="22" t="s">
        <v>814</v>
      </c>
      <c r="F42" s="26">
        <v>75</v>
      </c>
      <c r="G42" s="26"/>
      <c r="H42" s="26"/>
      <c r="I42" s="26"/>
      <c r="J42" s="26" t="str">
        <f>INDEX(Process_Steps[Reference],MATCH(Table_Process_Details[[#This Row],[Step Name]],Process_Steps[Name],0))</f>
        <v>Reference Document for Step 2</v>
      </c>
      <c r="K42" s="27" t="str">
        <f>INDEX(Process_Steps[Real or Virtual?],MATCH(Table_Process_Details[[#This Row],[Step Name]],Process_Steps[Name],0))</f>
        <v>Virtual</v>
      </c>
      <c r="L4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4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42" s="26">
        <f>INDEX(Table_Process_Details[Physical Mass (kg)],MATCH(1,INDEX(((Table_Process_Details[Step Name]=Table_Process_Details[[#This Row],[Step Name]])*(Table_Process_Details[Input or Output]="Output")),0),0))</f>
        <v>100</v>
      </c>
      <c r="O42" s="29">
        <f ca="1">INDEX(Process_Steps[Step Scale Factor for 1kg Packaged API],MATCH(Table_Process_Details[[#This Row],[Step Name]],Process_Steps[Name],0))</f>
        <v>1.398020511137271E-3</v>
      </c>
      <c r="P4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7.666666666666667</v>
      </c>
      <c r="Q4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12.666666666666666</v>
      </c>
      <c r="R42" s="26">
        <f ca="1">_xlfn.SWITCH(Run_Reset_PNG,"Reset",Table_Process_Details[[#This Row],[X Init]],"Run",Table_Process_Details[[#This Row],[X Moved]],"Freeze",Table_Process_Details[[#This Row],[X Mover]])</f>
        <v>-11.252959605427542</v>
      </c>
      <c r="S42" s="26">
        <f ca="1">_xlfn.SWITCH(Run_Reset_PNG,"Reset",Table_Process_Details[[#This Row],[Y Init]],"Run",Table_Process_Details[[#This Row],[Y Moved]],"Freeze",Table_Process_Details[[#This Row],[Y Mover]])</f>
        <v>1.5668223136764281</v>
      </c>
      <c r="T42" s="26" cm="1">
        <f t="array" aca="1" ref="T4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-4.5928802760103897</v>
      </c>
      <c r="U42" s="26" cm="1">
        <f t="array" aca="1" ref="U4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-3.538034530112101</v>
      </c>
      <c r="V42" s="26" cm="1">
        <f t="array" aca="1" ref="V42" ca="1">SUM(--(SQRT((Table_Process_Details[[#This Row],[X Mover]]-Table_Process_Details[X Mover])^2+(Table_Process_Details[[#This Row],[Y Mover]]-Table_Process_Details[Y Mover])^2)&lt;Collision_Distance))</f>
        <v>8</v>
      </c>
      <c r="W42" s="26" cm="1">
        <f t="array" aca="1" ref="W4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0.43209872181685771</v>
      </c>
      <c r="X42" s="26" cm="1">
        <f t="array" aca="1" ref="X4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0.41054763618303347</v>
      </c>
      <c r="Y42" s="26" cm="1">
        <f t="array" aca="1" ref="Y4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2" s="26">
        <f>0</f>
        <v>0</v>
      </c>
      <c r="AA42" s="26">
        <f>0</f>
        <v>0</v>
      </c>
      <c r="AB4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5.6264798027137708</v>
      </c>
      <c r="AC42" s="26" cm="1">
        <f t="array" aca="1" ref="AC4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-0.78341115683821405</v>
      </c>
      <c r="AD42" s="26">
        <f>MIN(1,COUNTA(Table_Process_Details[[#This Row],[target x]]),COUNTA(Table_Process_Details[[#This Row],[target y]]))*COUNTA(Table_Process_Details[Step Name])</f>
        <v>98</v>
      </c>
      <c r="AE4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-11.337557858900619</v>
      </c>
      <c r="AF4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1.5271216421991405</v>
      </c>
      <c r="AG4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2" s="26" cm="1">
        <f t="array" aca="1" ref="AH42" ca="1">INDEX(Table_Process_Details[X Mover],MATCH(1,INDEX((Table_Process_Details[Input or Output]="Output")*(Table_Process_Details[Step Name]=Table_Process_Details[[#This Row],[Step Name]])*(Table_Process_Details[[#This Row],[Input or Output]]="Input"),0),0))</f>
        <v>-8.2138992091278542</v>
      </c>
      <c r="AI42" s="26" cm="1">
        <f t="array" aca="1" ref="AI42" ca="1">INDEX(Table_Process_Details[Y Mover],MATCH(1,INDEX((Table_Process_Details[Input or Output]="Output")*(Table_Process_Details[Step Name]=Table_Process_Details[[#This Row],[Step Name]])*(Table_Process_Details[[#This Row],[Input or Output]]="Input"),0),0))</f>
        <v>4.4543084341448207</v>
      </c>
      <c r="AJ42" s="26" t="e">
        <f ca="1">SQRT((Table_Process_Details[[#This Row],[X End (To Node Center)]]-Table_Process_Details[[#This Row],[X Guide]])^2+(Table_Process_Details[[#This Row],[Y End (to Node Center)]]-Table_Process_Details[[#This Row],[Y Guide]])^2)</f>
        <v>#N/A</v>
      </c>
      <c r="AK42" s="26" t="e" cm="1">
        <f t="array" ref="AK42">INDEX(Table_Process_Details[X Mover],MATCH(1,INDEX((Table_Process_Details[Step Name]=Table_Process_Details[[#This Row],[LCA Data Source Subclass]])*(Table_Process_Details[Input or Output]="Output"),0)*(Table_Process_Details[[#This Row],[Input or Output]]="Input"),0))</f>
        <v>#N/A</v>
      </c>
      <c r="AL42" s="26" cm="1">
        <f t="array" aca="1" ref="AL42" ca="1">INDEX(Table_Process_Details[X Mover],MATCH(1,INDEX(((Table_Process_Details[Table Row]=Table_Process_Details[[#This Row],[Table Row]])*(1)),0)*(Table_Process_Details[[#This Row],[Input or Output]]="Input"),0))</f>
        <v>-11.252959605427542</v>
      </c>
      <c r="AM42" s="26" t="e" cm="1">
        <f t="array" aca="1" ref="AM42" ca="1">(Table_Process_Details[[#This Row],[X End (To Node Center)]]*Table_Process_Details[[#This Row],[r0]]-Table_Process_Details[[#This Row],[X End (To Node Center)]]*Arrow_Offset+Table_Process_Details[[#This Row],[X Guide]]*Arrow_Offset)/Table_Process_Details[[#This Row],[r0]]</f>
        <v>#N/A</v>
      </c>
      <c r="AN42" s="26" t="e">
        <f>IF(NOT(Table_Process_Details[[#This Row],[Display As]]="None"),Table_Process_Details[[#This Row],[X Start Prefilter]],NA())</f>
        <v>#N/A</v>
      </c>
      <c r="AO42" s="26" t="e">
        <f>IF(NOT(Table_Process_Details[[#This Row],[Display As]]="None"),Table_Process_Details[[#This Row],[X Guide Prefilter]],NA())</f>
        <v>#N/A</v>
      </c>
      <c r="AP42" s="26" t="e">
        <f>IF(NOT(Table_Process_Details[[#This Row],[Display As]]="None"),Table_Process_Details[[#This Row],[X End (to Stop Radius) Prefilter]],NA())</f>
        <v>#N/A</v>
      </c>
      <c r="AQ42" s="26" t="e">
        <f>NA()</f>
        <v>#N/A</v>
      </c>
      <c r="AR42" s="26" t="e" cm="1">
        <f t="array" ref="AR42">INDEX(Table_Process_Details[Y Mover],MATCH(1,INDEX((Table_Process_Details[Step Name]=Table_Process_Details[[#This Row],[LCA Data Source Subclass]])*(Table_Process_Details[Input or Output]="Output"),0)*(Table_Process_Details[[#This Row],[Input or Output]]="Input"),0))</f>
        <v>#N/A</v>
      </c>
      <c r="AS42" s="26" cm="1">
        <f t="array" aca="1" ref="AS42" ca="1">INDEX(Table_Process_Details[Y Mover],MATCH(1,INDEX(((Table_Process_Details[Table Row]=Table_Process_Details[[#This Row],[Table Row]])*(1)),0)*(Table_Process_Details[[#This Row],[Input or Output]]="Input"),0))</f>
        <v>1.5668223136764281</v>
      </c>
      <c r="AT42" s="26" t="e" cm="1">
        <f t="array" aca="1" ref="AT42" ca="1">(Table_Process_Details[[#This Row],[Y Guide]]*Arrow_Offset-Table_Process_Details[[#This Row],[Y End (to Node Center)]]*Arrow_Offset+Table_Process_Details[[#This Row],[Y End (to Node Center)]]*Table_Process_Details[[#This Row],[r0]])/Table_Process_Details[[#This Row],[r0]]</f>
        <v>#N/A</v>
      </c>
      <c r="AU42" s="26" t="e">
        <f>IF(NOT(Table_Process_Details[[#This Row],[Display As]]="None"),Table_Process_Details[[#This Row],[Y Start Prefilter]],NA())</f>
        <v>#N/A</v>
      </c>
      <c r="AV42" s="26" t="e">
        <f>IF(NOT(Table_Process_Details[[#This Row],[Display As]]="None"),Table_Process_Details[[#This Row],[Y Guide Prefilter]],NA())</f>
        <v>#N/A</v>
      </c>
      <c r="AW42" s="26" t="e">
        <f>IF(NOT(Table_Process_Details[[#This Row],[Display As]]="None"),Table_Process_Details[[#This Row],[Y End (to Stop Radius) Prefilter]],NA())</f>
        <v>#N/A</v>
      </c>
      <c r="AX42" s="26" t="e">
        <f>NA()</f>
        <v>#N/A</v>
      </c>
      <c r="AY42" s="26" t="e">
        <f>IF(Table_Process_Details[[#This Row],[Display As]]="Real Step",Table_Process_Details[[#This Row],[X Mover]],NA())</f>
        <v>#N/A</v>
      </c>
      <c r="AZ42" s="26" t="e">
        <f>IF(Table_Process_Details[[#This Row],[Display As]]="Real Step",Table_Process_Details[[#This Row],[Y Mover]],NA())</f>
        <v>#N/A</v>
      </c>
      <c r="BA42" s="26" t="e">
        <f>IF(Table_Process_Details[[#This Row],[Display As]]="Raw Material",Table_Process_Details[[#This Row],[X Mover]],NA())</f>
        <v>#N/A</v>
      </c>
      <c r="BB42" s="26" t="e">
        <f>IF(Table_Process_Details[[#This Row],[Display As]]="Raw Material",Table_Process_Details[[#This Row],[Y Mover]],NA())</f>
        <v>#N/A</v>
      </c>
      <c r="BC42" s="26" t="e">
        <f>IF(OR(Table_Process_Details[[#This Row],[Display As]]="Real Step",Table_Process_Details[[#This Row],[Display As]]="Raw Material"),Table_Process_Details[[#This Row],[X Mover]],NA())</f>
        <v>#N/A</v>
      </c>
      <c r="BD42" s="26" t="e">
        <f>IF(OR(Table_Process_Details[[#This Row],[Display As]]="Real Step",Table_Process_Details[[#This Row],[Display As]]="Raw Material"),Table_Process_Details[[#This Row],[Y Mover]],NA())</f>
        <v>#N/A</v>
      </c>
      <c r="BE42" s="22">
        <f>ROW()-ROW(Table_Process_Details[[#Headers],[Table Row]])</f>
        <v>38</v>
      </c>
      <c r="BF42" s="23" t="str" cm="1">
        <f t="array" aca="1" ref="BF42" ca="1">INDEX(Table_Process_Details[Display Name],MATCH(0,IF(Table_Process_Details[Input or Output]="Input",INDEX(COUNTIF(OFFSET(Table_Process_Details[[#Headers],[Unique Process Inputs]],0,0,Table_Process_Details[[#This Row],[Table Row]],1),Table_Process_Details[Display Name]),),""),0))</f>
        <v>reagent U (organic)</v>
      </c>
      <c r="BG42" s="23">
        <f ca="1">Table_Process_Details[[#This Row],[Physical Mass (kg)]]*Table_Process_Details[[#This Row],[Step Scale Factor for 1kg Packaged API]]</f>
        <v>0.10485153833529533</v>
      </c>
      <c r="BH4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2" s="23">
        <f ca="1">MATCH(Table_Process_Details[[#This Row],[LCA Data Source Class]],INDIRECT(Table_Process_Details[[#This Row],[Input or Output]]),0)</f>
        <v>2</v>
      </c>
      <c r="BJ42" s="23">
        <f ca="1">MATCH(Table_Process_Details[[#This Row],[LCA Data Source Subclass]],INDIRECT(Table_Process_Details[[#This Row],[LCA Data Source Class]]&amp;"[Name]"),0)</f>
        <v>64</v>
      </c>
      <c r="BK42" s="23">
        <f ca="1">IFERROR(INDEX(INDIRECT(Table_Process_Details[[#This Row],[LCA Data Source Class]]&amp;"[Mass Net (kg)]"),MATCH(Table_Process_Details[[#This Row],[LCA Data Source Subclass]],INDIRECT(Table_Process_Details[[#This Row],[LCA Data Source Class]]&amp;"[Name]"),0)),0)</f>
        <v>1.5302652999999999E-3</v>
      </c>
      <c r="BL42" s="23">
        <f ca="1">IFERROR(INDEX(INDIRECT(Table_Process_Details[[#This Row],[LCA Data Source Class]]&amp;"[Energy (MJ)]"),MATCH(Table_Process_Details[[#This Row],[LCA Data Source Subclass]],INDIRECT(Table_Process_Details[[#This Row],[LCA Data Source Class]]&amp;"[Name]"),0)),0)</f>
        <v>1.9058192000000002E-2</v>
      </c>
      <c r="BM42" s="23">
        <f ca="1">IFERROR(INDEX(INDIRECT(Table_Process_Details[[#This Row],[LCA Data Source Class]]&amp;"[GWP (kg CO2 equiv.)]"),MATCH(Table_Process_Details[[#This Row],[LCA Data Source Subclass]],INDIRECT(Table_Process_Details[[#This Row],[LCA Data Source Class]]&amp;"[Name]"),0)),0)</f>
        <v>1.015742E-3</v>
      </c>
      <c r="BN42" s="23">
        <f ca="1">IFERROR(INDEX(INDIRECT(Table_Process_Details[[#This Row],[LCA Data Source Class]]&amp;"[Acidification (kg SO2 equiv.)]"),MATCH(Table_Process_Details[[#This Row],[LCA Data Source Subclass]],INDIRECT(Table_Process_Details[[#This Row],[LCA Data Source Class]]&amp;"[Name]"),0)),0)</f>
        <v>3.8914349999999996E-6</v>
      </c>
      <c r="BO42" s="23">
        <f ca="1">IFERROR(INDEX(INDIRECT(Table_Process_Details[[#This Row],[LCA Data Source Class]]&amp;"[Eutrophication (kg posphate equiv.)]"),MATCH(Table_Process_Details[[#This Row],[LCA Data Source Subclass]],INDIRECT(Table_Process_Details[[#This Row],[LCA Data Source Class]]&amp;"[Name]"),0)),0)</f>
        <v>2.3181694000000001E-6</v>
      </c>
      <c r="BP42" s="23">
        <f ca="1">IFERROR(INDEX(INDIRECT(Table_Process_Details[[#This Row],[LCA Data Source Class]]&amp;"[Water (kg)]"),MATCH(Table_Process_Details[[#This Row],[LCA Data Source Subclass]],INDIRECT(Table_Process_Details[[#This Row],[LCA Data Source Class]]&amp;"[Name]"),0)),0)</f>
        <v>1.2633490999999999</v>
      </c>
      <c r="BQ42" s="27">
        <f ca="1">(Table_Process_Details[[#This Row],[Input or Output]]="Input")*(Table_Process_Details[[#This Row],[LCA Data Source Class]]&lt;&gt;"Process_Steps")*Table_Process_Details[[#This Row],[Scaled Physical Mass per kg API for All Inputs &amp; Outputs]]</f>
        <v>0.10485153833529533</v>
      </c>
      <c r="BR42" s="27">
        <f ca="1">(Table_Process_Details[[#This Row],[Material Class]]="REAGENT")*Table_Process_Details[[#This Row],[Physical Mass per kg API]]</f>
        <v>0</v>
      </c>
      <c r="BS42" s="27">
        <f ca="1">(Table_Process_Details[[#This Row],[Material Class]]="METAL")*Table_Process_Details[[#This Row],[Physical Mass per kg API]]</f>
        <v>0</v>
      </c>
      <c r="BT42" s="27">
        <f ca="1">(Table_Process_Details[[#This Row],[Material Class]]="SOLVENT")*Table_Process_Details[[#This Row],[Physical Mass per kg API]]</f>
        <v>0</v>
      </c>
      <c r="BU42" s="27">
        <f ca="1">(Table_Process_Details[[#This Row],[Material Class]]="WATER")*Table_Process_Details[[#This Row],[Physical Mass per kg API]]</f>
        <v>0.10485153833529533</v>
      </c>
      <c r="BV42" s="27">
        <f ca="1">(Table_Process_Details[[#This Row],[Material Class]]="ENZ&amp;PLNT")*Table_Process_Details[[#This Row],[Physical Mass per kg API]]</f>
        <v>0</v>
      </c>
      <c r="BW42" s="27">
        <f ca="1">(Table_Process_Details[[#This Row],[Material Class]]="OTHER")*Table_Process_Details[[#This Row],[Physical Mass per kg API]]</f>
        <v>0</v>
      </c>
      <c r="BX4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2" s="1">
        <f ca="1">SUMIFS(Table_Process_Details[RV Physical Mass per kg API],Table_Process_Details[Display Name],Table_Process_Details[[#This Row],[Unique Process Inputs]],Table_Process_Details[Input or Output],"Input")</f>
        <v>5.5055973573133095</v>
      </c>
      <c r="CF42" s="1">
        <f ca="1">SUMIFS(Table_Process_Details[RV Physical Mass per kg API (REAGENT)],Table_Process_Details[Display Name],Table_Process_Details[[#This Row],[Unique Process Inputs]],Table_Process_Details[Input or Output],"Input")</f>
        <v>5.5055973573133095</v>
      </c>
      <c r="CG42" s="1">
        <f ca="1">SUMIFS(Table_Process_Details[RV Physical Mass per kg API (METAL)],Table_Process_Details[Display Name],Table_Process_Details[[#This Row],[Unique Process Inputs]],Table_Process_Details[Input or Output],"Input")</f>
        <v>0</v>
      </c>
      <c r="CH42" s="1">
        <f ca="1">SUMIFS(Table_Process_Details[RV Physical Mass per kg API (SOLVENT)],Table_Process_Details[Display Name],Table_Process_Details[[#This Row],[Unique Process Inputs]],Table_Process_Details[Input or Output],"Input")</f>
        <v>0</v>
      </c>
      <c r="CI42" s="1">
        <f ca="1">SUMIFS(Table_Process_Details[RV Physical Mass per kg API (WATER)],Table_Process_Details[Display Name],Table_Process_Details[[#This Row],[Unique Process Inputs]],Table_Process_Details[Input or Output],"Input")</f>
        <v>0</v>
      </c>
      <c r="CJ42" s="1">
        <f ca="1">SUMIFS(Table_Process_Details[RV Physical Mass per kg API (ENZ&amp;PLNT)],Table_Process_Details[Display Name],Table_Process_Details[[#This Row],[Unique Process Inputs]],Table_Process_Details[Input or Output],"Input")</f>
        <v>0</v>
      </c>
      <c r="CK42" s="1">
        <f ca="1">SUMIFS(Table_Process_Details[RV Physical Mass per kg API (OTHER)],Table_Process_Details[Display Name],Table_Process_Details[[#This Row],[Unique Process Inputs]],Table_Process_Details[Input or Output],"Input")</f>
        <v>0</v>
      </c>
      <c r="CL42" s="22" t="e">
        <f ca="1">INDEX(Table_Process_Details[Unique Process Inputs],MATCH(Table_Process_Details[[#This Row],['[Physical Mass per kg API'] of Unique Inputs Sorted by '[Physical Mass per kg API']]],Table_Process_Details[Total '[Physical Mass per kg API'] of Unique Inputs],0))</f>
        <v>#N/A</v>
      </c>
      <c r="CM42" s="22" t="e">
        <f ca="1">IF(LARGE(Table_Process_Details[Total '[Physical Mass per kg API'] of Unique Inputs],Table_Process_Details[[#This Row],[Table Row]])=0,NA(),LARGE(Table_Process_Details[Total '[Physical Mass per kg API'] of Unique Inputs],Table_Process_Details[[#This Row],[Table Row]]))</f>
        <v>#N/A</v>
      </c>
      <c r="CN42" s="22" t="e">
        <f ca="1">SUM(OFFSET(Table_Process_Details['[Physical Mass per kg API'] of Unique Inputs Sorted by '[Physical Mass per kg API']],0,0,Table_Process_Details[[#This Row],[Table Row]]))</f>
        <v>#N/A</v>
      </c>
      <c r="CO42" s="22" t="e">
        <f ca="1">"("&amp;TEXT(Table_Process_Details[[#This Row],['[Physical Mass per kg API'] of Unique Inputs Sorted by '[Physical Mass per kg API']]]/SUMIF(Table_Process_Details['[Physical Mass per kg API'] of Unique Inputs Sorted by '[Physical Mass per kg API']],"&lt;&gt;#N/A"),"0%")&amp;")"</f>
        <v>#N/A</v>
      </c>
      <c r="CP42" s="22" t="e">
        <f ca="1">INDEX(Table_Process_Details[Total '[Physical Mass per kg API'] of Unique Inputs (REAGENT)],MATCH(Table_Process_Details[[#This Row],[Unique Inputs Sorted by '[Physical Mass per kg API']]],Table_Process_Details[Unique Process Inputs],0))</f>
        <v>#N/A</v>
      </c>
      <c r="CQ42" s="22" t="e">
        <f ca="1">INDEX(Table_Process_Details[Total '[Physical Mass per kg API'] of Unique Inputs (METAL)],MATCH(Table_Process_Details[[#This Row],[Unique Inputs Sorted by '[Physical Mass per kg API']]],Table_Process_Details[Unique Process Inputs],0))</f>
        <v>#N/A</v>
      </c>
      <c r="CR42" s="22" t="e">
        <f ca="1">INDEX(Table_Process_Details[Total '[Physical Mass per kg API'] of Unique Inputs (SOLVENT)],MATCH(Table_Process_Details[[#This Row],[Unique Inputs Sorted by '[Physical Mass per kg API']]],Table_Process_Details[Unique Process Inputs],0))</f>
        <v>#N/A</v>
      </c>
      <c r="CS42" s="22" t="e">
        <f ca="1">INDEX(Table_Process_Details[Total '[Physical Mass per kg API'] of Unique Inputs (WATER)],MATCH(Table_Process_Details[[#This Row],[Unique Inputs Sorted by '[Physical Mass per kg API']]],Table_Process_Details[Unique Process Inputs],0))</f>
        <v>#N/A</v>
      </c>
      <c r="CT42" s="22" t="e">
        <f ca="1">INDEX(Table_Process_Details[Total '[Physical Mass per kg API'] of Unique Inputs (ENZ&amp;PLNT)],MATCH(Table_Process_Details[[#This Row],[Unique Inputs Sorted by '[Physical Mass per kg API']]],Table_Process_Details[Unique Process Inputs],0))</f>
        <v>#N/A</v>
      </c>
      <c r="CU42" s="22" t="e">
        <f ca="1">INDEX(Table_Process_Details[Total '[Physical Mass per kg API'] of Unique Inputs (OTHER)],MATCH(Table_Process_Details[[#This Row],[Unique Inputs Sorted by '[Physical Mass per kg API']]],Table_Process_Details[Unique Process Inputs],0))</f>
        <v>#N/A</v>
      </c>
      <c r="CV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2" s="22">
        <f ca="1">SUMIFS(Table_Process_Details[RV Mass Net (kg) per kg API],Table_Process_Details[Display Name],Table_Process_Details[[#This Row],[Unique Process Inputs]],Table_Process_Details[Input or Output],"Input")</f>
        <v>11.485341259420279</v>
      </c>
      <c r="DD42" s="22">
        <f ca="1">SUMIFS(Table_Process_Details[RV Mass Net (kg) per kg API (REAGENT)],Table_Process_Details[Display Name],Table_Process_Details[[#This Row],[Unique Process Inputs]],Table_Process_Details[Input or Output],"Input")</f>
        <v>11.485341259420279</v>
      </c>
      <c r="DE42" s="22">
        <f ca="1">SUMIFS(Table_Process_Details[RV Mass Net (kg) per kg API (METAL)],Table_Process_Details[Display Name],Table_Process_Details[[#This Row],[Unique Process Inputs]],Table_Process_Details[Input or Output],"Input")</f>
        <v>0</v>
      </c>
      <c r="DF42" s="22">
        <f ca="1">SUMIFS(Table_Process_Details[RV Mass Net (kg) per kg API (SOLVENT)],Table_Process_Details[Display Name],Table_Process_Details[[#This Row],[Unique Process Inputs]],Table_Process_Details[Input or Output],"Input")</f>
        <v>0</v>
      </c>
      <c r="DG42" s="22">
        <f ca="1">SUMIFS(Table_Process_Details[RV Mass Net (kg) per kg API (WATER)],Table_Process_Details[Display Name],Table_Process_Details[[#This Row],[Unique Process Inputs]],Table_Process_Details[Input or Output],"Input")</f>
        <v>0</v>
      </c>
      <c r="DH42" s="22">
        <f ca="1">SUMIFS(Table_Process_Details[RV Mass Net (kg) per kg API (ENZ&amp;PLNT)],Table_Process_Details[Display Name],Table_Process_Details[[#This Row],[Unique Process Inputs]],Table_Process_Details[Input or Output],"Input")</f>
        <v>0</v>
      </c>
      <c r="DI42" s="22">
        <f ca="1">SUMIFS(Table_Process_Details[RV Mass Net (kg) per kg API (OTHER)],Table_Process_Details[Display Name],Table_Process_Details[[#This Row],[Unique Process Inputs]],Table_Process_Details[Input or Output],"Input")</f>
        <v>0</v>
      </c>
      <c r="DJ42" s="22" t="e">
        <f ca="1">INDEX(Table_Process_Details[Unique Process Inputs],MATCH(Table_Process_Details[[#This Row],['[Mass Net (kg) per kg API'] of Unique Inputs Sorted by '[Mass Net (kg) per kg API']]],Table_Process_Details[Total '[Mass Net (kg) per kg API'] of Unique Inputs],0))</f>
        <v>#N/A</v>
      </c>
      <c r="DK42" s="22" t="e">
        <f ca="1">IF(LARGE(Table_Process_Details[Total '[Mass Net (kg) per kg API'] of Unique Inputs],Table_Process_Details[[#This Row],[Table Row]])=0,NA(),LARGE(Table_Process_Details[Total '[Mass Net (kg) per kg API'] of Unique Inputs],Table_Process_Details[[#This Row],[Table Row]]))</f>
        <v>#N/A</v>
      </c>
      <c r="DL42" s="22" t="e">
        <f ca="1">SUM(OFFSET(Table_Process_Details['[Mass Net (kg) per kg API'] of Unique Inputs Sorted by '[Mass Net (kg) per kg API']],0,0,Table_Process_Details[[#This Row],[Table Row]]))</f>
        <v>#N/A</v>
      </c>
      <c r="DM42" s="22" t="e">
        <f ca="1">"("&amp;TEXT(Table_Process_Details[[#This Row],['[Mass Net (kg) per kg API'] of Unique Inputs Sorted by '[Mass Net (kg) per kg API']]]/SUMIF(Table_Process_Details['[Mass Net (kg) per kg API'] of Unique Inputs Sorted by '[Mass Net (kg) per kg API']],"&lt;&gt;#N/A"),"0%")&amp;")"</f>
        <v>#N/A</v>
      </c>
      <c r="DN42" s="22" t="e">
        <f ca="1">INDEX(Table_Process_Details[Total '[Mass Net (kg) per kg API'] of Unique Inputs (REAGENT)], MATCH(Table_Process_Details[[#This Row],[Unique Inputs Sorted by '[Mass Net (kg) per kg API']]],Table_Process_Details[Unique Process Inputs],0))</f>
        <v>#N/A</v>
      </c>
      <c r="DO42" s="22" t="e">
        <f ca="1">INDEX(Table_Process_Details[Total '[Mass Net (kg) per kg API'] of Unique Inputs (METAL)], MATCH(Table_Process_Details[[#This Row],[Unique Inputs Sorted by '[Mass Net (kg) per kg API']]],Table_Process_Details[Unique Process Inputs],0))</f>
        <v>#N/A</v>
      </c>
      <c r="DP42" s="22" t="e">
        <f ca="1">INDEX(Table_Process_Details[Total '[Mass Net (kg) per kg API'] of Unique Inputs (SOLVENT)], MATCH(Table_Process_Details[[#This Row],[Unique Inputs Sorted by '[Mass Net (kg) per kg API']]],Table_Process_Details[Unique Process Inputs],0))</f>
        <v>#N/A</v>
      </c>
      <c r="DQ42" s="22" t="e">
        <f ca="1">INDEX(Table_Process_Details[Total '[Mass Net (kg) per kg API'] of Unique Inputs (WATER)], MATCH(Table_Process_Details[[#This Row],[Unique Inputs Sorted by '[Mass Net (kg) per kg API']]],Table_Process_Details[Unique Process Inputs],0))</f>
        <v>#N/A</v>
      </c>
      <c r="DR42" s="22" t="e">
        <f ca="1">INDEX(Table_Process_Details[Total '[Mass Net (kg) per kg API'] of Unique Inputs (ENZ&amp;PLNT)], MATCH(Table_Process_Details[[#This Row],[Unique Inputs Sorted by '[Mass Net (kg) per kg API']]],Table_Process_Details[Unique Process Inputs],0))</f>
        <v>#N/A</v>
      </c>
      <c r="DS42" s="22" t="e">
        <f ca="1">INDEX(Table_Process_Details[Total '[Mass Net (kg) per kg API'] of Unique Inputs (OTHER)], MATCH(Table_Process_Details[[#This Row],[Unique Inputs Sorted by '[Mass Net (kg) per kg API']]],Table_Process_Details[Unique Process Inputs],0))</f>
        <v>#N/A</v>
      </c>
      <c r="DT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2" s="1">
        <f ca="1">SUMIFS(Table_Process_Details[RV Energy (MJ) per kg API],Table_Process_Details[Display Name],Table_Process_Details[[#This Row],[Unique Process Inputs]],Table_Process_Details[Input or Output],"Input")</f>
        <v>412.18914633641288</v>
      </c>
      <c r="EB42" s="1">
        <f ca="1">SUMIFS(Table_Process_Details[RV Energy (MJ) per kg API (REAGENT)],Table_Process_Details[Display Name],Table_Process_Details[[#This Row],[Unique Process Inputs]],Table_Process_Details[Input or Output],"Input")</f>
        <v>412.18914633641288</v>
      </c>
      <c r="EC42" s="1">
        <f ca="1">SUMIFS(Table_Process_Details[RV Energy (MJ) per kg API (METAL)],Table_Process_Details[Display Name],Table_Process_Details[[#This Row],[Unique Process Inputs]],Table_Process_Details[Input or Output],"Input")</f>
        <v>0</v>
      </c>
      <c r="ED42" s="1">
        <f ca="1">SUMIFS(Table_Process_Details[RV Energy (MJ) per kg API (SOLVENT)],Table_Process_Details[Display Name],Table_Process_Details[[#This Row],[Unique Process Inputs]],Table_Process_Details[Input or Output],"Input")</f>
        <v>0</v>
      </c>
      <c r="EE42" s="1">
        <f ca="1">SUMIFS(Table_Process_Details[RV Energy (MJ) per kg API (WATER)],Table_Process_Details[Display Name],Table_Process_Details[[#This Row],[Unique Process Inputs]],Table_Process_Details[Input or Output],"Input")</f>
        <v>0</v>
      </c>
      <c r="EF42" s="1">
        <f ca="1">SUMIFS(Table_Process_Details[RV Energy (MJ) per kg API (ENZ&amp;PLNT)],Table_Process_Details[Display Name],Table_Process_Details[[#This Row],[Unique Process Inputs]],Table_Process_Details[Input or Output],"Input")</f>
        <v>0</v>
      </c>
      <c r="EG42" s="1">
        <f ca="1">SUMIFS(Table_Process_Details[RV Energy (MJ) per kg API (OTHER)],Table_Process_Details[Display Name],Table_Process_Details[[#This Row],[Unique Process Inputs]],Table_Process_Details[Input or Output],"Input")</f>
        <v>0</v>
      </c>
      <c r="EH42" s="1" t="e">
        <f ca="1">INDEX(Table_Process_Details[Unique Process Inputs],MATCH(Table_Process_Details[[#This Row],['[Energy (MJ) per kg API'] of Unique Inputs Sorted by '[Energy (MJ) per kg API']]],Table_Process_Details[Total '[Energy (MJ) per kg API'] of Unique Inputs],0))</f>
        <v>#N/A</v>
      </c>
      <c r="EI42" s="22" t="e">
        <f ca="1">IF(LARGE(Table_Process_Details[Total '[Energy (MJ) per kg API'] of Unique Inputs],Table_Process_Details[[#This Row],[Table Row]])=0,NA(),LARGE(Table_Process_Details[Total '[Energy (MJ) per kg API'] of Unique Inputs],Table_Process_Details[[#This Row],[Table Row]]))</f>
        <v>#N/A</v>
      </c>
      <c r="EJ42" s="22" t="e">
        <f ca="1">SUM(OFFSET(Table_Process_Details['[Energy (MJ) per kg API'] of Unique Inputs Sorted by '[Energy (MJ) per kg API']],0,0,Table_Process_Details[[#This Row],[Table Row]]))</f>
        <v>#N/A</v>
      </c>
      <c r="EK42" s="22" t="e">
        <f ca="1">"("&amp;TEXT(Table_Process_Details[[#This Row],['[Energy (MJ) per kg API'] of Unique Inputs Sorted by '[Energy (MJ) per kg API']]]/SUMIF(Table_Process_Details['[Energy (MJ) per kg API'] of Unique Inputs Sorted by '[Energy (MJ) per kg API']],"&lt;&gt;#N/A"),"0%")&amp;")"</f>
        <v>#N/A</v>
      </c>
      <c r="EL42" s="22" t="e">
        <f ca="1">INDEX(Table_Process_Details[Total '[Energy (MJ) per kg API'] of Unique Inputs (REAGENT)], MATCH(Table_Process_Details[[#This Row],[Unique Inputs Sorted by '[Energy (MJ) per kg API']]],Table_Process_Details[Unique Process Inputs],0))</f>
        <v>#N/A</v>
      </c>
      <c r="EM42" s="22" t="e">
        <f ca="1">INDEX(Table_Process_Details[Total '[Energy (MJ) per kg API'] of Unique Inputs (METAL)], MATCH(Table_Process_Details[[#This Row],[Unique Inputs Sorted by '[Energy (MJ) per kg API']]],Table_Process_Details[Unique Process Inputs],0))</f>
        <v>#N/A</v>
      </c>
      <c r="EN42" s="22" t="e">
        <f ca="1">INDEX(Table_Process_Details[Total '[Energy (MJ) per kg API'] of Unique Inputs (SOLVENT)], MATCH(Table_Process_Details[[#This Row],[Unique Inputs Sorted by '[Energy (MJ) per kg API']]],Table_Process_Details[Unique Process Inputs],0))</f>
        <v>#N/A</v>
      </c>
      <c r="EO42" s="22" t="e">
        <f ca="1">INDEX(Table_Process_Details[Total '[Energy (MJ) per kg API'] of Unique Inputs (WATER)], MATCH(Table_Process_Details[[#This Row],[Unique Inputs Sorted by '[Energy (MJ) per kg API']]],Table_Process_Details[Unique Process Inputs],0))</f>
        <v>#N/A</v>
      </c>
      <c r="EP42" s="22" t="e">
        <f ca="1">INDEX(Table_Process_Details[Total '[Energy (MJ) per kg API'] of Unique Inputs (ENZ&amp;PLNT)], MATCH(Table_Process_Details[[#This Row],[Unique Inputs Sorted by '[Energy (MJ) per kg API']]],Table_Process_Details[Unique Process Inputs],0))</f>
        <v>#N/A</v>
      </c>
      <c r="EQ42" s="22" t="e">
        <f ca="1">INDEX(Table_Process_Details[Total '[Energy (MJ) per kg API'] of Unique Inputs (OTHER)], MATCH(Table_Process_Details[[#This Row],[Unique Inputs Sorted by '[Energy (MJ) per kg API']]],Table_Process_Details[Unique Process Inputs],0))</f>
        <v>#N/A</v>
      </c>
      <c r="ER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2" s="22">
        <f ca="1">SUMIFS(Table_Process_Details[RV GWP (kg CO2 equiv.) per kg API],Table_Process_Details[Display Name],Table_Process_Details[[#This Row],[Unique Process Inputs]],Table_Process_Details[Input or Output],"Input")</f>
        <v>14.44890928137165</v>
      </c>
      <c r="EZ42" s="1">
        <f ca="1">SUMIFS(Table_Process_Details[RV GWP (kg CO2 equiv.) per kg API (REAGENT)],Table_Process_Details[Display Name],Table_Process_Details[[#This Row],[Unique Process Inputs]],Table_Process_Details[Input or Output],"Input")</f>
        <v>14.44890928137165</v>
      </c>
      <c r="FA42" s="1">
        <f ca="1">SUMIFS(Table_Process_Details[RV GWP (kg CO2 equiv.) per kg API (METAL)],Table_Process_Details[Display Name],Table_Process_Details[[#This Row],[Unique Process Inputs]],Table_Process_Details[Input or Output],"Input")</f>
        <v>0</v>
      </c>
      <c r="FB42" s="1">
        <f ca="1">SUMIFS(Table_Process_Details[RV GWP (kg CO2 equiv.) per kg API (SOLVENT)],Table_Process_Details[Display Name],Table_Process_Details[[#This Row],[Unique Process Inputs]],Table_Process_Details[Input or Output],"Input")</f>
        <v>0</v>
      </c>
      <c r="FC42" s="1">
        <f ca="1">SUMIFS(Table_Process_Details[RV GWP (kg CO2 equiv.) per kg API (WATER)],Table_Process_Details[Display Name],Table_Process_Details[[#This Row],[Unique Process Inputs]],Table_Process_Details[Input or Output],"Input")</f>
        <v>0</v>
      </c>
      <c r="FD42" s="1">
        <f ca="1">SUMIFS(Table_Process_Details[RV GWP (kg CO2 equiv.) per kg API (ENZ&amp;PLNT)],Table_Process_Details[Display Name],Table_Process_Details[[#This Row],[Unique Process Inputs]],Table_Process_Details[Input or Output],"Input")</f>
        <v>0</v>
      </c>
      <c r="FE42" s="1">
        <f ca="1">SUMIFS(Table_Process_Details[RV GWP (kg CO2 equiv.) per kg API (OTHER)],Table_Process_Details[Display Name],Table_Process_Details[[#This Row],[Unique Process Inputs]],Table_Process_Details[Input or Output],"Input")</f>
        <v>0</v>
      </c>
      <c r="FF42" s="22" t="e">
        <f ca="1">INDEX(Table_Process_Details[Unique Process Inputs],MATCH(Table_Process_Details[[#This Row],['[GWP (kg CO2 equiv.) per kg API'] of Unique Inputs Sorted by '[GWP (kg CO2 equiv.) per kg API']]],Table_Process_Details[Total '[GWP (kg CO2 equiv.) per kg API'] of Unique Inputs],0))</f>
        <v>#N/A</v>
      </c>
      <c r="FG42" s="22" t="e">
        <f ca="1">IF(LARGE(Table_Process_Details[Total '[GWP (kg CO2 equiv.) per kg API'] of Unique Inputs],Table_Process_Details[[#This Row],[Table Row]])=0,NA(),LARGE(Table_Process_Details[Total '[GWP (kg CO2 equiv.) per kg API'] of Unique Inputs],Table_Process_Details[[#This Row],[Table Row]]))</f>
        <v>#N/A</v>
      </c>
      <c r="FH42" s="22" t="e">
        <f ca="1">SUM(OFFSET(Table_Process_Details['[GWP (kg CO2 equiv.) per kg API'] of Unique Inputs Sorted by '[GWP (kg CO2 equiv.) per kg API']],0,0,Table_Process_Details[[#This Row],[Table Row]]))</f>
        <v>#N/A</v>
      </c>
      <c r="FI42" s="22" t="e">
        <f ca="1">"("&amp;TEXT(Table_Process_Details[[#This Row],['[GWP (kg CO2 equiv.) per kg API'] of Unique Inputs Sorted by '[GWP (kg CO2 equiv.) per kg API']]]/SUMIF(Table_Process_Details['[GWP (kg CO2 equiv.) per kg API'] of Unique Inputs Sorted by '[GWP (kg CO2 equiv.) per kg API']],"&lt;&gt;#N/A"),"0%")&amp;")"</f>
        <v>#N/A</v>
      </c>
      <c r="FJ42" s="22" t="e">
        <f ca="1">INDEX(Table_Process_Details[Total '[GWP (kg CO2 equiv.) per kg API'] of Unique Inputs (REAGENT)], MATCH(Table_Process_Details[[#This Row],[Unique Inputs Sorted by '[GWP (kg CO2 equiv.) per kg API']]],Table_Process_Details[Unique Process Inputs],0))</f>
        <v>#N/A</v>
      </c>
      <c r="FK42" s="22" t="e">
        <f ca="1">INDEX(Table_Process_Details[Total '[GWP (kg CO2 equiv.) per kg API'] of Unique Inputs (METAL)], MATCH(Table_Process_Details[[#This Row],[Unique Inputs Sorted by '[GWP (kg CO2 equiv.) per kg API']]],Table_Process_Details[Unique Process Inputs],0))</f>
        <v>#N/A</v>
      </c>
      <c r="FL42" s="22" t="e">
        <f ca="1">INDEX(Table_Process_Details[Total '[GWP (kg CO2 equiv.) per kg API'] of Unique Inputs (SOLVENT)], MATCH(Table_Process_Details[[#This Row],[Unique Inputs Sorted by '[GWP (kg CO2 equiv.) per kg API']]],Table_Process_Details[Unique Process Inputs],0))</f>
        <v>#N/A</v>
      </c>
      <c r="FM42" s="22" t="e">
        <f ca="1">INDEX(Table_Process_Details[Total '[GWP (kg CO2 equiv.) per kg API'] of Unique Inputs (WATER)], MATCH(Table_Process_Details[[#This Row],[Unique Inputs Sorted by '[GWP (kg CO2 equiv.) per kg API']]],Table_Process_Details[Unique Process Inputs],0))</f>
        <v>#N/A</v>
      </c>
      <c r="FN42" s="22" t="e">
        <f ca="1">INDEX(Table_Process_Details[Total '[GWP (kg CO2 equiv.) per kg API'] of Unique Inputs (ENZ&amp;PLNT)], MATCH(Table_Process_Details[[#This Row],[Unique Inputs Sorted by '[GWP (kg CO2 equiv.) per kg API']]],Table_Process_Details[Unique Process Inputs],0))</f>
        <v>#N/A</v>
      </c>
      <c r="FO42" s="22" t="e">
        <f ca="1">INDEX(Table_Process_Details[Total '[GWP (kg CO2 equiv.) per kg API'] of Unique Inputs (OTHER)], MATCH(Table_Process_Details[[#This Row],[Unique Inputs Sorted by '[GWP (kg CO2 equiv.) per kg API']]],Table_Process_Details[Unique Process Inputs],0))</f>
        <v>#N/A</v>
      </c>
      <c r="FP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2" s="22">
        <f ca="1">SUMIFS(Table_Process_Details[RV Acidification (kg SO2 equiv.) per kg API],Table_Process_Details[Display Name],Table_Process_Details[[#This Row],[Unique Process Inputs]],Table_Process_Details[Input or Output],"Input")</f>
        <v>6.1789945367306684E-2</v>
      </c>
      <c r="FX42" s="1">
        <f ca="1">SUMIFS(Table_Process_Details[RV Acidification (kg SO2 equiv.) per kg API (REAGENT)],Table_Process_Details[Display Name],Table_Process_Details[[#This Row],[Unique Process Inputs]],Table_Process_Details[Input or Output],"Input")</f>
        <v>6.1789945367306684E-2</v>
      </c>
      <c r="FY42" s="1">
        <f ca="1">SUMIFS(Table_Process_Details[RV Acidification (kg SO2 equiv.) per kg API (METAL)],Table_Process_Details[Display Name],Table_Process_Details[[#This Row],[Unique Process Inputs]],Table_Process_Details[Input or Output],"Input")</f>
        <v>0</v>
      </c>
      <c r="FZ42" s="1">
        <f ca="1">SUMIFS(Table_Process_Details[RV Acidification (kg SO2 equiv.) per kg API (SOLVENT)],Table_Process_Details[Display Name],Table_Process_Details[[#This Row],[Unique Process Inputs]],Table_Process_Details[Input or Output],"Input")</f>
        <v>0</v>
      </c>
      <c r="GA42" s="1">
        <f ca="1">SUMIFS(Table_Process_Details[RV Acidification (kg SO2 equiv.) per kg API (WATER)],Table_Process_Details[Display Name],Table_Process_Details[[#This Row],[Unique Process Inputs]],Table_Process_Details[Input or Output],"Input")</f>
        <v>0</v>
      </c>
      <c r="GB42" s="1">
        <f ca="1">SUMIFS(Table_Process_Details[RV Acidification (kg SO2 equiv.) per kg API (ENZ&amp;PLNT)],Table_Process_Details[Display Name],Table_Process_Details[[#This Row],[Unique Process Inputs]],Table_Process_Details[Input or Output],"Input")</f>
        <v>0</v>
      </c>
      <c r="GC42" s="1">
        <f ca="1">SUMIFS(Table_Process_Details[RV Acidification (kg SO2 equiv.) per kg API (OTHER)],Table_Process_Details[Display Name],Table_Process_Details[[#This Row],[Unique Process Inputs]],Table_Process_Details[Input or Output],"Input")</f>
        <v>0</v>
      </c>
      <c r="GD42"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2"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2" s="22" t="e">
        <f ca="1">SUM(OFFSET(Table_Process_Details['[Acidification (kg SO2 equiv.) per kg API'] of Unique Inputs Sorted by '[Acidification (kg SO2 equiv.) per kg API']],0,0,Table_Process_Details[[#This Row],[Table Row]]))</f>
        <v>#N/A</v>
      </c>
      <c r="GG42"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2" s="22" t="e">
        <f ca="1">INDEX(Table_Process_Details[Total '[Acidification (kg SO2 equiv.) per kg API'] of Unique Inputs (REAGENT)], MATCH(Table_Process_Details[[#This Row],[Unique Inputs Sorted by '[Acidification (kg SO2 equiv.) per kg API']]],Table_Process_Details[Unique Process Inputs],0))</f>
        <v>#N/A</v>
      </c>
      <c r="GI42" s="22" t="e">
        <f ca="1">INDEX(Table_Process_Details[Total '[Acidification (kg SO2 equiv.) per kg API'] of Unique Inputs (METAL)], MATCH(Table_Process_Details[[#This Row],[Unique Inputs Sorted by '[Acidification (kg SO2 equiv.) per kg API']]],Table_Process_Details[Unique Process Inputs],0))</f>
        <v>#N/A</v>
      </c>
      <c r="GJ42" s="22" t="e">
        <f ca="1">INDEX(Table_Process_Details[Total '[Acidification (kg SO2 equiv.) per kg API'] of Unique Inputs (SOLVENT)], MATCH(Table_Process_Details[[#This Row],[Unique Inputs Sorted by '[Acidification (kg SO2 equiv.) per kg API']]],Table_Process_Details[Unique Process Inputs],0))</f>
        <v>#N/A</v>
      </c>
      <c r="GK42" s="22" t="e">
        <f ca="1">INDEX(Table_Process_Details[Total '[Acidification (kg SO2 equiv.) per kg API'] of Unique Inputs (WATER)], MATCH(Table_Process_Details[[#This Row],[Unique Inputs Sorted by '[Acidification (kg SO2 equiv.) per kg API']]],Table_Process_Details[Unique Process Inputs],0))</f>
        <v>#N/A</v>
      </c>
      <c r="GL42" s="22" t="e">
        <f ca="1">INDEX(Table_Process_Details[Total '[Acidification (kg SO2 equiv.) per kg API'] of Unique Inputs (ENZ&amp;PLNT)], MATCH(Table_Process_Details[[#This Row],[Unique Inputs Sorted by '[Acidification (kg SO2 equiv.) per kg API']]],Table_Process_Details[Unique Process Inputs],0))</f>
        <v>#N/A</v>
      </c>
      <c r="GM42" s="22" t="e">
        <f ca="1">INDEX(Table_Process_Details[Total '[Acidification (kg SO2 equiv.) per kg API'] of Unique Inputs (OTHER)], MATCH(Table_Process_Details[[#This Row],[Unique Inputs Sorted by '[Acidification (kg SO2 equiv.) per kg API']]],Table_Process_Details[Unique Process Inputs],0))</f>
        <v>#N/A</v>
      </c>
      <c r="GN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2" s="22">
        <f ca="1">SUMIFS(Table_Process_Details[RV Eutrophication (kg phosphate equiv.) per kg API],Table_Process_Details[Display Name],Table_Process_Details[[#This Row],[Unique Process Inputs]],Table_Process_Details[Input or Output],"Input")</f>
        <v>4.9475795316098616E-2</v>
      </c>
      <c r="GV42" s="1">
        <f ca="1">SUMIFS(Table_Process_Details[RV Eutrophication (kg phosphate equiv.) per kg API (REAGENT)],Table_Process_Details[Display Name],Table_Process_Details[[#This Row],[Unique Process Inputs]],Table_Process_Details[Input or Output],"Input")</f>
        <v>4.9475795316098616E-2</v>
      </c>
      <c r="GW42" s="1">
        <f ca="1">SUMIFS(Table_Process_Details[RV Eutrophication (kg phosphate equiv.) per kg API (METAL)],Table_Process_Details[Display Name],Table_Process_Details[[#This Row],[Unique Process Inputs]],Table_Process_Details[Input or Output],"Input")</f>
        <v>0</v>
      </c>
      <c r="GX42" s="1">
        <f ca="1">SUMIFS(Table_Process_Details[RV Eutrophication (kg phosphate equiv.) per kg API (SOLVENT)],Table_Process_Details[Display Name],Table_Process_Details[[#This Row],[Unique Process Inputs]],Table_Process_Details[Input or Output],"Input")</f>
        <v>0</v>
      </c>
      <c r="GY42" s="1">
        <f ca="1">SUMIFS(Table_Process_Details[RV Eutrophication (kg phosphate equiv.) per kg API (WATER)],Table_Process_Details[Display Name],Table_Process_Details[[#This Row],[Unique Process Inputs]],Table_Process_Details[Input or Output],"Input")</f>
        <v>0</v>
      </c>
      <c r="GZ42" s="1">
        <f ca="1">SUMIFS(Table_Process_Details[RV Eutrophication (kg phosphate equiv.) per kg API (ENZ&amp;PLNT)],Table_Process_Details[Display Name],Table_Process_Details[[#This Row],[Unique Process Inputs]],Table_Process_Details[Input or Output],"Input")</f>
        <v>0</v>
      </c>
      <c r="HA42" s="1">
        <f ca="1">SUMIFS(Table_Process_Details[RV Eutrophication (kg phosphate equiv.) per kg API (OTHER)],Table_Process_Details[Display Name],Table_Process_Details[[#This Row],[Unique Process Inputs]],Table_Process_Details[Input or Output],"Input")</f>
        <v>0</v>
      </c>
      <c r="HB42"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2"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2" s="22" t="e">
        <f ca="1">SUM(OFFSET(Table_Process_Details['[Eutrophication (kg posphate equiv.) per kg API'] of Unique Inputs Sorted by '[Eutrophication (kg posphate equiv.) per kg API']],0,0,Table_Process_Details[[#This Row],[Table Row]]))</f>
        <v>#N/A</v>
      </c>
      <c r="HE42"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2" s="1" t="e">
        <f ca="1">INDEX(Table_Process_Details[Total '[Eutrophication (kg posphate equiv.) per kg API'] of Unique Inputs (REAGENT)], MATCH(Table_Process_Details[[#This Row],[Unique Inputs Sorted by '[Eutrophication (kg posphate equiv.) per kg API']]],Table_Process_Details[Unique Process Inputs],0))</f>
        <v>#N/A</v>
      </c>
      <c r="HG42" s="1" t="e">
        <f ca="1">INDEX(Table_Process_Details[Total '[Eutrophication (kg posphate equiv.) per kg API'] of Unique Inputs (METAL)], MATCH(Table_Process_Details[[#This Row],[Unique Inputs Sorted by '[Eutrophication (kg posphate equiv.) per kg API']]],Table_Process_Details[Unique Process Inputs],0))</f>
        <v>#N/A</v>
      </c>
      <c r="HH42" s="1" t="e">
        <f ca="1">INDEX(Table_Process_Details[Total '[Eutrophication (kg posphate equiv.) per kg API'] of Unique Inputs (SOLVENT)], MATCH(Table_Process_Details[[#This Row],[Unique Inputs Sorted by '[Eutrophication (kg posphate equiv.) per kg API']]],Table_Process_Details[Unique Process Inputs],0))</f>
        <v>#N/A</v>
      </c>
      <c r="HI42" s="1" t="e">
        <f ca="1">INDEX(Table_Process_Details[Total '[Eutrophication (kg posphate equiv.) per kg API'] of Unique Inputs (WATER)], MATCH(Table_Process_Details[[#This Row],[Unique Inputs Sorted by '[Eutrophication (kg posphate equiv.) per kg API']]],Table_Process_Details[Unique Process Inputs],0))</f>
        <v>#N/A</v>
      </c>
      <c r="HJ42" s="1" t="e">
        <f ca="1">INDEX(Table_Process_Details[Total '[Eutrophication (kg posphate equiv.) per kg API'] of Unique Inputs (ENZ&amp;PLNT)], MATCH(Table_Process_Details[[#This Row],[Unique Inputs Sorted by '[Eutrophication (kg posphate equiv.) per kg API']]],Table_Process_Details[Unique Process Inputs],0))</f>
        <v>#N/A</v>
      </c>
      <c r="HK42" s="1" t="e">
        <f ca="1">INDEX(Table_Process_Details[Total '[Eutrophication (kg posphate equiv.) per kg API'] of Unique Inputs (OTHER)], MATCH(Table_Process_Details[[#This Row],[Unique Inputs Sorted by '[Eutrophication (kg posphate equiv.) per kg API']]],Table_Process_Details[Unique Process Inputs],0))</f>
        <v>#N/A</v>
      </c>
      <c r="HL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2" s="1">
        <f ca="1">SUMIFS(Table_Process_Details[RV Water (kg) per kg API],Table_Process_Details[Display Name],Table_Process_Details[[#This Row],[Unique Process Inputs]],Table_Process_Details[Input or Output],"Input")</f>
        <v>80.906510542627544</v>
      </c>
      <c r="HT42" s="1">
        <f ca="1">SUMIFS(Table_Process_Details[RV Water (kg) per kg API (REAGENT)],Table_Process_Details[Display Name],Table_Process_Details[[#This Row],[Unique Process Inputs]],Table_Process_Details[Input or Output],"Input")</f>
        <v>80.906510542627544</v>
      </c>
      <c r="HU42" s="1">
        <f ca="1">SUMIFS(Table_Process_Details[RV Water (kg) per kg API (METAL)],Table_Process_Details[Display Name],Table_Process_Details[[#This Row],[Unique Process Inputs]],Table_Process_Details[Input or Output],"Input")</f>
        <v>0</v>
      </c>
      <c r="HV42" s="1">
        <f ca="1">SUMIFS(Table_Process_Details[RV Water (kg) per kg API (SOLVENT)],Table_Process_Details[Display Name],Table_Process_Details[[#This Row],[Unique Process Inputs]],Table_Process_Details[Input or Output],"Input")</f>
        <v>0</v>
      </c>
      <c r="HW42" s="1">
        <f ca="1">SUMIFS(Table_Process_Details[RV Water (kg) per kg API (WATER)],Table_Process_Details[Display Name],Table_Process_Details[[#This Row],[Unique Process Inputs]],Table_Process_Details[Input or Output],"Input")</f>
        <v>0</v>
      </c>
      <c r="HX42" s="1">
        <f ca="1">SUMIFS(Table_Process_Details[RV Water (kg) per kg API (ENZ&amp;PLNT)],Table_Process_Details[Display Name],Table_Process_Details[[#This Row],[Unique Process Inputs]],Table_Process_Details[Input or Output],"Input")</f>
        <v>0</v>
      </c>
      <c r="HY42" s="1">
        <f ca="1">SUMIFS(Table_Process_Details[RV Water (kg) per kg API (OTHER)],Table_Process_Details[Display Name],Table_Process_Details[[#This Row],[Unique Process Inputs]],Table_Process_Details[Input or Output],"Input")</f>
        <v>0</v>
      </c>
      <c r="HZ42" s="22" t="e">
        <f ca="1">INDEX(Table_Process_Details[Unique Process Inputs],MATCH(Table_Process_Details[[#This Row],['[Water (kg) per kg API'] of Unique Inputs Sorted by '[Water (kg) per kg API']]],Table_Process_Details[Total '[Water (kg) per kg API'] of Unique Inputs],0))</f>
        <v>#N/A</v>
      </c>
      <c r="IA42" s="22" t="e">
        <f ca="1">IF(LARGE(Table_Process_Details[Total '[Water (kg) per kg API'] of Unique Inputs],Table_Process_Details[[#This Row],[Table Row]])=0,NA(),LARGE(Table_Process_Details[Total '[Water (kg) per kg API'] of Unique Inputs],Table_Process_Details[[#This Row],[Table Row]]))</f>
        <v>#N/A</v>
      </c>
      <c r="IB42" s="1" t="e">
        <f ca="1">SUM(OFFSET(Table_Process_Details['[Water (kg) per kg API'] of Unique Inputs Sorted by '[Water (kg) per kg API']],0,0,Table_Process_Details[[#This Row],[Table Row]]))</f>
        <v>#N/A</v>
      </c>
      <c r="IC42" s="1" t="e">
        <f ca="1">"("&amp;TEXT(Table_Process_Details[[#This Row],['[Water (kg) per kg API'] of Unique Inputs Sorted by '[Water (kg) per kg API']]]/SUMIF(Table_Process_Details['[Water (kg) per kg API'] of Unique Inputs Sorted by '[Water (kg) per kg API']],"&lt;&gt;#N/A"),"0%")&amp;")"</f>
        <v>#N/A</v>
      </c>
      <c r="ID42" s="1" t="e">
        <f ca="1">INDEX(Table_Process_Details[Total '[Water (kg) per kg API'] of Unique Inputs (REAGENT)], MATCH(Table_Process_Details[[#This Row],[Unique Inputs Sorted by '[Water (kg) per kg API']]],Table_Process_Details[Unique Process Inputs],0))</f>
        <v>#N/A</v>
      </c>
      <c r="IE42" s="1" t="e">
        <f ca="1">INDEX(Table_Process_Details[Total '[Water (kg) per kg API'] of Unique Inputs (METAL)], MATCH(Table_Process_Details[[#This Row],[Unique Inputs Sorted by '[Water (kg) per kg API']]],Table_Process_Details[Unique Process Inputs],0))</f>
        <v>#N/A</v>
      </c>
      <c r="IF42" s="1" t="e">
        <f ca="1">INDEX(Table_Process_Details[Total '[Water (kg) per kg API'] of Unique Inputs (SOLVENT)], MATCH(Table_Process_Details[[#This Row],[Unique Inputs Sorted by '[Water (kg) per kg API']]],Table_Process_Details[Unique Process Inputs],0))</f>
        <v>#N/A</v>
      </c>
      <c r="IG42" s="1" t="e">
        <f ca="1">INDEX(Table_Process_Details[Total '[Water (kg) per kg API'] of Unique Inputs (WATER)], MATCH(Table_Process_Details[[#This Row],[Unique Inputs Sorted by '[Water (kg) per kg API']]],Table_Process_Details[Unique Process Inputs],0))</f>
        <v>#N/A</v>
      </c>
      <c r="IH42" s="1" t="e">
        <f ca="1">INDEX(Table_Process_Details[Total '[Water (kg) per kg API'] of Unique Inputs (ENZ&amp;PLNT)], MATCH(Table_Process_Details[[#This Row],[Unique Inputs Sorted by '[Water (kg) per kg API']]],Table_Process_Details[Unique Process Inputs],0))</f>
        <v>#N/A</v>
      </c>
      <c r="II42" s="1" t="e">
        <f ca="1">INDEX(Table_Process_Details[Total '[Water (kg) per kg API'] of Unique Inputs (OTHER)], MATCH(Table_Process_Details[[#This Row],[Unique Inputs Sorted by '[Water (kg) per kg API']]],Table_Process_Details[Unique Process Inputs],0))</f>
        <v>#N/A</v>
      </c>
    </row>
    <row r="43" spans="1:243" s="119" customFormat="1" x14ac:dyDescent="0.25">
      <c r="A43" s="126" t="str">
        <f>A42</f>
        <v>2a) Virtual solution prep for (2): 25 wt% reagent E (inorganic) in water</v>
      </c>
      <c r="B43" s="127" t="s">
        <v>5</v>
      </c>
      <c r="C43" s="127" t="s">
        <v>155</v>
      </c>
      <c r="D43" s="126" t="s">
        <v>155</v>
      </c>
      <c r="E43" s="126" t="str">
        <f>'1. Define Process Steps'!C14</f>
        <v>25 wt% reagent E (inorganic) in water</v>
      </c>
      <c r="F43" s="165">
        <f>F42+F41</f>
        <v>100</v>
      </c>
      <c r="G43" s="128"/>
      <c r="H43" s="128"/>
      <c r="I43" s="128"/>
      <c r="J43" s="128" t="str">
        <f>INDEX(Process_Steps[Reference],MATCH(Table_Process_Details[[#This Row],[Step Name]],Process_Steps[Name],0))</f>
        <v>Reference Document for Step 2</v>
      </c>
      <c r="K43" s="129" t="str">
        <f>INDEX(Process_Steps[Real or Virtual?],MATCH(Table_Process_Details[[#This Row],[Step Name]],Process_Steps[Name],0))</f>
        <v>Virtual</v>
      </c>
      <c r="L43"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43"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43" s="128">
        <f>INDEX(Table_Process_Details[Physical Mass (kg)],MATCH(1,INDEX(((Table_Process_Details[Step Name]=Table_Process_Details[[#This Row],[Step Name]])*(Table_Process_Details[Input or Output]="Output")),0),0))</f>
        <v>100</v>
      </c>
      <c r="O43" s="130">
        <f ca="1">INDEX(Process_Steps[Step Scale Factor for 1kg Packaged API],MATCH(Table_Process_Details[[#This Row],[Step Name]],Process_Steps[Name],0))</f>
        <v>1.398020511137271E-3</v>
      </c>
      <c r="P43"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v>
      </c>
      <c r="Q43"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v>
      </c>
      <c r="R43" s="128">
        <f ca="1">_xlfn.SWITCH(Run_Reset_PNG,"Reset",Table_Process_Details[[#This Row],[X Init]],"Run",Table_Process_Details[[#This Row],[X Moved]],"Freeze",Table_Process_Details[[#This Row],[X Mover]])</f>
        <v>-8.2138992091278542</v>
      </c>
      <c r="S43" s="128">
        <f ca="1">_xlfn.SWITCH(Run_Reset_PNG,"Reset",Table_Process_Details[[#This Row],[Y Init]],"Run",Table_Process_Details[[#This Row],[Y Moved]],"Freeze",Table_Process_Details[[#This Row],[Y Mover]])</f>
        <v>4.4543084341448207</v>
      </c>
      <c r="T43" s="128" cm="1">
        <f t="array" aca="1" ref="T4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-1.277178604603707</v>
      </c>
      <c r="U43" s="128" cm="1">
        <f t="array" aca="1" ref="U4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-0.52509841017411185</v>
      </c>
      <c r="V43" s="128" cm="1">
        <f t="array" aca="1" ref="V43" ca="1">SUM(--(SQRT((Table_Process_Details[[#This Row],[X Mover]]-Table_Process_Details[X Mover])^2+(Table_Process_Details[[#This Row],[Y Mover]]-Table_Process_Details[Y Mover])^2)&lt;Collision_Distance))</f>
        <v>12</v>
      </c>
      <c r="W43" s="128" cm="1">
        <f t="array" aca="1" ref="W4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-1.9074589965654365E-2</v>
      </c>
      <c r="X43" s="128" cm="1">
        <f t="array" aca="1" ref="X4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0.1170091465996641</v>
      </c>
      <c r="Y43" s="128" cm="1">
        <f t="array" aca="1" ref="Y4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43" s="128">
        <f>0</f>
        <v>0</v>
      </c>
      <c r="AA43" s="128">
        <f>0</f>
        <v>0</v>
      </c>
      <c r="AB43"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4.1069496045639271</v>
      </c>
      <c r="AC43" s="128" cm="1">
        <f t="array" aca="1" ref="AC4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-2.2271542170724103</v>
      </c>
      <c r="AD43" s="128">
        <f>MIN(1,COUNTA(Table_Process_Details[[#This Row],[target x]]),COUNTA(Table_Process_Details[[#This Row],[target y]]))*COUNTA(Table_Process_Details[Step Name])</f>
        <v>98</v>
      </c>
      <c r="AE43"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-8.2847813071405518</v>
      </c>
      <c r="AF43"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4.4268272187240179</v>
      </c>
      <c r="AG43"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43" s="128" t="e" cm="1">
        <f t="array" ref="AH43">INDEX(Table_Process_Details[X Mover],MATCH(1,INDEX((Table_Process_Details[Input or Output]="Output")*(Table_Process_Details[Step Name]=Table_Process_Details[[#This Row],[Step Name]])*(Table_Process_Details[[#This Row],[Input or Output]]="Input"),0),0))</f>
        <v>#N/A</v>
      </c>
      <c r="AI43" s="128" t="e" cm="1">
        <f t="array" ref="AI43">INDEX(Table_Process_Details[Y Mover],MATCH(1,INDEX((Table_Process_Details[Input or Output]="Output")*(Table_Process_Details[Step Name]=Table_Process_Details[[#This Row],[Step Name]])*(Table_Process_Details[[#This Row],[Input or Output]]="Input"),0),0))</f>
        <v>#N/A</v>
      </c>
      <c r="AJ43" s="128" t="e">
        <f>SQRT((Table_Process_Details[[#This Row],[X End (To Node Center)]]-Table_Process_Details[[#This Row],[X Guide]])^2+(Table_Process_Details[[#This Row],[Y End (to Node Center)]]-Table_Process_Details[[#This Row],[Y Guide]])^2)</f>
        <v>#N/A</v>
      </c>
      <c r="AK43" s="128" t="e" cm="1">
        <f t="array" ref="AK43">INDEX(Table_Process_Details[X Mover],MATCH(1,INDEX((Table_Process_Details[Step Name]=Table_Process_Details[[#This Row],[LCA Data Source Subclass]])*(Table_Process_Details[Input or Output]="Output"),0)*(Table_Process_Details[[#This Row],[Input or Output]]="Input"),0))</f>
        <v>#N/A</v>
      </c>
      <c r="AL43" s="128" t="e" cm="1">
        <f t="array" ref="AL43">INDEX(Table_Process_Details[X Mover],MATCH(1,INDEX(((Table_Process_Details[Table Row]=Table_Process_Details[[#This Row],[Table Row]])*(1)),0)*(Table_Process_Details[[#This Row],[Input or Output]]="Input"),0))</f>
        <v>#N/A</v>
      </c>
      <c r="AM43" s="128" t="e" cm="1">
        <f t="array" ref="AM43">(Table_Process_Details[[#This Row],[X End (To Node Center)]]*Table_Process_Details[[#This Row],[r0]]-Table_Process_Details[[#This Row],[X End (To Node Center)]]*Arrow_Offset+Table_Process_Details[[#This Row],[X Guide]]*Arrow_Offset)/Table_Process_Details[[#This Row],[r0]]</f>
        <v>#N/A</v>
      </c>
      <c r="AN43" s="128" t="e">
        <f>IF(NOT(Table_Process_Details[[#This Row],[Display As]]="None"),Table_Process_Details[[#This Row],[X Start Prefilter]],NA())</f>
        <v>#N/A</v>
      </c>
      <c r="AO43" s="128" t="e">
        <f>IF(NOT(Table_Process_Details[[#This Row],[Display As]]="None"),Table_Process_Details[[#This Row],[X Guide Prefilter]],NA())</f>
        <v>#N/A</v>
      </c>
      <c r="AP43" s="128" t="e">
        <f>IF(NOT(Table_Process_Details[[#This Row],[Display As]]="None"),Table_Process_Details[[#This Row],[X End (to Stop Radius) Prefilter]],NA())</f>
        <v>#N/A</v>
      </c>
      <c r="AQ43" s="128" t="e">
        <f>NA()</f>
        <v>#N/A</v>
      </c>
      <c r="AR43" s="128" t="e" cm="1">
        <f t="array" ref="AR43">INDEX(Table_Process_Details[Y Mover],MATCH(1,INDEX((Table_Process_Details[Step Name]=Table_Process_Details[[#This Row],[LCA Data Source Subclass]])*(Table_Process_Details[Input or Output]="Output"),0)*(Table_Process_Details[[#This Row],[Input or Output]]="Input"),0))</f>
        <v>#N/A</v>
      </c>
      <c r="AS43" s="128" t="e" cm="1">
        <f t="array" ref="AS43">INDEX(Table_Process_Details[Y Mover],MATCH(1,INDEX(((Table_Process_Details[Table Row]=Table_Process_Details[[#This Row],[Table Row]])*(1)),0)*(Table_Process_Details[[#This Row],[Input or Output]]="Input"),0))</f>
        <v>#N/A</v>
      </c>
      <c r="AT43" s="128" t="e" cm="1">
        <f t="array" ref="AT43">(Table_Process_Details[[#This Row],[Y Guide]]*Arrow_Offset-Table_Process_Details[[#This Row],[Y End (to Node Center)]]*Arrow_Offset+Table_Process_Details[[#This Row],[Y End (to Node Center)]]*Table_Process_Details[[#This Row],[r0]])/Table_Process_Details[[#This Row],[r0]]</f>
        <v>#N/A</v>
      </c>
      <c r="AU43" s="128" t="e">
        <f>IF(NOT(Table_Process_Details[[#This Row],[Display As]]="None"),Table_Process_Details[[#This Row],[Y Start Prefilter]],NA())</f>
        <v>#N/A</v>
      </c>
      <c r="AV43" s="128" t="e">
        <f>IF(NOT(Table_Process_Details[[#This Row],[Display As]]="None"),Table_Process_Details[[#This Row],[Y Guide Prefilter]],NA())</f>
        <v>#N/A</v>
      </c>
      <c r="AW43" s="128" t="e">
        <f>IF(NOT(Table_Process_Details[[#This Row],[Display As]]="None"),Table_Process_Details[[#This Row],[Y End (to Stop Radius) Prefilter]],NA())</f>
        <v>#N/A</v>
      </c>
      <c r="AX43" s="128" t="e">
        <f>NA()</f>
        <v>#N/A</v>
      </c>
      <c r="AY43" s="128" t="e">
        <f>IF(Table_Process_Details[[#This Row],[Display As]]="Real Step",Table_Process_Details[[#This Row],[X Mover]],NA())</f>
        <v>#N/A</v>
      </c>
      <c r="AZ43" s="128" t="e">
        <f>IF(Table_Process_Details[[#This Row],[Display As]]="Real Step",Table_Process_Details[[#This Row],[Y Mover]],NA())</f>
        <v>#N/A</v>
      </c>
      <c r="BA43" s="128">
        <f ca="1">IF(Table_Process_Details[[#This Row],[Display As]]="Raw Material",Table_Process_Details[[#This Row],[X Mover]],NA())</f>
        <v>-8.2138992091278542</v>
      </c>
      <c r="BB43" s="128">
        <f ca="1">IF(Table_Process_Details[[#This Row],[Display As]]="Raw Material",Table_Process_Details[[#This Row],[Y Mover]],NA())</f>
        <v>4.4543084341448207</v>
      </c>
      <c r="BC43" s="128">
        <f ca="1">IF(OR(Table_Process_Details[[#This Row],[Display As]]="Real Step",Table_Process_Details[[#This Row],[Display As]]="Raw Material"),Table_Process_Details[[#This Row],[X Mover]],NA())</f>
        <v>-8.2138992091278542</v>
      </c>
      <c r="BD43" s="128">
        <f ca="1">IF(OR(Table_Process_Details[[#This Row],[Display As]]="Real Step",Table_Process_Details[[#This Row],[Display As]]="Raw Material"),Table_Process_Details[[#This Row],[Y Mover]],NA())</f>
        <v>4.4543084341448207</v>
      </c>
      <c r="BE43" s="126">
        <f>ROW()-ROW(Table_Process_Details[[#Headers],[Table Row]])</f>
        <v>39</v>
      </c>
      <c r="BF43" s="122" t="str" cm="1">
        <f t="array" aca="1" ref="BF43" ca="1">INDEX(Table_Process_Details[Display Name],MATCH(0,IF(Table_Process_Details[Input or Output]="Input",INDEX(COUNTIF(OFFSET(Table_Process_Details[[#Headers],[Unique Process Inputs]],0,0,Table_Process_Details[[#This Row],[Table Row]],1),Table_Process_Details[Display Name]),),""),0))</f>
        <v>reagent J (inorganic)</v>
      </c>
      <c r="BG43" s="122">
        <f ca="1">Table_Process_Details[[#This Row],[Physical Mass (kg)]]*Table_Process_Details[[#This Row],[Step Scale Factor for 1kg Packaged API]]</f>
        <v>0.13980205111372709</v>
      </c>
      <c r="BH43"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3" s="122">
        <f ca="1">MATCH(Table_Process_Details[[#This Row],[LCA Data Source Class]],INDIRECT(Table_Process_Details[[#This Row],[Input or Output]]),0)</f>
        <v>1</v>
      </c>
      <c r="BJ43" s="122">
        <f ca="1">MATCH(Table_Process_Details[[#This Row],[LCA Data Source Subclass]],INDIRECT(Table_Process_Details[[#This Row],[LCA Data Source Class]]&amp;"[Name]"),0)</f>
        <v>1</v>
      </c>
      <c r="BK43" s="122">
        <f ca="1">IFERROR(INDEX(INDIRECT(Table_Process_Details[[#This Row],[LCA Data Source Class]]&amp;"[Mass Net (kg)]"),MATCH(Table_Process_Details[[#This Row],[LCA Data Source Subclass]],INDIRECT(Table_Process_Details[[#This Row],[LCA Data Source Class]]&amp;"[Name]"),0)),0)</f>
        <v>0</v>
      </c>
      <c r="BL43" s="122">
        <f ca="1">IFERROR(INDEX(INDIRECT(Table_Process_Details[[#This Row],[LCA Data Source Class]]&amp;"[Energy (MJ)]"),MATCH(Table_Process_Details[[#This Row],[LCA Data Source Subclass]],INDIRECT(Table_Process_Details[[#This Row],[LCA Data Source Class]]&amp;"[Name]"),0)),0)</f>
        <v>0</v>
      </c>
      <c r="BM43" s="122">
        <f ca="1">IFERROR(INDEX(INDIRECT(Table_Process_Details[[#This Row],[LCA Data Source Class]]&amp;"[GWP (kg CO2 equiv.)]"),MATCH(Table_Process_Details[[#This Row],[LCA Data Source Subclass]],INDIRECT(Table_Process_Details[[#This Row],[LCA Data Source Class]]&amp;"[Name]"),0)),0)</f>
        <v>0</v>
      </c>
      <c r="BN43" s="122">
        <f ca="1">IFERROR(INDEX(INDIRECT(Table_Process_Details[[#This Row],[LCA Data Source Class]]&amp;"[Acidification (kg SO2 equiv.)]"),MATCH(Table_Process_Details[[#This Row],[LCA Data Source Subclass]],INDIRECT(Table_Process_Details[[#This Row],[LCA Data Source Class]]&amp;"[Name]"),0)),0)</f>
        <v>0</v>
      </c>
      <c r="BO43" s="122">
        <f ca="1">IFERROR(INDEX(INDIRECT(Table_Process_Details[[#This Row],[LCA Data Source Class]]&amp;"[Eutrophication (kg posphate equiv.)]"),MATCH(Table_Process_Details[[#This Row],[LCA Data Source Subclass]],INDIRECT(Table_Process_Details[[#This Row],[LCA Data Source Class]]&amp;"[Name]"),0)),0)</f>
        <v>0</v>
      </c>
      <c r="BP43" s="122">
        <f ca="1">IFERROR(INDEX(INDIRECT(Table_Process_Details[[#This Row],[LCA Data Source Class]]&amp;"[Water (kg)]"),MATCH(Table_Process_Details[[#This Row],[LCA Data Source Subclass]],INDIRECT(Table_Process_Details[[#This Row],[LCA Data Source Class]]&amp;"[Name]"),0)),0)</f>
        <v>0</v>
      </c>
      <c r="BQ43" s="129">
        <f ca="1">(Table_Process_Details[[#This Row],[Input or Output]]="Input")*(Table_Process_Details[[#This Row],[LCA Data Source Class]]&lt;&gt;"Process_Steps")*Table_Process_Details[[#This Row],[Scaled Physical Mass per kg API for All Inputs &amp; Outputs]]</f>
        <v>0</v>
      </c>
      <c r="BR43" s="129">
        <f ca="1">(Table_Process_Details[[#This Row],[Material Class]]="REAGENT")*Table_Process_Details[[#This Row],[Physical Mass per kg API]]</f>
        <v>0</v>
      </c>
      <c r="BS43" s="129">
        <f ca="1">(Table_Process_Details[[#This Row],[Material Class]]="METAL")*Table_Process_Details[[#This Row],[Physical Mass per kg API]]</f>
        <v>0</v>
      </c>
      <c r="BT43" s="129">
        <f ca="1">(Table_Process_Details[[#This Row],[Material Class]]="SOLVENT")*Table_Process_Details[[#This Row],[Physical Mass per kg API]]</f>
        <v>0</v>
      </c>
      <c r="BU43" s="129">
        <f ca="1">(Table_Process_Details[[#This Row],[Material Class]]="WATER")*Table_Process_Details[[#This Row],[Physical Mass per kg API]]</f>
        <v>0</v>
      </c>
      <c r="BV43" s="129">
        <f ca="1">(Table_Process_Details[[#This Row],[Material Class]]="ENZ&amp;PLNT")*Table_Process_Details[[#This Row],[Physical Mass per kg API]]</f>
        <v>0</v>
      </c>
      <c r="BW43" s="129">
        <f ca="1">(Table_Process_Details[[#This Row],[Material Class]]="OTHER")*Table_Process_Details[[#This Row],[Physical Mass per kg API]]</f>
        <v>0</v>
      </c>
      <c r="BX43"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3"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3"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3"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3"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3"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3"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3" s="131">
        <f ca="1">SUMIFS(Table_Process_Details[RV Physical Mass per kg API],Table_Process_Details[Display Name],Table_Process_Details[[#This Row],[Unique Process Inputs]],Table_Process_Details[Input or Output],"Input")</f>
        <v>0</v>
      </c>
      <c r="CF43" s="131">
        <f ca="1">SUMIFS(Table_Process_Details[RV Physical Mass per kg API (REAGENT)],Table_Process_Details[Display Name],Table_Process_Details[[#This Row],[Unique Process Inputs]],Table_Process_Details[Input or Output],"Input")</f>
        <v>0</v>
      </c>
      <c r="CG43" s="131">
        <f ca="1">SUMIFS(Table_Process_Details[RV Physical Mass per kg API (METAL)],Table_Process_Details[Display Name],Table_Process_Details[[#This Row],[Unique Process Inputs]],Table_Process_Details[Input or Output],"Input")</f>
        <v>0</v>
      </c>
      <c r="CH43" s="131">
        <f ca="1">SUMIFS(Table_Process_Details[RV Physical Mass per kg API (SOLVENT)],Table_Process_Details[Display Name],Table_Process_Details[[#This Row],[Unique Process Inputs]],Table_Process_Details[Input or Output],"Input")</f>
        <v>0</v>
      </c>
      <c r="CI43" s="131">
        <f ca="1">SUMIFS(Table_Process_Details[RV Physical Mass per kg API (WATER)],Table_Process_Details[Display Name],Table_Process_Details[[#This Row],[Unique Process Inputs]],Table_Process_Details[Input or Output],"Input")</f>
        <v>0</v>
      </c>
      <c r="CJ43" s="131">
        <f ca="1">SUMIFS(Table_Process_Details[RV Physical Mass per kg API (ENZ&amp;PLNT)],Table_Process_Details[Display Name],Table_Process_Details[[#This Row],[Unique Process Inputs]],Table_Process_Details[Input or Output],"Input")</f>
        <v>0</v>
      </c>
      <c r="CK43" s="131">
        <f ca="1">SUMIFS(Table_Process_Details[RV Physical Mass per kg API (OTHER)],Table_Process_Details[Display Name],Table_Process_Details[[#This Row],[Unique Process Inputs]],Table_Process_Details[Input or Output],"Input")</f>
        <v>0</v>
      </c>
      <c r="CL43" s="126" t="e">
        <f ca="1">INDEX(Table_Process_Details[Unique Process Inputs],MATCH(Table_Process_Details[[#This Row],['[Physical Mass per kg API'] of Unique Inputs Sorted by '[Physical Mass per kg API']]],Table_Process_Details[Total '[Physical Mass per kg API'] of Unique Inputs],0))</f>
        <v>#N/A</v>
      </c>
      <c r="CM43" s="126" t="e">
        <f ca="1">IF(LARGE(Table_Process_Details[Total '[Physical Mass per kg API'] of Unique Inputs],Table_Process_Details[[#This Row],[Table Row]])=0,NA(),LARGE(Table_Process_Details[Total '[Physical Mass per kg API'] of Unique Inputs],Table_Process_Details[[#This Row],[Table Row]]))</f>
        <v>#N/A</v>
      </c>
      <c r="CN43" s="126" t="e">
        <f ca="1">SUM(OFFSET(Table_Process_Details['[Physical Mass per kg API'] of Unique Inputs Sorted by '[Physical Mass per kg API']],0,0,Table_Process_Details[[#This Row],[Table Row]]))</f>
        <v>#N/A</v>
      </c>
      <c r="CO43" s="126" t="e">
        <f ca="1">"("&amp;TEXT(Table_Process_Details[[#This Row],['[Physical Mass per kg API'] of Unique Inputs Sorted by '[Physical Mass per kg API']]]/SUMIF(Table_Process_Details['[Physical Mass per kg API'] of Unique Inputs Sorted by '[Physical Mass per kg API']],"&lt;&gt;#N/A"),"0%")&amp;")"</f>
        <v>#N/A</v>
      </c>
      <c r="CP43" s="126" t="e">
        <f ca="1">INDEX(Table_Process_Details[Total '[Physical Mass per kg API'] of Unique Inputs (REAGENT)],MATCH(Table_Process_Details[[#This Row],[Unique Inputs Sorted by '[Physical Mass per kg API']]],Table_Process_Details[Unique Process Inputs],0))</f>
        <v>#N/A</v>
      </c>
      <c r="CQ43" s="126" t="e">
        <f ca="1">INDEX(Table_Process_Details[Total '[Physical Mass per kg API'] of Unique Inputs (METAL)],MATCH(Table_Process_Details[[#This Row],[Unique Inputs Sorted by '[Physical Mass per kg API']]],Table_Process_Details[Unique Process Inputs],0))</f>
        <v>#N/A</v>
      </c>
      <c r="CR43" s="126" t="e">
        <f ca="1">INDEX(Table_Process_Details[Total '[Physical Mass per kg API'] of Unique Inputs (SOLVENT)],MATCH(Table_Process_Details[[#This Row],[Unique Inputs Sorted by '[Physical Mass per kg API']]],Table_Process_Details[Unique Process Inputs],0))</f>
        <v>#N/A</v>
      </c>
      <c r="CS43" s="126" t="e">
        <f ca="1">INDEX(Table_Process_Details[Total '[Physical Mass per kg API'] of Unique Inputs (WATER)],MATCH(Table_Process_Details[[#This Row],[Unique Inputs Sorted by '[Physical Mass per kg API']]],Table_Process_Details[Unique Process Inputs],0))</f>
        <v>#N/A</v>
      </c>
      <c r="CT43" s="126" t="e">
        <f ca="1">INDEX(Table_Process_Details[Total '[Physical Mass per kg API'] of Unique Inputs (ENZ&amp;PLNT)],MATCH(Table_Process_Details[[#This Row],[Unique Inputs Sorted by '[Physical Mass per kg API']]],Table_Process_Details[Unique Process Inputs],0))</f>
        <v>#N/A</v>
      </c>
      <c r="CU43" s="126" t="e">
        <f ca="1">INDEX(Table_Process_Details[Total '[Physical Mass per kg API'] of Unique Inputs (OTHER)],MATCH(Table_Process_Details[[#This Row],[Unique Inputs Sorted by '[Physical Mass per kg API']]],Table_Process_Details[Unique Process Inputs],0))</f>
        <v>#N/A</v>
      </c>
      <c r="CV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3"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3" s="126">
        <f ca="1">SUMIFS(Table_Process_Details[RV Mass Net (kg) per kg API],Table_Process_Details[Display Name],Table_Process_Details[[#This Row],[Unique Process Inputs]],Table_Process_Details[Input or Output],"Input")</f>
        <v>0</v>
      </c>
      <c r="DD43" s="126">
        <f ca="1">SUMIFS(Table_Process_Details[RV Mass Net (kg) per kg API (REAGENT)],Table_Process_Details[Display Name],Table_Process_Details[[#This Row],[Unique Process Inputs]],Table_Process_Details[Input or Output],"Input")</f>
        <v>0</v>
      </c>
      <c r="DE43" s="126">
        <f ca="1">SUMIFS(Table_Process_Details[RV Mass Net (kg) per kg API (METAL)],Table_Process_Details[Display Name],Table_Process_Details[[#This Row],[Unique Process Inputs]],Table_Process_Details[Input or Output],"Input")</f>
        <v>0</v>
      </c>
      <c r="DF43" s="126">
        <f ca="1">SUMIFS(Table_Process_Details[RV Mass Net (kg) per kg API (SOLVENT)],Table_Process_Details[Display Name],Table_Process_Details[[#This Row],[Unique Process Inputs]],Table_Process_Details[Input or Output],"Input")</f>
        <v>0</v>
      </c>
      <c r="DG43" s="126">
        <f ca="1">SUMIFS(Table_Process_Details[RV Mass Net (kg) per kg API (WATER)],Table_Process_Details[Display Name],Table_Process_Details[[#This Row],[Unique Process Inputs]],Table_Process_Details[Input or Output],"Input")</f>
        <v>0</v>
      </c>
      <c r="DH43" s="126">
        <f ca="1">SUMIFS(Table_Process_Details[RV Mass Net (kg) per kg API (ENZ&amp;PLNT)],Table_Process_Details[Display Name],Table_Process_Details[[#This Row],[Unique Process Inputs]],Table_Process_Details[Input or Output],"Input")</f>
        <v>0</v>
      </c>
      <c r="DI43" s="126">
        <f ca="1">SUMIFS(Table_Process_Details[RV Mass Net (kg) per kg API (OTHER)],Table_Process_Details[Display Name],Table_Process_Details[[#This Row],[Unique Process Inputs]],Table_Process_Details[Input or Output],"Input")</f>
        <v>0</v>
      </c>
      <c r="DJ43" s="126" t="e">
        <f ca="1">INDEX(Table_Process_Details[Unique Process Inputs],MATCH(Table_Process_Details[[#This Row],['[Mass Net (kg) per kg API'] of Unique Inputs Sorted by '[Mass Net (kg) per kg API']]],Table_Process_Details[Total '[Mass Net (kg) per kg API'] of Unique Inputs],0))</f>
        <v>#N/A</v>
      </c>
      <c r="DK43" s="126" t="e">
        <f ca="1">IF(LARGE(Table_Process_Details[Total '[Mass Net (kg) per kg API'] of Unique Inputs],Table_Process_Details[[#This Row],[Table Row]])=0,NA(),LARGE(Table_Process_Details[Total '[Mass Net (kg) per kg API'] of Unique Inputs],Table_Process_Details[[#This Row],[Table Row]]))</f>
        <v>#N/A</v>
      </c>
      <c r="DL43" s="126" t="e">
        <f ca="1">SUM(OFFSET(Table_Process_Details['[Mass Net (kg) per kg API'] of Unique Inputs Sorted by '[Mass Net (kg) per kg API']],0,0,Table_Process_Details[[#This Row],[Table Row]]))</f>
        <v>#N/A</v>
      </c>
      <c r="DM43" s="126" t="e">
        <f ca="1">"("&amp;TEXT(Table_Process_Details[[#This Row],['[Mass Net (kg) per kg API'] of Unique Inputs Sorted by '[Mass Net (kg) per kg API']]]/SUMIF(Table_Process_Details['[Mass Net (kg) per kg API'] of Unique Inputs Sorted by '[Mass Net (kg) per kg API']],"&lt;&gt;#N/A"),"0%")&amp;")"</f>
        <v>#N/A</v>
      </c>
      <c r="DN43" s="126" t="e">
        <f ca="1">INDEX(Table_Process_Details[Total '[Mass Net (kg) per kg API'] of Unique Inputs (REAGENT)], MATCH(Table_Process_Details[[#This Row],[Unique Inputs Sorted by '[Mass Net (kg) per kg API']]],Table_Process_Details[Unique Process Inputs],0))</f>
        <v>#N/A</v>
      </c>
      <c r="DO43" s="126" t="e">
        <f ca="1">INDEX(Table_Process_Details[Total '[Mass Net (kg) per kg API'] of Unique Inputs (METAL)], MATCH(Table_Process_Details[[#This Row],[Unique Inputs Sorted by '[Mass Net (kg) per kg API']]],Table_Process_Details[Unique Process Inputs],0))</f>
        <v>#N/A</v>
      </c>
      <c r="DP43" s="126" t="e">
        <f ca="1">INDEX(Table_Process_Details[Total '[Mass Net (kg) per kg API'] of Unique Inputs (SOLVENT)], MATCH(Table_Process_Details[[#This Row],[Unique Inputs Sorted by '[Mass Net (kg) per kg API']]],Table_Process_Details[Unique Process Inputs],0))</f>
        <v>#N/A</v>
      </c>
      <c r="DQ43" s="126" t="e">
        <f ca="1">INDEX(Table_Process_Details[Total '[Mass Net (kg) per kg API'] of Unique Inputs (WATER)], MATCH(Table_Process_Details[[#This Row],[Unique Inputs Sorted by '[Mass Net (kg) per kg API']]],Table_Process_Details[Unique Process Inputs],0))</f>
        <v>#N/A</v>
      </c>
      <c r="DR43" s="126" t="e">
        <f ca="1">INDEX(Table_Process_Details[Total '[Mass Net (kg) per kg API'] of Unique Inputs (ENZ&amp;PLNT)], MATCH(Table_Process_Details[[#This Row],[Unique Inputs Sorted by '[Mass Net (kg) per kg API']]],Table_Process_Details[Unique Process Inputs],0))</f>
        <v>#N/A</v>
      </c>
      <c r="DS43" s="126" t="e">
        <f ca="1">INDEX(Table_Process_Details[Total '[Mass Net (kg) per kg API'] of Unique Inputs (OTHER)], MATCH(Table_Process_Details[[#This Row],[Unique Inputs Sorted by '[Mass Net (kg) per kg API']]],Table_Process_Details[Unique Process Inputs],0))</f>
        <v>#N/A</v>
      </c>
      <c r="DT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3"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3" s="131">
        <f ca="1">SUMIFS(Table_Process_Details[RV Energy (MJ) per kg API],Table_Process_Details[Display Name],Table_Process_Details[[#This Row],[Unique Process Inputs]],Table_Process_Details[Input or Output],"Input")</f>
        <v>0</v>
      </c>
      <c r="EB43" s="131">
        <f ca="1">SUMIFS(Table_Process_Details[RV Energy (MJ) per kg API (REAGENT)],Table_Process_Details[Display Name],Table_Process_Details[[#This Row],[Unique Process Inputs]],Table_Process_Details[Input or Output],"Input")</f>
        <v>0</v>
      </c>
      <c r="EC43" s="131">
        <f ca="1">SUMIFS(Table_Process_Details[RV Energy (MJ) per kg API (METAL)],Table_Process_Details[Display Name],Table_Process_Details[[#This Row],[Unique Process Inputs]],Table_Process_Details[Input or Output],"Input")</f>
        <v>0</v>
      </c>
      <c r="ED43" s="131">
        <f ca="1">SUMIFS(Table_Process_Details[RV Energy (MJ) per kg API (SOLVENT)],Table_Process_Details[Display Name],Table_Process_Details[[#This Row],[Unique Process Inputs]],Table_Process_Details[Input or Output],"Input")</f>
        <v>0</v>
      </c>
      <c r="EE43" s="131">
        <f ca="1">SUMIFS(Table_Process_Details[RV Energy (MJ) per kg API (WATER)],Table_Process_Details[Display Name],Table_Process_Details[[#This Row],[Unique Process Inputs]],Table_Process_Details[Input or Output],"Input")</f>
        <v>0</v>
      </c>
      <c r="EF43" s="131">
        <f ca="1">SUMIFS(Table_Process_Details[RV Energy (MJ) per kg API (ENZ&amp;PLNT)],Table_Process_Details[Display Name],Table_Process_Details[[#This Row],[Unique Process Inputs]],Table_Process_Details[Input or Output],"Input")</f>
        <v>0</v>
      </c>
      <c r="EG43" s="131">
        <f ca="1">SUMIFS(Table_Process_Details[RV Energy (MJ) per kg API (OTHER)],Table_Process_Details[Display Name],Table_Process_Details[[#This Row],[Unique Process Inputs]],Table_Process_Details[Input or Output],"Input")</f>
        <v>0</v>
      </c>
      <c r="EH43" s="131" t="e">
        <f ca="1">INDEX(Table_Process_Details[Unique Process Inputs],MATCH(Table_Process_Details[[#This Row],['[Energy (MJ) per kg API'] of Unique Inputs Sorted by '[Energy (MJ) per kg API']]],Table_Process_Details[Total '[Energy (MJ) per kg API'] of Unique Inputs],0))</f>
        <v>#N/A</v>
      </c>
      <c r="EI43" s="126" t="e">
        <f ca="1">IF(LARGE(Table_Process_Details[Total '[Energy (MJ) per kg API'] of Unique Inputs],Table_Process_Details[[#This Row],[Table Row]])=0,NA(),LARGE(Table_Process_Details[Total '[Energy (MJ) per kg API'] of Unique Inputs],Table_Process_Details[[#This Row],[Table Row]]))</f>
        <v>#N/A</v>
      </c>
      <c r="EJ43" s="126" t="e">
        <f ca="1">SUM(OFFSET(Table_Process_Details['[Energy (MJ) per kg API'] of Unique Inputs Sorted by '[Energy (MJ) per kg API']],0,0,Table_Process_Details[[#This Row],[Table Row]]))</f>
        <v>#N/A</v>
      </c>
      <c r="EK43" s="126" t="e">
        <f ca="1">"("&amp;TEXT(Table_Process_Details[[#This Row],['[Energy (MJ) per kg API'] of Unique Inputs Sorted by '[Energy (MJ) per kg API']]]/SUMIF(Table_Process_Details['[Energy (MJ) per kg API'] of Unique Inputs Sorted by '[Energy (MJ) per kg API']],"&lt;&gt;#N/A"),"0%")&amp;")"</f>
        <v>#N/A</v>
      </c>
      <c r="EL43" s="126" t="e">
        <f ca="1">INDEX(Table_Process_Details[Total '[Energy (MJ) per kg API'] of Unique Inputs (REAGENT)], MATCH(Table_Process_Details[[#This Row],[Unique Inputs Sorted by '[Energy (MJ) per kg API']]],Table_Process_Details[Unique Process Inputs],0))</f>
        <v>#N/A</v>
      </c>
      <c r="EM43" s="126" t="e">
        <f ca="1">INDEX(Table_Process_Details[Total '[Energy (MJ) per kg API'] of Unique Inputs (METAL)], MATCH(Table_Process_Details[[#This Row],[Unique Inputs Sorted by '[Energy (MJ) per kg API']]],Table_Process_Details[Unique Process Inputs],0))</f>
        <v>#N/A</v>
      </c>
      <c r="EN43" s="126" t="e">
        <f ca="1">INDEX(Table_Process_Details[Total '[Energy (MJ) per kg API'] of Unique Inputs (SOLVENT)], MATCH(Table_Process_Details[[#This Row],[Unique Inputs Sorted by '[Energy (MJ) per kg API']]],Table_Process_Details[Unique Process Inputs],0))</f>
        <v>#N/A</v>
      </c>
      <c r="EO43" s="126" t="e">
        <f ca="1">INDEX(Table_Process_Details[Total '[Energy (MJ) per kg API'] of Unique Inputs (WATER)], MATCH(Table_Process_Details[[#This Row],[Unique Inputs Sorted by '[Energy (MJ) per kg API']]],Table_Process_Details[Unique Process Inputs],0))</f>
        <v>#N/A</v>
      </c>
      <c r="EP43" s="126" t="e">
        <f ca="1">INDEX(Table_Process_Details[Total '[Energy (MJ) per kg API'] of Unique Inputs (ENZ&amp;PLNT)], MATCH(Table_Process_Details[[#This Row],[Unique Inputs Sorted by '[Energy (MJ) per kg API']]],Table_Process_Details[Unique Process Inputs],0))</f>
        <v>#N/A</v>
      </c>
      <c r="EQ43" s="126" t="e">
        <f ca="1">INDEX(Table_Process_Details[Total '[Energy (MJ) per kg API'] of Unique Inputs (OTHER)], MATCH(Table_Process_Details[[#This Row],[Unique Inputs Sorted by '[Energy (MJ) per kg API']]],Table_Process_Details[Unique Process Inputs],0))</f>
        <v>#N/A</v>
      </c>
      <c r="ER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3"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3" s="126">
        <f ca="1">SUMIFS(Table_Process_Details[RV GWP (kg CO2 equiv.) per kg API],Table_Process_Details[Display Name],Table_Process_Details[[#This Row],[Unique Process Inputs]],Table_Process_Details[Input or Output],"Input")</f>
        <v>0</v>
      </c>
      <c r="EZ43" s="131">
        <f ca="1">SUMIFS(Table_Process_Details[RV GWP (kg CO2 equiv.) per kg API (REAGENT)],Table_Process_Details[Display Name],Table_Process_Details[[#This Row],[Unique Process Inputs]],Table_Process_Details[Input or Output],"Input")</f>
        <v>0</v>
      </c>
      <c r="FA43" s="131">
        <f ca="1">SUMIFS(Table_Process_Details[RV GWP (kg CO2 equiv.) per kg API (METAL)],Table_Process_Details[Display Name],Table_Process_Details[[#This Row],[Unique Process Inputs]],Table_Process_Details[Input or Output],"Input")</f>
        <v>0</v>
      </c>
      <c r="FB43" s="131">
        <f ca="1">SUMIFS(Table_Process_Details[RV GWP (kg CO2 equiv.) per kg API (SOLVENT)],Table_Process_Details[Display Name],Table_Process_Details[[#This Row],[Unique Process Inputs]],Table_Process_Details[Input or Output],"Input")</f>
        <v>0</v>
      </c>
      <c r="FC43" s="131">
        <f ca="1">SUMIFS(Table_Process_Details[RV GWP (kg CO2 equiv.) per kg API (WATER)],Table_Process_Details[Display Name],Table_Process_Details[[#This Row],[Unique Process Inputs]],Table_Process_Details[Input or Output],"Input")</f>
        <v>0</v>
      </c>
      <c r="FD43" s="131">
        <f ca="1">SUMIFS(Table_Process_Details[RV GWP (kg CO2 equiv.) per kg API (ENZ&amp;PLNT)],Table_Process_Details[Display Name],Table_Process_Details[[#This Row],[Unique Process Inputs]],Table_Process_Details[Input or Output],"Input")</f>
        <v>0</v>
      </c>
      <c r="FE43" s="131">
        <f ca="1">SUMIFS(Table_Process_Details[RV GWP (kg CO2 equiv.) per kg API (OTHER)],Table_Process_Details[Display Name],Table_Process_Details[[#This Row],[Unique Process Inputs]],Table_Process_Details[Input or Output],"Input")</f>
        <v>0</v>
      </c>
      <c r="FF43" s="126" t="e">
        <f ca="1">INDEX(Table_Process_Details[Unique Process Inputs],MATCH(Table_Process_Details[[#This Row],['[GWP (kg CO2 equiv.) per kg API'] of Unique Inputs Sorted by '[GWP (kg CO2 equiv.) per kg API']]],Table_Process_Details[Total '[GWP (kg CO2 equiv.) per kg API'] of Unique Inputs],0))</f>
        <v>#N/A</v>
      </c>
      <c r="FG43" s="126" t="e">
        <f ca="1">IF(LARGE(Table_Process_Details[Total '[GWP (kg CO2 equiv.) per kg API'] of Unique Inputs],Table_Process_Details[[#This Row],[Table Row]])=0,NA(),LARGE(Table_Process_Details[Total '[GWP (kg CO2 equiv.) per kg API'] of Unique Inputs],Table_Process_Details[[#This Row],[Table Row]]))</f>
        <v>#N/A</v>
      </c>
      <c r="FH43" s="126" t="e">
        <f ca="1">SUM(OFFSET(Table_Process_Details['[GWP (kg CO2 equiv.) per kg API'] of Unique Inputs Sorted by '[GWP (kg CO2 equiv.) per kg API']],0,0,Table_Process_Details[[#This Row],[Table Row]]))</f>
        <v>#N/A</v>
      </c>
      <c r="FI43" s="126" t="e">
        <f ca="1">"("&amp;TEXT(Table_Process_Details[[#This Row],['[GWP (kg CO2 equiv.) per kg API'] of Unique Inputs Sorted by '[GWP (kg CO2 equiv.) per kg API']]]/SUMIF(Table_Process_Details['[GWP (kg CO2 equiv.) per kg API'] of Unique Inputs Sorted by '[GWP (kg CO2 equiv.) per kg API']],"&lt;&gt;#N/A"),"0%")&amp;")"</f>
        <v>#N/A</v>
      </c>
      <c r="FJ43" s="126" t="e">
        <f ca="1">INDEX(Table_Process_Details[Total '[GWP (kg CO2 equiv.) per kg API'] of Unique Inputs (REAGENT)], MATCH(Table_Process_Details[[#This Row],[Unique Inputs Sorted by '[GWP (kg CO2 equiv.) per kg API']]],Table_Process_Details[Unique Process Inputs],0))</f>
        <v>#N/A</v>
      </c>
      <c r="FK43" s="126" t="e">
        <f ca="1">INDEX(Table_Process_Details[Total '[GWP (kg CO2 equiv.) per kg API'] of Unique Inputs (METAL)], MATCH(Table_Process_Details[[#This Row],[Unique Inputs Sorted by '[GWP (kg CO2 equiv.) per kg API']]],Table_Process_Details[Unique Process Inputs],0))</f>
        <v>#N/A</v>
      </c>
      <c r="FL43" s="126" t="e">
        <f ca="1">INDEX(Table_Process_Details[Total '[GWP (kg CO2 equiv.) per kg API'] of Unique Inputs (SOLVENT)], MATCH(Table_Process_Details[[#This Row],[Unique Inputs Sorted by '[GWP (kg CO2 equiv.) per kg API']]],Table_Process_Details[Unique Process Inputs],0))</f>
        <v>#N/A</v>
      </c>
      <c r="FM43" s="126" t="e">
        <f ca="1">INDEX(Table_Process_Details[Total '[GWP (kg CO2 equiv.) per kg API'] of Unique Inputs (WATER)], MATCH(Table_Process_Details[[#This Row],[Unique Inputs Sorted by '[GWP (kg CO2 equiv.) per kg API']]],Table_Process_Details[Unique Process Inputs],0))</f>
        <v>#N/A</v>
      </c>
      <c r="FN43" s="126" t="e">
        <f ca="1">INDEX(Table_Process_Details[Total '[GWP (kg CO2 equiv.) per kg API'] of Unique Inputs (ENZ&amp;PLNT)], MATCH(Table_Process_Details[[#This Row],[Unique Inputs Sorted by '[GWP (kg CO2 equiv.) per kg API']]],Table_Process_Details[Unique Process Inputs],0))</f>
        <v>#N/A</v>
      </c>
      <c r="FO43" s="126" t="e">
        <f ca="1">INDEX(Table_Process_Details[Total '[GWP (kg CO2 equiv.) per kg API'] of Unique Inputs (OTHER)], MATCH(Table_Process_Details[[#This Row],[Unique Inputs Sorted by '[GWP (kg CO2 equiv.) per kg API']]],Table_Process_Details[Unique Process Inputs],0))</f>
        <v>#N/A</v>
      </c>
      <c r="FP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3"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3" s="126">
        <f ca="1">SUMIFS(Table_Process_Details[RV Acidification (kg SO2 equiv.) per kg API],Table_Process_Details[Display Name],Table_Process_Details[[#This Row],[Unique Process Inputs]],Table_Process_Details[Input or Output],"Input")</f>
        <v>0</v>
      </c>
      <c r="FX43" s="131">
        <f ca="1">SUMIFS(Table_Process_Details[RV Acidification (kg SO2 equiv.) per kg API (REAGENT)],Table_Process_Details[Display Name],Table_Process_Details[[#This Row],[Unique Process Inputs]],Table_Process_Details[Input or Output],"Input")</f>
        <v>0</v>
      </c>
      <c r="FY43" s="131">
        <f ca="1">SUMIFS(Table_Process_Details[RV Acidification (kg SO2 equiv.) per kg API (METAL)],Table_Process_Details[Display Name],Table_Process_Details[[#This Row],[Unique Process Inputs]],Table_Process_Details[Input or Output],"Input")</f>
        <v>0</v>
      </c>
      <c r="FZ43" s="131">
        <f ca="1">SUMIFS(Table_Process_Details[RV Acidification (kg SO2 equiv.) per kg API (SOLVENT)],Table_Process_Details[Display Name],Table_Process_Details[[#This Row],[Unique Process Inputs]],Table_Process_Details[Input or Output],"Input")</f>
        <v>0</v>
      </c>
      <c r="GA43" s="131">
        <f ca="1">SUMIFS(Table_Process_Details[RV Acidification (kg SO2 equiv.) per kg API (WATER)],Table_Process_Details[Display Name],Table_Process_Details[[#This Row],[Unique Process Inputs]],Table_Process_Details[Input or Output],"Input")</f>
        <v>0</v>
      </c>
      <c r="GB43" s="131">
        <f ca="1">SUMIFS(Table_Process_Details[RV Acidification (kg SO2 equiv.) per kg API (ENZ&amp;PLNT)],Table_Process_Details[Display Name],Table_Process_Details[[#This Row],[Unique Process Inputs]],Table_Process_Details[Input or Output],"Input")</f>
        <v>0</v>
      </c>
      <c r="GC43" s="131">
        <f ca="1">SUMIFS(Table_Process_Details[RV Acidification (kg SO2 equiv.) per kg API (OTHER)],Table_Process_Details[Display Name],Table_Process_Details[[#This Row],[Unique Process Inputs]],Table_Process_Details[Input or Output],"Input")</f>
        <v>0</v>
      </c>
      <c r="GD43"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3"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43" s="126" t="e">
        <f ca="1">SUM(OFFSET(Table_Process_Details['[Acidification (kg SO2 equiv.) per kg API'] of Unique Inputs Sorted by '[Acidification (kg SO2 equiv.) per kg API']],0,0,Table_Process_Details[[#This Row],[Table Row]]))</f>
        <v>#N/A</v>
      </c>
      <c r="GG43"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3" s="126" t="e">
        <f ca="1">INDEX(Table_Process_Details[Total '[Acidification (kg SO2 equiv.) per kg API'] of Unique Inputs (REAGENT)], MATCH(Table_Process_Details[[#This Row],[Unique Inputs Sorted by '[Acidification (kg SO2 equiv.) per kg API']]],Table_Process_Details[Unique Process Inputs],0))</f>
        <v>#N/A</v>
      </c>
      <c r="GI43" s="126" t="e">
        <f ca="1">INDEX(Table_Process_Details[Total '[Acidification (kg SO2 equiv.) per kg API'] of Unique Inputs (METAL)], MATCH(Table_Process_Details[[#This Row],[Unique Inputs Sorted by '[Acidification (kg SO2 equiv.) per kg API']]],Table_Process_Details[Unique Process Inputs],0))</f>
        <v>#N/A</v>
      </c>
      <c r="GJ43" s="126" t="e">
        <f ca="1">INDEX(Table_Process_Details[Total '[Acidification (kg SO2 equiv.) per kg API'] of Unique Inputs (SOLVENT)], MATCH(Table_Process_Details[[#This Row],[Unique Inputs Sorted by '[Acidification (kg SO2 equiv.) per kg API']]],Table_Process_Details[Unique Process Inputs],0))</f>
        <v>#N/A</v>
      </c>
      <c r="GK43" s="126" t="e">
        <f ca="1">INDEX(Table_Process_Details[Total '[Acidification (kg SO2 equiv.) per kg API'] of Unique Inputs (WATER)], MATCH(Table_Process_Details[[#This Row],[Unique Inputs Sorted by '[Acidification (kg SO2 equiv.) per kg API']]],Table_Process_Details[Unique Process Inputs],0))</f>
        <v>#N/A</v>
      </c>
      <c r="GL43" s="126" t="e">
        <f ca="1">INDEX(Table_Process_Details[Total '[Acidification (kg SO2 equiv.) per kg API'] of Unique Inputs (ENZ&amp;PLNT)], MATCH(Table_Process_Details[[#This Row],[Unique Inputs Sorted by '[Acidification (kg SO2 equiv.) per kg API']]],Table_Process_Details[Unique Process Inputs],0))</f>
        <v>#N/A</v>
      </c>
      <c r="GM43" s="126" t="e">
        <f ca="1">INDEX(Table_Process_Details[Total '[Acidification (kg SO2 equiv.) per kg API'] of Unique Inputs (OTHER)], MATCH(Table_Process_Details[[#This Row],[Unique Inputs Sorted by '[Acidification (kg SO2 equiv.) per kg API']]],Table_Process_Details[Unique Process Inputs],0))</f>
        <v>#N/A</v>
      </c>
      <c r="GN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3"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3" s="126">
        <f ca="1">SUMIFS(Table_Process_Details[RV Eutrophication (kg phosphate equiv.) per kg API],Table_Process_Details[Display Name],Table_Process_Details[[#This Row],[Unique Process Inputs]],Table_Process_Details[Input or Output],"Input")</f>
        <v>0</v>
      </c>
      <c r="GV43" s="131">
        <f ca="1">SUMIFS(Table_Process_Details[RV Eutrophication (kg phosphate equiv.) per kg API (REAGENT)],Table_Process_Details[Display Name],Table_Process_Details[[#This Row],[Unique Process Inputs]],Table_Process_Details[Input or Output],"Input")</f>
        <v>0</v>
      </c>
      <c r="GW43" s="131">
        <f ca="1">SUMIFS(Table_Process_Details[RV Eutrophication (kg phosphate equiv.) per kg API (METAL)],Table_Process_Details[Display Name],Table_Process_Details[[#This Row],[Unique Process Inputs]],Table_Process_Details[Input or Output],"Input")</f>
        <v>0</v>
      </c>
      <c r="GX43" s="131">
        <f ca="1">SUMIFS(Table_Process_Details[RV Eutrophication (kg phosphate equiv.) per kg API (SOLVENT)],Table_Process_Details[Display Name],Table_Process_Details[[#This Row],[Unique Process Inputs]],Table_Process_Details[Input or Output],"Input")</f>
        <v>0</v>
      </c>
      <c r="GY43" s="131">
        <f ca="1">SUMIFS(Table_Process_Details[RV Eutrophication (kg phosphate equiv.) per kg API (WATER)],Table_Process_Details[Display Name],Table_Process_Details[[#This Row],[Unique Process Inputs]],Table_Process_Details[Input or Output],"Input")</f>
        <v>0</v>
      </c>
      <c r="GZ43" s="131">
        <f ca="1">SUMIFS(Table_Process_Details[RV Eutrophication (kg phosphate equiv.) per kg API (ENZ&amp;PLNT)],Table_Process_Details[Display Name],Table_Process_Details[[#This Row],[Unique Process Inputs]],Table_Process_Details[Input or Output],"Input")</f>
        <v>0</v>
      </c>
      <c r="HA43" s="131">
        <f ca="1">SUMIFS(Table_Process_Details[RV Eutrophication (kg phosphate equiv.) per kg API (OTHER)],Table_Process_Details[Display Name],Table_Process_Details[[#This Row],[Unique Process Inputs]],Table_Process_Details[Input or Output],"Input")</f>
        <v>0</v>
      </c>
      <c r="HB43"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3"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3" s="126" t="e">
        <f ca="1">SUM(OFFSET(Table_Process_Details['[Eutrophication (kg posphate equiv.) per kg API'] of Unique Inputs Sorted by '[Eutrophication (kg posphate equiv.) per kg API']],0,0,Table_Process_Details[[#This Row],[Table Row]]))</f>
        <v>#N/A</v>
      </c>
      <c r="HE43"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3" s="131" t="e">
        <f ca="1">INDEX(Table_Process_Details[Total '[Eutrophication (kg posphate equiv.) per kg API'] of Unique Inputs (REAGENT)], MATCH(Table_Process_Details[[#This Row],[Unique Inputs Sorted by '[Eutrophication (kg posphate equiv.) per kg API']]],Table_Process_Details[Unique Process Inputs],0))</f>
        <v>#N/A</v>
      </c>
      <c r="HG43" s="131" t="e">
        <f ca="1">INDEX(Table_Process_Details[Total '[Eutrophication (kg posphate equiv.) per kg API'] of Unique Inputs (METAL)], MATCH(Table_Process_Details[[#This Row],[Unique Inputs Sorted by '[Eutrophication (kg posphate equiv.) per kg API']]],Table_Process_Details[Unique Process Inputs],0))</f>
        <v>#N/A</v>
      </c>
      <c r="HH43" s="131" t="e">
        <f ca="1">INDEX(Table_Process_Details[Total '[Eutrophication (kg posphate equiv.) per kg API'] of Unique Inputs (SOLVENT)], MATCH(Table_Process_Details[[#This Row],[Unique Inputs Sorted by '[Eutrophication (kg posphate equiv.) per kg API']]],Table_Process_Details[Unique Process Inputs],0))</f>
        <v>#N/A</v>
      </c>
      <c r="HI43" s="131" t="e">
        <f ca="1">INDEX(Table_Process_Details[Total '[Eutrophication (kg posphate equiv.) per kg API'] of Unique Inputs (WATER)], MATCH(Table_Process_Details[[#This Row],[Unique Inputs Sorted by '[Eutrophication (kg posphate equiv.) per kg API']]],Table_Process_Details[Unique Process Inputs],0))</f>
        <v>#N/A</v>
      </c>
      <c r="HJ43" s="131" t="e">
        <f ca="1">INDEX(Table_Process_Details[Total '[Eutrophication (kg posphate equiv.) per kg API'] of Unique Inputs (ENZ&amp;PLNT)], MATCH(Table_Process_Details[[#This Row],[Unique Inputs Sorted by '[Eutrophication (kg posphate equiv.) per kg API']]],Table_Process_Details[Unique Process Inputs],0))</f>
        <v>#N/A</v>
      </c>
      <c r="HK43" s="131" t="e">
        <f ca="1">INDEX(Table_Process_Details[Total '[Eutrophication (kg posphate equiv.) per kg API'] of Unique Inputs (OTHER)], MATCH(Table_Process_Details[[#This Row],[Unique Inputs Sorted by '[Eutrophication (kg posphate equiv.) per kg API']]],Table_Process_Details[Unique Process Inputs],0))</f>
        <v>#N/A</v>
      </c>
      <c r="HL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3"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3" s="131">
        <f ca="1">SUMIFS(Table_Process_Details[RV Water (kg) per kg API],Table_Process_Details[Display Name],Table_Process_Details[[#This Row],[Unique Process Inputs]],Table_Process_Details[Input or Output],"Input")</f>
        <v>0</v>
      </c>
      <c r="HT43" s="131">
        <f ca="1">SUMIFS(Table_Process_Details[RV Water (kg) per kg API (REAGENT)],Table_Process_Details[Display Name],Table_Process_Details[[#This Row],[Unique Process Inputs]],Table_Process_Details[Input or Output],"Input")</f>
        <v>0</v>
      </c>
      <c r="HU43" s="131">
        <f ca="1">SUMIFS(Table_Process_Details[RV Water (kg) per kg API (METAL)],Table_Process_Details[Display Name],Table_Process_Details[[#This Row],[Unique Process Inputs]],Table_Process_Details[Input or Output],"Input")</f>
        <v>0</v>
      </c>
      <c r="HV43" s="131">
        <f ca="1">SUMIFS(Table_Process_Details[RV Water (kg) per kg API (SOLVENT)],Table_Process_Details[Display Name],Table_Process_Details[[#This Row],[Unique Process Inputs]],Table_Process_Details[Input or Output],"Input")</f>
        <v>0</v>
      </c>
      <c r="HW43" s="131">
        <f ca="1">SUMIFS(Table_Process_Details[RV Water (kg) per kg API (WATER)],Table_Process_Details[Display Name],Table_Process_Details[[#This Row],[Unique Process Inputs]],Table_Process_Details[Input or Output],"Input")</f>
        <v>0</v>
      </c>
      <c r="HX43" s="131">
        <f ca="1">SUMIFS(Table_Process_Details[RV Water (kg) per kg API (ENZ&amp;PLNT)],Table_Process_Details[Display Name],Table_Process_Details[[#This Row],[Unique Process Inputs]],Table_Process_Details[Input or Output],"Input")</f>
        <v>0</v>
      </c>
      <c r="HY43" s="131">
        <f ca="1">SUMIFS(Table_Process_Details[RV Water (kg) per kg API (OTHER)],Table_Process_Details[Display Name],Table_Process_Details[[#This Row],[Unique Process Inputs]],Table_Process_Details[Input or Output],"Input")</f>
        <v>0</v>
      </c>
      <c r="HZ43" s="126" t="e">
        <f ca="1">INDEX(Table_Process_Details[Unique Process Inputs],MATCH(Table_Process_Details[[#This Row],['[Water (kg) per kg API'] of Unique Inputs Sorted by '[Water (kg) per kg API']]],Table_Process_Details[Total '[Water (kg) per kg API'] of Unique Inputs],0))</f>
        <v>#N/A</v>
      </c>
      <c r="IA43" s="126" t="e">
        <f ca="1">IF(LARGE(Table_Process_Details[Total '[Water (kg) per kg API'] of Unique Inputs],Table_Process_Details[[#This Row],[Table Row]])=0,NA(),LARGE(Table_Process_Details[Total '[Water (kg) per kg API'] of Unique Inputs],Table_Process_Details[[#This Row],[Table Row]]))</f>
        <v>#N/A</v>
      </c>
      <c r="IB43" s="131" t="e">
        <f ca="1">SUM(OFFSET(Table_Process_Details['[Water (kg) per kg API'] of Unique Inputs Sorted by '[Water (kg) per kg API']],0,0,Table_Process_Details[[#This Row],[Table Row]]))</f>
        <v>#N/A</v>
      </c>
      <c r="IC43" s="131" t="e">
        <f ca="1">"("&amp;TEXT(Table_Process_Details[[#This Row],['[Water (kg) per kg API'] of Unique Inputs Sorted by '[Water (kg) per kg API']]]/SUMIF(Table_Process_Details['[Water (kg) per kg API'] of Unique Inputs Sorted by '[Water (kg) per kg API']],"&lt;&gt;#N/A"),"0%")&amp;")"</f>
        <v>#N/A</v>
      </c>
      <c r="ID43" s="131" t="e">
        <f ca="1">INDEX(Table_Process_Details[Total '[Water (kg) per kg API'] of Unique Inputs (REAGENT)], MATCH(Table_Process_Details[[#This Row],[Unique Inputs Sorted by '[Water (kg) per kg API']]],Table_Process_Details[Unique Process Inputs],0))</f>
        <v>#N/A</v>
      </c>
      <c r="IE43" s="131" t="e">
        <f ca="1">INDEX(Table_Process_Details[Total '[Water (kg) per kg API'] of Unique Inputs (METAL)], MATCH(Table_Process_Details[[#This Row],[Unique Inputs Sorted by '[Water (kg) per kg API']]],Table_Process_Details[Unique Process Inputs],0))</f>
        <v>#N/A</v>
      </c>
      <c r="IF43" s="131" t="e">
        <f ca="1">INDEX(Table_Process_Details[Total '[Water (kg) per kg API'] of Unique Inputs (SOLVENT)], MATCH(Table_Process_Details[[#This Row],[Unique Inputs Sorted by '[Water (kg) per kg API']]],Table_Process_Details[Unique Process Inputs],0))</f>
        <v>#N/A</v>
      </c>
      <c r="IG43" s="131" t="e">
        <f ca="1">INDEX(Table_Process_Details[Total '[Water (kg) per kg API'] of Unique Inputs (WATER)], MATCH(Table_Process_Details[[#This Row],[Unique Inputs Sorted by '[Water (kg) per kg API']]],Table_Process_Details[Unique Process Inputs],0))</f>
        <v>#N/A</v>
      </c>
      <c r="IH43" s="131" t="e">
        <f ca="1">INDEX(Table_Process_Details[Total '[Water (kg) per kg API'] of Unique Inputs (ENZ&amp;PLNT)], MATCH(Table_Process_Details[[#This Row],[Unique Inputs Sorted by '[Water (kg) per kg API']]],Table_Process_Details[Unique Process Inputs],0))</f>
        <v>#N/A</v>
      </c>
      <c r="II43" s="131" t="e">
        <f ca="1">INDEX(Table_Process_Details[Total '[Water (kg) per kg API'] of Unique Inputs (OTHER)], MATCH(Table_Process_Details[[#This Row],[Unique Inputs Sorted by '[Water (kg) per kg API']]],Table_Process_Details[Unique Process Inputs],0))</f>
        <v>#N/A</v>
      </c>
    </row>
    <row r="44" spans="1:243" customFormat="1" x14ac:dyDescent="0.25">
      <c r="A44" s="22" t="str">
        <f>'1. Define Process Steps'!A15</f>
        <v>2b) Virtual solution prep for (2): 30 wt% reagent F (inorganic) in water</v>
      </c>
      <c r="B44" s="21" t="s">
        <v>4</v>
      </c>
      <c r="C44" s="21" t="s">
        <v>7</v>
      </c>
      <c r="D44" s="22" t="s">
        <v>158</v>
      </c>
      <c r="E44" s="22" t="s">
        <v>827</v>
      </c>
      <c r="F44" s="26">
        <v>30</v>
      </c>
      <c r="G44" s="26"/>
      <c r="H44" s="26"/>
      <c r="I44" s="26"/>
      <c r="J44" s="26" t="str">
        <f>INDEX(Process_Steps[Reference],MATCH(Table_Process_Details[[#This Row],[Step Name]],Process_Steps[Name],0))</f>
        <v>Reference Document for Step 2</v>
      </c>
      <c r="K44" s="27" t="str">
        <f>INDEX(Process_Steps[Real or Virtual?],MATCH(Table_Process_Details[[#This Row],[Step Name]],Process_Steps[Name],0))</f>
        <v>Virtual</v>
      </c>
      <c r="L4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4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44" s="26">
        <f>INDEX(Table_Process_Details[Physical Mass (kg)],MATCH(1,INDEX(((Table_Process_Details[Step Name]=Table_Process_Details[[#This Row],[Step Name]])*(Table_Process_Details[Input or Output]="Output")),0),0))</f>
        <v>110</v>
      </c>
      <c r="O44" s="29">
        <f ca="1">INDEX(Process_Steps[Step Scale Factor for 1kg Packaged API],MATCH(Table_Process_Details[[#This Row],[Step Name]],Process_Steps[Name],0))</f>
        <v>6.3546386869875945E-3</v>
      </c>
      <c r="P4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8.3333333333333339</v>
      </c>
      <c r="Q4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11.333333333333334</v>
      </c>
      <c r="R44" s="26">
        <f ca="1">_xlfn.SWITCH(Run_Reset_PNG,"Reset",Table_Process_Details[[#This Row],[X Init]],"Run",Table_Process_Details[[#This Row],[X Moved]],"Freeze",Table_Process_Details[[#This Row],[X Mover]])</f>
        <v>-6.8064109232709589</v>
      </c>
      <c r="S44" s="26">
        <f ca="1">_xlfn.SWITCH(Run_Reset_PNG,"Reset",Table_Process_Details[[#This Row],[Y Init]],"Run",Table_Process_Details[[#This Row],[Y Moved]],"Freeze",Table_Process_Details[[#This Row],[Y Mover]])</f>
        <v>-2.6863025909379017</v>
      </c>
      <c r="T44" s="26" cm="1">
        <f t="array" aca="1" ref="T4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-5.0318377239193879</v>
      </c>
      <c r="U44" s="26" cm="1">
        <f t="array" aca="1" ref="U4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-3.610629959772099</v>
      </c>
      <c r="V44" s="26" cm="1">
        <f t="array" aca="1" ref="V44" ca="1">SUM(--(SQRT((Table_Process_Details[[#This Row],[X Mover]]-Table_Process_Details[X Mover])^2+(Table_Process_Details[[#This Row],[Y Mover]]-Table_Process_Details[Y Mover])^2)&lt;Collision_Distance))</f>
        <v>10</v>
      </c>
      <c r="W44" s="26" cm="1">
        <f t="array" aca="1" ref="W4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0.37683834412910527</v>
      </c>
      <c r="X44" s="26" cm="1">
        <f t="array" aca="1" ref="X4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0.29232004736711875</v>
      </c>
      <c r="Y44" s="26" cm="1">
        <f t="array" aca="1" ref="Y4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4" s="26">
        <f>0</f>
        <v>0</v>
      </c>
      <c r="AA44" s="26">
        <f>0</f>
        <v>0</v>
      </c>
      <c r="AB4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3.4032054616354794</v>
      </c>
      <c r="AC44" s="26" cm="1">
        <f t="array" aca="1" ref="AC4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1.3431512954689508</v>
      </c>
      <c r="AD44" s="26">
        <f>MIN(1,COUNTA(Table_Process_Details[[#This Row],[target x]]),COUNTA(Table_Process_Details[[#This Row],[target y]]))*COUNTA(Table_Process_Details[Step Name])</f>
        <v>98</v>
      </c>
      <c r="AE4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-6.8980297651905733</v>
      </c>
      <c r="AF4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-2.741339914084024</v>
      </c>
      <c r="AG4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4" s="26" cm="1">
        <f t="array" aca="1" ref="AH44" ca="1">INDEX(Table_Process_Details[X Mover],MATCH(1,INDEX((Table_Process_Details[Input or Output]="Output")*(Table_Process_Details[Step Name]=Table_Process_Details[[#This Row],[Step Name]])*(Table_Process_Details[[#This Row],[Input or Output]]="Input"),0),0))</f>
        <v>-3.6823126540307705</v>
      </c>
      <c r="AI44" s="26" cm="1">
        <f t="array" aca="1" ref="AI44" ca="1">INDEX(Table_Process_Details[Y Mover],MATCH(1,INDEX((Table_Process_Details[Input or Output]="Output")*(Table_Process_Details[Step Name]=Table_Process_Details[[#This Row],[Step Name]])*(Table_Process_Details[[#This Row],[Input or Output]]="Input"),0),0))</f>
        <v>-0.26288531328701153</v>
      </c>
      <c r="AJ44" s="26" t="e">
        <f ca="1">SQRT((Table_Process_Details[[#This Row],[X End (To Node Center)]]-Table_Process_Details[[#This Row],[X Guide]])^2+(Table_Process_Details[[#This Row],[Y End (to Node Center)]]-Table_Process_Details[[#This Row],[Y Guide]])^2)</f>
        <v>#N/A</v>
      </c>
      <c r="AK44" s="26" t="e" cm="1">
        <f t="array" ref="AK44">INDEX(Table_Process_Details[X Mover],MATCH(1,INDEX((Table_Process_Details[Step Name]=Table_Process_Details[[#This Row],[LCA Data Source Subclass]])*(Table_Process_Details[Input or Output]="Output"),0)*(Table_Process_Details[[#This Row],[Input or Output]]="Input"),0))</f>
        <v>#N/A</v>
      </c>
      <c r="AL44" s="26" cm="1">
        <f t="array" aca="1" ref="AL44" ca="1">INDEX(Table_Process_Details[X Mover],MATCH(1,INDEX(((Table_Process_Details[Table Row]=Table_Process_Details[[#This Row],[Table Row]])*(1)),0)*(Table_Process_Details[[#This Row],[Input or Output]]="Input"),0))</f>
        <v>-6.8064109232709589</v>
      </c>
      <c r="AM44" s="26" t="e" cm="1">
        <f t="array" aca="1" ref="AM44" ca="1">(Table_Process_Details[[#This Row],[X End (To Node Center)]]*Table_Process_Details[[#This Row],[r0]]-Table_Process_Details[[#This Row],[X End (To Node Center)]]*Arrow_Offset+Table_Process_Details[[#This Row],[X Guide]]*Arrow_Offset)/Table_Process_Details[[#This Row],[r0]]</f>
        <v>#N/A</v>
      </c>
      <c r="AN44" s="26" t="e">
        <f>IF(NOT(Table_Process_Details[[#This Row],[Display As]]="None"),Table_Process_Details[[#This Row],[X Start Prefilter]],NA())</f>
        <v>#N/A</v>
      </c>
      <c r="AO44" s="26" t="e">
        <f>IF(NOT(Table_Process_Details[[#This Row],[Display As]]="None"),Table_Process_Details[[#This Row],[X Guide Prefilter]],NA())</f>
        <v>#N/A</v>
      </c>
      <c r="AP44" s="26" t="e">
        <f>IF(NOT(Table_Process_Details[[#This Row],[Display As]]="None"),Table_Process_Details[[#This Row],[X End (to Stop Radius) Prefilter]],NA())</f>
        <v>#N/A</v>
      </c>
      <c r="AQ44" s="26" t="e">
        <f>NA()</f>
        <v>#N/A</v>
      </c>
      <c r="AR44" s="26" t="e" cm="1">
        <f t="array" ref="AR44">INDEX(Table_Process_Details[Y Mover],MATCH(1,INDEX((Table_Process_Details[Step Name]=Table_Process_Details[[#This Row],[LCA Data Source Subclass]])*(Table_Process_Details[Input or Output]="Output"),0)*(Table_Process_Details[[#This Row],[Input or Output]]="Input"),0))</f>
        <v>#N/A</v>
      </c>
      <c r="AS44" s="26" cm="1">
        <f t="array" aca="1" ref="AS44" ca="1">INDEX(Table_Process_Details[Y Mover],MATCH(1,INDEX(((Table_Process_Details[Table Row]=Table_Process_Details[[#This Row],[Table Row]])*(1)),0)*(Table_Process_Details[[#This Row],[Input or Output]]="Input"),0))</f>
        <v>-2.6863025909379017</v>
      </c>
      <c r="AT44" s="26" t="e" cm="1">
        <f t="array" aca="1" ref="AT44" ca="1">(Table_Process_Details[[#This Row],[Y Guide]]*Arrow_Offset-Table_Process_Details[[#This Row],[Y End (to Node Center)]]*Arrow_Offset+Table_Process_Details[[#This Row],[Y End (to Node Center)]]*Table_Process_Details[[#This Row],[r0]])/Table_Process_Details[[#This Row],[r0]]</f>
        <v>#N/A</v>
      </c>
      <c r="AU44" s="26" t="e">
        <f>IF(NOT(Table_Process_Details[[#This Row],[Display As]]="None"),Table_Process_Details[[#This Row],[Y Start Prefilter]],NA())</f>
        <v>#N/A</v>
      </c>
      <c r="AV44" s="26" t="e">
        <f>IF(NOT(Table_Process_Details[[#This Row],[Display As]]="None"),Table_Process_Details[[#This Row],[Y Guide Prefilter]],NA())</f>
        <v>#N/A</v>
      </c>
      <c r="AW44" s="26" t="e">
        <f>IF(NOT(Table_Process_Details[[#This Row],[Display As]]="None"),Table_Process_Details[[#This Row],[Y End (to Stop Radius) Prefilter]],NA())</f>
        <v>#N/A</v>
      </c>
      <c r="AX44" s="26" t="e">
        <f>NA()</f>
        <v>#N/A</v>
      </c>
      <c r="AY44" s="26" t="e">
        <f>IF(Table_Process_Details[[#This Row],[Display As]]="Real Step",Table_Process_Details[[#This Row],[X Mover]],NA())</f>
        <v>#N/A</v>
      </c>
      <c r="AZ44" s="26" t="e">
        <f>IF(Table_Process_Details[[#This Row],[Display As]]="Real Step",Table_Process_Details[[#This Row],[Y Mover]],NA())</f>
        <v>#N/A</v>
      </c>
      <c r="BA44" s="26" t="e">
        <f>IF(Table_Process_Details[[#This Row],[Display As]]="Raw Material",Table_Process_Details[[#This Row],[X Mover]],NA())</f>
        <v>#N/A</v>
      </c>
      <c r="BB44" s="26" t="e">
        <f>IF(Table_Process_Details[[#This Row],[Display As]]="Raw Material",Table_Process_Details[[#This Row],[Y Mover]],NA())</f>
        <v>#N/A</v>
      </c>
      <c r="BC44" s="26" t="e">
        <f>IF(OR(Table_Process_Details[[#This Row],[Display As]]="Real Step",Table_Process_Details[[#This Row],[Display As]]="Raw Material"),Table_Process_Details[[#This Row],[X Mover]],NA())</f>
        <v>#N/A</v>
      </c>
      <c r="BD44" s="26" t="e">
        <f>IF(OR(Table_Process_Details[[#This Row],[Display As]]="Real Step",Table_Process_Details[[#This Row],[Display As]]="Raw Material"),Table_Process_Details[[#This Row],[Y Mover]],NA())</f>
        <v>#N/A</v>
      </c>
      <c r="BE44" s="22">
        <f>ROW()-ROW(Table_Process_Details[[#Headers],[Table Row]])</f>
        <v>40</v>
      </c>
      <c r="BF44" s="23" t="str" cm="1">
        <f t="array" aca="1" ref="BF44" ca="1">INDEX(Table_Process_Details[Display Name],MATCH(0,IF(Table_Process_Details[Input or Output]="Input",INDEX(COUNTIF(OFFSET(Table_Process_Details[[#Headers],[Unique Process Inputs]],0,0,Table_Process_Details[[#This Row],[Table Row]],1),Table_Process_Details[Display Name]),),""),0))</f>
        <v>reagent K (inorganic)</v>
      </c>
      <c r="BG44" s="23">
        <f ca="1">Table_Process_Details[[#This Row],[Physical Mass (kg)]]*Table_Process_Details[[#This Row],[Step Scale Factor for 1kg Packaged API]]</f>
        <v>0.19063916060962782</v>
      </c>
      <c r="BH4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4" s="23">
        <f ca="1">MATCH(Table_Process_Details[[#This Row],[LCA Data Source Class]],INDIRECT(Table_Process_Details[[#This Row],[Input or Output]]),0)</f>
        <v>6</v>
      </c>
      <c r="BJ44" s="23">
        <f ca="1">MATCH(Table_Process_Details[[#This Row],[LCA Data Source Subclass]],INDIRECT(Table_Process_Details[[#This Row],[LCA Data Source Class]]&amp;"[Name]"),0)</f>
        <v>1</v>
      </c>
      <c r="BK44" s="23">
        <f ca="1">IFERROR(INDEX(INDIRECT(Table_Process_Details[[#This Row],[LCA Data Source Class]]&amp;"[Mass Net (kg)]"),MATCH(Table_Process_Details[[#This Row],[LCA Data Source Subclass]],INDIRECT(Table_Process_Details[[#This Row],[LCA Data Source Class]]&amp;"[Name]"),0)),0)</f>
        <v>1.34</v>
      </c>
      <c r="BL44" s="23">
        <f ca="1">IFERROR(INDEX(INDIRECT(Table_Process_Details[[#This Row],[LCA Data Source Class]]&amp;"[Energy (MJ)]"),MATCH(Table_Process_Details[[#This Row],[LCA Data Source Subclass]],INDIRECT(Table_Process_Details[[#This Row],[LCA Data Source Class]]&amp;"[Name]"),0)),0)</f>
        <v>10.63</v>
      </c>
      <c r="BM44" s="23">
        <f ca="1">IFERROR(INDEX(INDIRECT(Table_Process_Details[[#This Row],[LCA Data Source Class]]&amp;"[GWP (kg CO2 equiv.)]"),MATCH(Table_Process_Details[[#This Row],[LCA Data Source Subclass]],INDIRECT(Table_Process_Details[[#This Row],[LCA Data Source Class]]&amp;"[Name]"),0)),0)</f>
        <v>1.3854</v>
      </c>
      <c r="BN44" s="23">
        <f ca="1">IFERROR(INDEX(INDIRECT(Table_Process_Details[[#This Row],[LCA Data Source Class]]&amp;"[Acidification (kg SO2 equiv.)]"),MATCH(Table_Process_Details[[#This Row],[LCA Data Source Subclass]],INDIRECT(Table_Process_Details[[#This Row],[LCA Data Source Class]]&amp;"[Name]"),0)),0)</f>
        <v>1.3899999999999999E-2</v>
      </c>
      <c r="BO44" s="23">
        <f ca="1">IFERROR(INDEX(INDIRECT(Table_Process_Details[[#This Row],[LCA Data Source Class]]&amp;"[Eutrophication (kg posphate equiv.)]"),MATCH(Table_Process_Details[[#This Row],[LCA Data Source Subclass]],INDIRECT(Table_Process_Details[[#This Row],[LCA Data Source Class]]&amp;"[Name]"),0)),0)</f>
        <v>6.9999999999999999E-4</v>
      </c>
      <c r="BP44" s="23">
        <f ca="1">IFERROR(INDEX(INDIRECT(Table_Process_Details[[#This Row],[LCA Data Source Class]]&amp;"[Water (kg)]"),MATCH(Table_Process_Details[[#This Row],[LCA Data Source Subclass]],INDIRECT(Table_Process_Details[[#This Row],[LCA Data Source Class]]&amp;"[Name]"),0)),0)</f>
        <v>0.69123000000000001</v>
      </c>
      <c r="BQ44" s="27">
        <f ca="1">(Table_Process_Details[[#This Row],[Input or Output]]="Input")*(Table_Process_Details[[#This Row],[LCA Data Source Class]]&lt;&gt;"Process_Steps")*Table_Process_Details[[#This Row],[Scaled Physical Mass per kg API for All Inputs &amp; Outputs]]</f>
        <v>0.19063916060962782</v>
      </c>
      <c r="BR44" s="27">
        <f ca="1">(Table_Process_Details[[#This Row],[Material Class]]="REAGENT")*Table_Process_Details[[#This Row],[Physical Mass per kg API]]</f>
        <v>0.19063916060962782</v>
      </c>
      <c r="BS44" s="27">
        <f ca="1">(Table_Process_Details[[#This Row],[Material Class]]="METAL")*Table_Process_Details[[#This Row],[Physical Mass per kg API]]</f>
        <v>0</v>
      </c>
      <c r="BT44" s="27">
        <f ca="1">(Table_Process_Details[[#This Row],[Material Class]]="SOLVENT")*Table_Process_Details[[#This Row],[Physical Mass per kg API]]</f>
        <v>0</v>
      </c>
      <c r="BU44" s="27">
        <f ca="1">(Table_Process_Details[[#This Row],[Material Class]]="WATER")*Table_Process_Details[[#This Row],[Physical Mass per kg API]]</f>
        <v>0</v>
      </c>
      <c r="BV44" s="27">
        <f ca="1">(Table_Process_Details[[#This Row],[Material Class]]="ENZ&amp;PLNT")*Table_Process_Details[[#This Row],[Physical Mass per kg API]]</f>
        <v>0</v>
      </c>
      <c r="BW44" s="27">
        <f ca="1">(Table_Process_Details[[#This Row],[Material Class]]="OTHER")*Table_Process_Details[[#This Row],[Physical Mass per kg API]]</f>
        <v>0</v>
      </c>
      <c r="BX4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4" s="1">
        <f ca="1">SUMIFS(Table_Process_Details[RV Physical Mass per kg API],Table_Process_Details[Display Name],Table_Process_Details[[#This Row],[Unique Process Inputs]],Table_Process_Details[Input or Output],"Input")</f>
        <v>0</v>
      </c>
      <c r="CF44" s="1">
        <f ca="1">SUMIFS(Table_Process_Details[RV Physical Mass per kg API (REAGENT)],Table_Process_Details[Display Name],Table_Process_Details[[#This Row],[Unique Process Inputs]],Table_Process_Details[Input or Output],"Input")</f>
        <v>0</v>
      </c>
      <c r="CG44" s="1">
        <f ca="1">SUMIFS(Table_Process_Details[RV Physical Mass per kg API (METAL)],Table_Process_Details[Display Name],Table_Process_Details[[#This Row],[Unique Process Inputs]],Table_Process_Details[Input or Output],"Input")</f>
        <v>0</v>
      </c>
      <c r="CH44" s="1">
        <f ca="1">SUMIFS(Table_Process_Details[RV Physical Mass per kg API (SOLVENT)],Table_Process_Details[Display Name],Table_Process_Details[[#This Row],[Unique Process Inputs]],Table_Process_Details[Input or Output],"Input")</f>
        <v>0</v>
      </c>
      <c r="CI44" s="1">
        <f ca="1">SUMIFS(Table_Process_Details[RV Physical Mass per kg API (WATER)],Table_Process_Details[Display Name],Table_Process_Details[[#This Row],[Unique Process Inputs]],Table_Process_Details[Input or Output],"Input")</f>
        <v>0</v>
      </c>
      <c r="CJ44" s="1">
        <f ca="1">SUMIFS(Table_Process_Details[RV Physical Mass per kg API (ENZ&amp;PLNT)],Table_Process_Details[Display Name],Table_Process_Details[[#This Row],[Unique Process Inputs]],Table_Process_Details[Input or Output],"Input")</f>
        <v>0</v>
      </c>
      <c r="CK44" s="1">
        <f ca="1">SUMIFS(Table_Process_Details[RV Physical Mass per kg API (OTHER)],Table_Process_Details[Display Name],Table_Process_Details[[#This Row],[Unique Process Inputs]],Table_Process_Details[Input or Output],"Input")</f>
        <v>0</v>
      </c>
      <c r="CL44" s="22" t="e">
        <f ca="1">INDEX(Table_Process_Details[Unique Process Inputs],MATCH(Table_Process_Details[[#This Row],['[Physical Mass per kg API'] of Unique Inputs Sorted by '[Physical Mass per kg API']]],Table_Process_Details[Total '[Physical Mass per kg API'] of Unique Inputs],0))</f>
        <v>#N/A</v>
      </c>
      <c r="CM44" s="22" t="e">
        <f ca="1">IF(LARGE(Table_Process_Details[Total '[Physical Mass per kg API'] of Unique Inputs],Table_Process_Details[[#This Row],[Table Row]])=0,NA(),LARGE(Table_Process_Details[Total '[Physical Mass per kg API'] of Unique Inputs],Table_Process_Details[[#This Row],[Table Row]]))</f>
        <v>#N/A</v>
      </c>
      <c r="CN44" s="22" t="e">
        <f ca="1">SUM(OFFSET(Table_Process_Details['[Physical Mass per kg API'] of Unique Inputs Sorted by '[Physical Mass per kg API']],0,0,Table_Process_Details[[#This Row],[Table Row]]))</f>
        <v>#N/A</v>
      </c>
      <c r="CO44" s="22" t="e">
        <f ca="1">"("&amp;TEXT(Table_Process_Details[[#This Row],['[Physical Mass per kg API'] of Unique Inputs Sorted by '[Physical Mass per kg API']]]/SUMIF(Table_Process_Details['[Physical Mass per kg API'] of Unique Inputs Sorted by '[Physical Mass per kg API']],"&lt;&gt;#N/A"),"0%")&amp;")"</f>
        <v>#N/A</v>
      </c>
      <c r="CP44" s="22" t="e">
        <f ca="1">INDEX(Table_Process_Details[Total '[Physical Mass per kg API'] of Unique Inputs (REAGENT)],MATCH(Table_Process_Details[[#This Row],[Unique Inputs Sorted by '[Physical Mass per kg API']]],Table_Process_Details[Unique Process Inputs],0))</f>
        <v>#N/A</v>
      </c>
      <c r="CQ44" s="22" t="e">
        <f ca="1">INDEX(Table_Process_Details[Total '[Physical Mass per kg API'] of Unique Inputs (METAL)],MATCH(Table_Process_Details[[#This Row],[Unique Inputs Sorted by '[Physical Mass per kg API']]],Table_Process_Details[Unique Process Inputs],0))</f>
        <v>#N/A</v>
      </c>
      <c r="CR44" s="22" t="e">
        <f ca="1">INDEX(Table_Process_Details[Total '[Physical Mass per kg API'] of Unique Inputs (SOLVENT)],MATCH(Table_Process_Details[[#This Row],[Unique Inputs Sorted by '[Physical Mass per kg API']]],Table_Process_Details[Unique Process Inputs],0))</f>
        <v>#N/A</v>
      </c>
      <c r="CS44" s="22" t="e">
        <f ca="1">INDEX(Table_Process_Details[Total '[Physical Mass per kg API'] of Unique Inputs (WATER)],MATCH(Table_Process_Details[[#This Row],[Unique Inputs Sorted by '[Physical Mass per kg API']]],Table_Process_Details[Unique Process Inputs],0))</f>
        <v>#N/A</v>
      </c>
      <c r="CT44" s="22" t="e">
        <f ca="1">INDEX(Table_Process_Details[Total '[Physical Mass per kg API'] of Unique Inputs (ENZ&amp;PLNT)],MATCH(Table_Process_Details[[#This Row],[Unique Inputs Sorted by '[Physical Mass per kg API']]],Table_Process_Details[Unique Process Inputs],0))</f>
        <v>#N/A</v>
      </c>
      <c r="CU44" s="22" t="e">
        <f ca="1">INDEX(Table_Process_Details[Total '[Physical Mass per kg API'] of Unique Inputs (OTHER)],MATCH(Table_Process_Details[[#This Row],[Unique Inputs Sorted by '[Physical Mass per kg API']]],Table_Process_Details[Unique Process Inputs],0))</f>
        <v>#N/A</v>
      </c>
      <c r="CV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4" s="22">
        <f ca="1">SUMIFS(Table_Process_Details[RV Mass Net (kg) per kg API],Table_Process_Details[Display Name],Table_Process_Details[[#This Row],[Unique Process Inputs]],Table_Process_Details[Input or Output],"Input")</f>
        <v>0</v>
      </c>
      <c r="DD44" s="22">
        <f ca="1">SUMIFS(Table_Process_Details[RV Mass Net (kg) per kg API (REAGENT)],Table_Process_Details[Display Name],Table_Process_Details[[#This Row],[Unique Process Inputs]],Table_Process_Details[Input or Output],"Input")</f>
        <v>0</v>
      </c>
      <c r="DE44" s="22">
        <f ca="1">SUMIFS(Table_Process_Details[RV Mass Net (kg) per kg API (METAL)],Table_Process_Details[Display Name],Table_Process_Details[[#This Row],[Unique Process Inputs]],Table_Process_Details[Input or Output],"Input")</f>
        <v>0</v>
      </c>
      <c r="DF44" s="22">
        <f ca="1">SUMIFS(Table_Process_Details[RV Mass Net (kg) per kg API (SOLVENT)],Table_Process_Details[Display Name],Table_Process_Details[[#This Row],[Unique Process Inputs]],Table_Process_Details[Input or Output],"Input")</f>
        <v>0</v>
      </c>
      <c r="DG44" s="22">
        <f ca="1">SUMIFS(Table_Process_Details[RV Mass Net (kg) per kg API (WATER)],Table_Process_Details[Display Name],Table_Process_Details[[#This Row],[Unique Process Inputs]],Table_Process_Details[Input or Output],"Input")</f>
        <v>0</v>
      </c>
      <c r="DH44" s="22">
        <f ca="1">SUMIFS(Table_Process_Details[RV Mass Net (kg) per kg API (ENZ&amp;PLNT)],Table_Process_Details[Display Name],Table_Process_Details[[#This Row],[Unique Process Inputs]],Table_Process_Details[Input or Output],"Input")</f>
        <v>0</v>
      </c>
      <c r="DI44" s="22">
        <f ca="1">SUMIFS(Table_Process_Details[RV Mass Net (kg) per kg API (OTHER)],Table_Process_Details[Display Name],Table_Process_Details[[#This Row],[Unique Process Inputs]],Table_Process_Details[Input or Output],"Input")</f>
        <v>0</v>
      </c>
      <c r="DJ44" s="22" t="e">
        <f ca="1">INDEX(Table_Process_Details[Unique Process Inputs],MATCH(Table_Process_Details[[#This Row],['[Mass Net (kg) per kg API'] of Unique Inputs Sorted by '[Mass Net (kg) per kg API']]],Table_Process_Details[Total '[Mass Net (kg) per kg API'] of Unique Inputs],0))</f>
        <v>#N/A</v>
      </c>
      <c r="DK44" s="22" t="e">
        <f ca="1">IF(LARGE(Table_Process_Details[Total '[Mass Net (kg) per kg API'] of Unique Inputs],Table_Process_Details[[#This Row],[Table Row]])=0,NA(),LARGE(Table_Process_Details[Total '[Mass Net (kg) per kg API'] of Unique Inputs],Table_Process_Details[[#This Row],[Table Row]]))</f>
        <v>#N/A</v>
      </c>
      <c r="DL44" s="22" t="e">
        <f ca="1">SUM(OFFSET(Table_Process_Details['[Mass Net (kg) per kg API'] of Unique Inputs Sorted by '[Mass Net (kg) per kg API']],0,0,Table_Process_Details[[#This Row],[Table Row]]))</f>
        <v>#N/A</v>
      </c>
      <c r="DM44" s="22" t="e">
        <f ca="1">"("&amp;TEXT(Table_Process_Details[[#This Row],['[Mass Net (kg) per kg API'] of Unique Inputs Sorted by '[Mass Net (kg) per kg API']]]/SUMIF(Table_Process_Details['[Mass Net (kg) per kg API'] of Unique Inputs Sorted by '[Mass Net (kg) per kg API']],"&lt;&gt;#N/A"),"0%")&amp;")"</f>
        <v>#N/A</v>
      </c>
      <c r="DN44" s="22" t="e">
        <f ca="1">INDEX(Table_Process_Details[Total '[Mass Net (kg) per kg API'] of Unique Inputs (REAGENT)], MATCH(Table_Process_Details[[#This Row],[Unique Inputs Sorted by '[Mass Net (kg) per kg API']]],Table_Process_Details[Unique Process Inputs],0))</f>
        <v>#N/A</v>
      </c>
      <c r="DO44" s="22" t="e">
        <f ca="1">INDEX(Table_Process_Details[Total '[Mass Net (kg) per kg API'] of Unique Inputs (METAL)], MATCH(Table_Process_Details[[#This Row],[Unique Inputs Sorted by '[Mass Net (kg) per kg API']]],Table_Process_Details[Unique Process Inputs],0))</f>
        <v>#N/A</v>
      </c>
      <c r="DP44" s="22" t="e">
        <f ca="1">INDEX(Table_Process_Details[Total '[Mass Net (kg) per kg API'] of Unique Inputs (SOLVENT)], MATCH(Table_Process_Details[[#This Row],[Unique Inputs Sorted by '[Mass Net (kg) per kg API']]],Table_Process_Details[Unique Process Inputs],0))</f>
        <v>#N/A</v>
      </c>
      <c r="DQ44" s="22" t="e">
        <f ca="1">INDEX(Table_Process_Details[Total '[Mass Net (kg) per kg API'] of Unique Inputs (WATER)], MATCH(Table_Process_Details[[#This Row],[Unique Inputs Sorted by '[Mass Net (kg) per kg API']]],Table_Process_Details[Unique Process Inputs],0))</f>
        <v>#N/A</v>
      </c>
      <c r="DR44" s="22" t="e">
        <f ca="1">INDEX(Table_Process_Details[Total '[Mass Net (kg) per kg API'] of Unique Inputs (ENZ&amp;PLNT)], MATCH(Table_Process_Details[[#This Row],[Unique Inputs Sorted by '[Mass Net (kg) per kg API']]],Table_Process_Details[Unique Process Inputs],0))</f>
        <v>#N/A</v>
      </c>
      <c r="DS44" s="22" t="e">
        <f ca="1">INDEX(Table_Process_Details[Total '[Mass Net (kg) per kg API'] of Unique Inputs (OTHER)], MATCH(Table_Process_Details[[#This Row],[Unique Inputs Sorted by '[Mass Net (kg) per kg API']]],Table_Process_Details[Unique Process Inputs],0))</f>
        <v>#N/A</v>
      </c>
      <c r="DT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4" s="1">
        <f ca="1">SUMIFS(Table_Process_Details[RV Energy (MJ) per kg API],Table_Process_Details[Display Name],Table_Process_Details[[#This Row],[Unique Process Inputs]],Table_Process_Details[Input or Output],"Input")</f>
        <v>0</v>
      </c>
      <c r="EB44" s="1">
        <f ca="1">SUMIFS(Table_Process_Details[RV Energy (MJ) per kg API (REAGENT)],Table_Process_Details[Display Name],Table_Process_Details[[#This Row],[Unique Process Inputs]],Table_Process_Details[Input or Output],"Input")</f>
        <v>0</v>
      </c>
      <c r="EC44" s="1">
        <f ca="1">SUMIFS(Table_Process_Details[RV Energy (MJ) per kg API (METAL)],Table_Process_Details[Display Name],Table_Process_Details[[#This Row],[Unique Process Inputs]],Table_Process_Details[Input or Output],"Input")</f>
        <v>0</v>
      </c>
      <c r="ED44" s="1">
        <f ca="1">SUMIFS(Table_Process_Details[RV Energy (MJ) per kg API (SOLVENT)],Table_Process_Details[Display Name],Table_Process_Details[[#This Row],[Unique Process Inputs]],Table_Process_Details[Input or Output],"Input")</f>
        <v>0</v>
      </c>
      <c r="EE44" s="1">
        <f ca="1">SUMIFS(Table_Process_Details[RV Energy (MJ) per kg API (WATER)],Table_Process_Details[Display Name],Table_Process_Details[[#This Row],[Unique Process Inputs]],Table_Process_Details[Input or Output],"Input")</f>
        <v>0</v>
      </c>
      <c r="EF44" s="1">
        <f ca="1">SUMIFS(Table_Process_Details[RV Energy (MJ) per kg API (ENZ&amp;PLNT)],Table_Process_Details[Display Name],Table_Process_Details[[#This Row],[Unique Process Inputs]],Table_Process_Details[Input or Output],"Input")</f>
        <v>0</v>
      </c>
      <c r="EG44" s="1">
        <f ca="1">SUMIFS(Table_Process_Details[RV Energy (MJ) per kg API (OTHER)],Table_Process_Details[Display Name],Table_Process_Details[[#This Row],[Unique Process Inputs]],Table_Process_Details[Input or Output],"Input")</f>
        <v>0</v>
      </c>
      <c r="EH44" s="1" t="e">
        <f ca="1">INDEX(Table_Process_Details[Unique Process Inputs],MATCH(Table_Process_Details[[#This Row],['[Energy (MJ) per kg API'] of Unique Inputs Sorted by '[Energy (MJ) per kg API']]],Table_Process_Details[Total '[Energy (MJ) per kg API'] of Unique Inputs],0))</f>
        <v>#N/A</v>
      </c>
      <c r="EI44" s="22" t="e">
        <f ca="1">IF(LARGE(Table_Process_Details[Total '[Energy (MJ) per kg API'] of Unique Inputs],Table_Process_Details[[#This Row],[Table Row]])=0,NA(),LARGE(Table_Process_Details[Total '[Energy (MJ) per kg API'] of Unique Inputs],Table_Process_Details[[#This Row],[Table Row]]))</f>
        <v>#N/A</v>
      </c>
      <c r="EJ44" s="22" t="e">
        <f ca="1">SUM(OFFSET(Table_Process_Details['[Energy (MJ) per kg API'] of Unique Inputs Sorted by '[Energy (MJ) per kg API']],0,0,Table_Process_Details[[#This Row],[Table Row]]))</f>
        <v>#N/A</v>
      </c>
      <c r="EK44" s="22" t="e">
        <f ca="1">"("&amp;TEXT(Table_Process_Details[[#This Row],['[Energy (MJ) per kg API'] of Unique Inputs Sorted by '[Energy (MJ) per kg API']]]/SUMIF(Table_Process_Details['[Energy (MJ) per kg API'] of Unique Inputs Sorted by '[Energy (MJ) per kg API']],"&lt;&gt;#N/A"),"0%")&amp;")"</f>
        <v>#N/A</v>
      </c>
      <c r="EL44" s="22" t="e">
        <f ca="1">INDEX(Table_Process_Details[Total '[Energy (MJ) per kg API'] of Unique Inputs (REAGENT)], MATCH(Table_Process_Details[[#This Row],[Unique Inputs Sorted by '[Energy (MJ) per kg API']]],Table_Process_Details[Unique Process Inputs],0))</f>
        <v>#N/A</v>
      </c>
      <c r="EM44" s="22" t="e">
        <f ca="1">INDEX(Table_Process_Details[Total '[Energy (MJ) per kg API'] of Unique Inputs (METAL)], MATCH(Table_Process_Details[[#This Row],[Unique Inputs Sorted by '[Energy (MJ) per kg API']]],Table_Process_Details[Unique Process Inputs],0))</f>
        <v>#N/A</v>
      </c>
      <c r="EN44" s="22" t="e">
        <f ca="1">INDEX(Table_Process_Details[Total '[Energy (MJ) per kg API'] of Unique Inputs (SOLVENT)], MATCH(Table_Process_Details[[#This Row],[Unique Inputs Sorted by '[Energy (MJ) per kg API']]],Table_Process_Details[Unique Process Inputs],0))</f>
        <v>#N/A</v>
      </c>
      <c r="EO44" s="22" t="e">
        <f ca="1">INDEX(Table_Process_Details[Total '[Energy (MJ) per kg API'] of Unique Inputs (WATER)], MATCH(Table_Process_Details[[#This Row],[Unique Inputs Sorted by '[Energy (MJ) per kg API']]],Table_Process_Details[Unique Process Inputs],0))</f>
        <v>#N/A</v>
      </c>
      <c r="EP44" s="22" t="e">
        <f ca="1">INDEX(Table_Process_Details[Total '[Energy (MJ) per kg API'] of Unique Inputs (ENZ&amp;PLNT)], MATCH(Table_Process_Details[[#This Row],[Unique Inputs Sorted by '[Energy (MJ) per kg API']]],Table_Process_Details[Unique Process Inputs],0))</f>
        <v>#N/A</v>
      </c>
      <c r="EQ44" s="22" t="e">
        <f ca="1">INDEX(Table_Process_Details[Total '[Energy (MJ) per kg API'] of Unique Inputs (OTHER)], MATCH(Table_Process_Details[[#This Row],[Unique Inputs Sorted by '[Energy (MJ) per kg API']]],Table_Process_Details[Unique Process Inputs],0))</f>
        <v>#N/A</v>
      </c>
      <c r="ER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4" s="22">
        <f ca="1">SUMIFS(Table_Process_Details[RV GWP (kg CO2 equiv.) per kg API],Table_Process_Details[Display Name],Table_Process_Details[[#This Row],[Unique Process Inputs]],Table_Process_Details[Input or Output],"Input")</f>
        <v>0</v>
      </c>
      <c r="EZ44" s="1">
        <f ca="1">SUMIFS(Table_Process_Details[RV GWP (kg CO2 equiv.) per kg API (REAGENT)],Table_Process_Details[Display Name],Table_Process_Details[[#This Row],[Unique Process Inputs]],Table_Process_Details[Input or Output],"Input")</f>
        <v>0</v>
      </c>
      <c r="FA44" s="1">
        <f ca="1">SUMIFS(Table_Process_Details[RV GWP (kg CO2 equiv.) per kg API (METAL)],Table_Process_Details[Display Name],Table_Process_Details[[#This Row],[Unique Process Inputs]],Table_Process_Details[Input or Output],"Input")</f>
        <v>0</v>
      </c>
      <c r="FB44" s="1">
        <f ca="1">SUMIFS(Table_Process_Details[RV GWP (kg CO2 equiv.) per kg API (SOLVENT)],Table_Process_Details[Display Name],Table_Process_Details[[#This Row],[Unique Process Inputs]],Table_Process_Details[Input or Output],"Input")</f>
        <v>0</v>
      </c>
      <c r="FC44" s="1">
        <f ca="1">SUMIFS(Table_Process_Details[RV GWP (kg CO2 equiv.) per kg API (WATER)],Table_Process_Details[Display Name],Table_Process_Details[[#This Row],[Unique Process Inputs]],Table_Process_Details[Input or Output],"Input")</f>
        <v>0</v>
      </c>
      <c r="FD44" s="1">
        <f ca="1">SUMIFS(Table_Process_Details[RV GWP (kg CO2 equiv.) per kg API (ENZ&amp;PLNT)],Table_Process_Details[Display Name],Table_Process_Details[[#This Row],[Unique Process Inputs]],Table_Process_Details[Input or Output],"Input")</f>
        <v>0</v>
      </c>
      <c r="FE44" s="1">
        <f ca="1">SUMIFS(Table_Process_Details[RV GWP (kg CO2 equiv.) per kg API (OTHER)],Table_Process_Details[Display Name],Table_Process_Details[[#This Row],[Unique Process Inputs]],Table_Process_Details[Input or Output],"Input")</f>
        <v>0</v>
      </c>
      <c r="FF44" s="22" t="e">
        <f ca="1">INDEX(Table_Process_Details[Unique Process Inputs],MATCH(Table_Process_Details[[#This Row],['[GWP (kg CO2 equiv.) per kg API'] of Unique Inputs Sorted by '[GWP (kg CO2 equiv.) per kg API']]],Table_Process_Details[Total '[GWP (kg CO2 equiv.) per kg API'] of Unique Inputs],0))</f>
        <v>#N/A</v>
      </c>
      <c r="FG44" s="22" t="e">
        <f ca="1">IF(LARGE(Table_Process_Details[Total '[GWP (kg CO2 equiv.) per kg API'] of Unique Inputs],Table_Process_Details[[#This Row],[Table Row]])=0,NA(),LARGE(Table_Process_Details[Total '[GWP (kg CO2 equiv.) per kg API'] of Unique Inputs],Table_Process_Details[[#This Row],[Table Row]]))</f>
        <v>#N/A</v>
      </c>
      <c r="FH44" s="22" t="e">
        <f ca="1">SUM(OFFSET(Table_Process_Details['[GWP (kg CO2 equiv.) per kg API'] of Unique Inputs Sorted by '[GWP (kg CO2 equiv.) per kg API']],0,0,Table_Process_Details[[#This Row],[Table Row]]))</f>
        <v>#N/A</v>
      </c>
      <c r="FI44" s="22" t="e">
        <f ca="1">"("&amp;TEXT(Table_Process_Details[[#This Row],['[GWP (kg CO2 equiv.) per kg API'] of Unique Inputs Sorted by '[GWP (kg CO2 equiv.) per kg API']]]/SUMIF(Table_Process_Details['[GWP (kg CO2 equiv.) per kg API'] of Unique Inputs Sorted by '[GWP (kg CO2 equiv.) per kg API']],"&lt;&gt;#N/A"),"0%")&amp;")"</f>
        <v>#N/A</v>
      </c>
      <c r="FJ44" s="22" t="e">
        <f ca="1">INDEX(Table_Process_Details[Total '[GWP (kg CO2 equiv.) per kg API'] of Unique Inputs (REAGENT)], MATCH(Table_Process_Details[[#This Row],[Unique Inputs Sorted by '[GWP (kg CO2 equiv.) per kg API']]],Table_Process_Details[Unique Process Inputs],0))</f>
        <v>#N/A</v>
      </c>
      <c r="FK44" s="22" t="e">
        <f ca="1">INDEX(Table_Process_Details[Total '[GWP (kg CO2 equiv.) per kg API'] of Unique Inputs (METAL)], MATCH(Table_Process_Details[[#This Row],[Unique Inputs Sorted by '[GWP (kg CO2 equiv.) per kg API']]],Table_Process_Details[Unique Process Inputs],0))</f>
        <v>#N/A</v>
      </c>
      <c r="FL44" s="22" t="e">
        <f ca="1">INDEX(Table_Process_Details[Total '[GWP (kg CO2 equiv.) per kg API'] of Unique Inputs (SOLVENT)], MATCH(Table_Process_Details[[#This Row],[Unique Inputs Sorted by '[GWP (kg CO2 equiv.) per kg API']]],Table_Process_Details[Unique Process Inputs],0))</f>
        <v>#N/A</v>
      </c>
      <c r="FM44" s="22" t="e">
        <f ca="1">INDEX(Table_Process_Details[Total '[GWP (kg CO2 equiv.) per kg API'] of Unique Inputs (WATER)], MATCH(Table_Process_Details[[#This Row],[Unique Inputs Sorted by '[GWP (kg CO2 equiv.) per kg API']]],Table_Process_Details[Unique Process Inputs],0))</f>
        <v>#N/A</v>
      </c>
      <c r="FN44" s="22" t="e">
        <f ca="1">INDEX(Table_Process_Details[Total '[GWP (kg CO2 equiv.) per kg API'] of Unique Inputs (ENZ&amp;PLNT)], MATCH(Table_Process_Details[[#This Row],[Unique Inputs Sorted by '[GWP (kg CO2 equiv.) per kg API']]],Table_Process_Details[Unique Process Inputs],0))</f>
        <v>#N/A</v>
      </c>
      <c r="FO44" s="22" t="e">
        <f ca="1">INDEX(Table_Process_Details[Total '[GWP (kg CO2 equiv.) per kg API'] of Unique Inputs (OTHER)], MATCH(Table_Process_Details[[#This Row],[Unique Inputs Sorted by '[GWP (kg CO2 equiv.) per kg API']]],Table_Process_Details[Unique Process Inputs],0))</f>
        <v>#N/A</v>
      </c>
      <c r="FP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4" s="22">
        <f ca="1">SUMIFS(Table_Process_Details[RV Acidification (kg SO2 equiv.) per kg API],Table_Process_Details[Display Name],Table_Process_Details[[#This Row],[Unique Process Inputs]],Table_Process_Details[Input or Output],"Input")</f>
        <v>0</v>
      </c>
      <c r="FX44" s="1">
        <f ca="1">SUMIFS(Table_Process_Details[RV Acidification (kg SO2 equiv.) per kg API (REAGENT)],Table_Process_Details[Display Name],Table_Process_Details[[#This Row],[Unique Process Inputs]],Table_Process_Details[Input or Output],"Input")</f>
        <v>0</v>
      </c>
      <c r="FY44" s="1">
        <f ca="1">SUMIFS(Table_Process_Details[RV Acidification (kg SO2 equiv.) per kg API (METAL)],Table_Process_Details[Display Name],Table_Process_Details[[#This Row],[Unique Process Inputs]],Table_Process_Details[Input or Output],"Input")</f>
        <v>0</v>
      </c>
      <c r="FZ44" s="1">
        <f ca="1">SUMIFS(Table_Process_Details[RV Acidification (kg SO2 equiv.) per kg API (SOLVENT)],Table_Process_Details[Display Name],Table_Process_Details[[#This Row],[Unique Process Inputs]],Table_Process_Details[Input or Output],"Input")</f>
        <v>0</v>
      </c>
      <c r="GA44" s="1">
        <f ca="1">SUMIFS(Table_Process_Details[RV Acidification (kg SO2 equiv.) per kg API (WATER)],Table_Process_Details[Display Name],Table_Process_Details[[#This Row],[Unique Process Inputs]],Table_Process_Details[Input or Output],"Input")</f>
        <v>0</v>
      </c>
      <c r="GB44" s="1">
        <f ca="1">SUMIFS(Table_Process_Details[RV Acidification (kg SO2 equiv.) per kg API (ENZ&amp;PLNT)],Table_Process_Details[Display Name],Table_Process_Details[[#This Row],[Unique Process Inputs]],Table_Process_Details[Input or Output],"Input")</f>
        <v>0</v>
      </c>
      <c r="GC44" s="1">
        <f ca="1">SUMIFS(Table_Process_Details[RV Acidification (kg SO2 equiv.) per kg API (OTHER)],Table_Process_Details[Display Name],Table_Process_Details[[#This Row],[Unique Process Inputs]],Table_Process_Details[Input or Output],"Input")</f>
        <v>0</v>
      </c>
      <c r="GD44"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4"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4" s="22" t="e">
        <f ca="1">SUM(OFFSET(Table_Process_Details['[Acidification (kg SO2 equiv.) per kg API'] of Unique Inputs Sorted by '[Acidification (kg SO2 equiv.) per kg API']],0,0,Table_Process_Details[[#This Row],[Table Row]]))</f>
        <v>#N/A</v>
      </c>
      <c r="GG44"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4" s="22" t="e">
        <f ca="1">INDEX(Table_Process_Details[Total '[Acidification (kg SO2 equiv.) per kg API'] of Unique Inputs (REAGENT)], MATCH(Table_Process_Details[[#This Row],[Unique Inputs Sorted by '[Acidification (kg SO2 equiv.) per kg API']]],Table_Process_Details[Unique Process Inputs],0))</f>
        <v>#N/A</v>
      </c>
      <c r="GI44" s="22" t="e">
        <f ca="1">INDEX(Table_Process_Details[Total '[Acidification (kg SO2 equiv.) per kg API'] of Unique Inputs (METAL)], MATCH(Table_Process_Details[[#This Row],[Unique Inputs Sorted by '[Acidification (kg SO2 equiv.) per kg API']]],Table_Process_Details[Unique Process Inputs],0))</f>
        <v>#N/A</v>
      </c>
      <c r="GJ44" s="22" t="e">
        <f ca="1">INDEX(Table_Process_Details[Total '[Acidification (kg SO2 equiv.) per kg API'] of Unique Inputs (SOLVENT)], MATCH(Table_Process_Details[[#This Row],[Unique Inputs Sorted by '[Acidification (kg SO2 equiv.) per kg API']]],Table_Process_Details[Unique Process Inputs],0))</f>
        <v>#N/A</v>
      </c>
      <c r="GK44" s="22" t="e">
        <f ca="1">INDEX(Table_Process_Details[Total '[Acidification (kg SO2 equiv.) per kg API'] of Unique Inputs (WATER)], MATCH(Table_Process_Details[[#This Row],[Unique Inputs Sorted by '[Acidification (kg SO2 equiv.) per kg API']]],Table_Process_Details[Unique Process Inputs],0))</f>
        <v>#N/A</v>
      </c>
      <c r="GL44" s="22" t="e">
        <f ca="1">INDEX(Table_Process_Details[Total '[Acidification (kg SO2 equiv.) per kg API'] of Unique Inputs (ENZ&amp;PLNT)], MATCH(Table_Process_Details[[#This Row],[Unique Inputs Sorted by '[Acidification (kg SO2 equiv.) per kg API']]],Table_Process_Details[Unique Process Inputs],0))</f>
        <v>#N/A</v>
      </c>
      <c r="GM44" s="22" t="e">
        <f ca="1">INDEX(Table_Process_Details[Total '[Acidification (kg SO2 equiv.) per kg API'] of Unique Inputs (OTHER)], MATCH(Table_Process_Details[[#This Row],[Unique Inputs Sorted by '[Acidification (kg SO2 equiv.) per kg API']]],Table_Process_Details[Unique Process Inputs],0))</f>
        <v>#N/A</v>
      </c>
      <c r="GN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4" s="22">
        <f ca="1">SUMIFS(Table_Process_Details[RV Eutrophication (kg phosphate equiv.) per kg API],Table_Process_Details[Display Name],Table_Process_Details[[#This Row],[Unique Process Inputs]],Table_Process_Details[Input or Output],"Input")</f>
        <v>0</v>
      </c>
      <c r="GV44" s="1">
        <f ca="1">SUMIFS(Table_Process_Details[RV Eutrophication (kg phosphate equiv.) per kg API (REAGENT)],Table_Process_Details[Display Name],Table_Process_Details[[#This Row],[Unique Process Inputs]],Table_Process_Details[Input or Output],"Input")</f>
        <v>0</v>
      </c>
      <c r="GW44" s="1">
        <f ca="1">SUMIFS(Table_Process_Details[RV Eutrophication (kg phosphate equiv.) per kg API (METAL)],Table_Process_Details[Display Name],Table_Process_Details[[#This Row],[Unique Process Inputs]],Table_Process_Details[Input or Output],"Input")</f>
        <v>0</v>
      </c>
      <c r="GX44" s="1">
        <f ca="1">SUMIFS(Table_Process_Details[RV Eutrophication (kg phosphate equiv.) per kg API (SOLVENT)],Table_Process_Details[Display Name],Table_Process_Details[[#This Row],[Unique Process Inputs]],Table_Process_Details[Input or Output],"Input")</f>
        <v>0</v>
      </c>
      <c r="GY44" s="1">
        <f ca="1">SUMIFS(Table_Process_Details[RV Eutrophication (kg phosphate equiv.) per kg API (WATER)],Table_Process_Details[Display Name],Table_Process_Details[[#This Row],[Unique Process Inputs]],Table_Process_Details[Input or Output],"Input")</f>
        <v>0</v>
      </c>
      <c r="GZ44" s="1">
        <f ca="1">SUMIFS(Table_Process_Details[RV Eutrophication (kg phosphate equiv.) per kg API (ENZ&amp;PLNT)],Table_Process_Details[Display Name],Table_Process_Details[[#This Row],[Unique Process Inputs]],Table_Process_Details[Input or Output],"Input")</f>
        <v>0</v>
      </c>
      <c r="HA44" s="1">
        <f ca="1">SUMIFS(Table_Process_Details[RV Eutrophication (kg phosphate equiv.) per kg API (OTHER)],Table_Process_Details[Display Name],Table_Process_Details[[#This Row],[Unique Process Inputs]],Table_Process_Details[Input or Output],"Input")</f>
        <v>0</v>
      </c>
      <c r="HB44"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4"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4" s="22" t="e">
        <f ca="1">SUM(OFFSET(Table_Process_Details['[Eutrophication (kg posphate equiv.) per kg API'] of Unique Inputs Sorted by '[Eutrophication (kg posphate equiv.) per kg API']],0,0,Table_Process_Details[[#This Row],[Table Row]]))</f>
        <v>#N/A</v>
      </c>
      <c r="HE44"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4" s="1" t="e">
        <f ca="1">INDEX(Table_Process_Details[Total '[Eutrophication (kg posphate equiv.) per kg API'] of Unique Inputs (REAGENT)], MATCH(Table_Process_Details[[#This Row],[Unique Inputs Sorted by '[Eutrophication (kg posphate equiv.) per kg API']]],Table_Process_Details[Unique Process Inputs],0))</f>
        <v>#N/A</v>
      </c>
      <c r="HG44" s="1" t="e">
        <f ca="1">INDEX(Table_Process_Details[Total '[Eutrophication (kg posphate equiv.) per kg API'] of Unique Inputs (METAL)], MATCH(Table_Process_Details[[#This Row],[Unique Inputs Sorted by '[Eutrophication (kg posphate equiv.) per kg API']]],Table_Process_Details[Unique Process Inputs],0))</f>
        <v>#N/A</v>
      </c>
      <c r="HH44" s="1" t="e">
        <f ca="1">INDEX(Table_Process_Details[Total '[Eutrophication (kg posphate equiv.) per kg API'] of Unique Inputs (SOLVENT)], MATCH(Table_Process_Details[[#This Row],[Unique Inputs Sorted by '[Eutrophication (kg posphate equiv.) per kg API']]],Table_Process_Details[Unique Process Inputs],0))</f>
        <v>#N/A</v>
      </c>
      <c r="HI44" s="1" t="e">
        <f ca="1">INDEX(Table_Process_Details[Total '[Eutrophication (kg posphate equiv.) per kg API'] of Unique Inputs (WATER)], MATCH(Table_Process_Details[[#This Row],[Unique Inputs Sorted by '[Eutrophication (kg posphate equiv.) per kg API']]],Table_Process_Details[Unique Process Inputs],0))</f>
        <v>#N/A</v>
      </c>
      <c r="HJ44" s="1" t="e">
        <f ca="1">INDEX(Table_Process_Details[Total '[Eutrophication (kg posphate equiv.) per kg API'] of Unique Inputs (ENZ&amp;PLNT)], MATCH(Table_Process_Details[[#This Row],[Unique Inputs Sorted by '[Eutrophication (kg posphate equiv.) per kg API']]],Table_Process_Details[Unique Process Inputs],0))</f>
        <v>#N/A</v>
      </c>
      <c r="HK44" s="1" t="e">
        <f ca="1">INDEX(Table_Process_Details[Total '[Eutrophication (kg posphate equiv.) per kg API'] of Unique Inputs (OTHER)], MATCH(Table_Process_Details[[#This Row],[Unique Inputs Sorted by '[Eutrophication (kg posphate equiv.) per kg API']]],Table_Process_Details[Unique Process Inputs],0))</f>
        <v>#N/A</v>
      </c>
      <c r="HL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4" s="1">
        <f ca="1">SUMIFS(Table_Process_Details[RV Water (kg) per kg API],Table_Process_Details[Display Name],Table_Process_Details[[#This Row],[Unique Process Inputs]],Table_Process_Details[Input or Output],"Input")</f>
        <v>0</v>
      </c>
      <c r="HT44" s="1">
        <f ca="1">SUMIFS(Table_Process_Details[RV Water (kg) per kg API (REAGENT)],Table_Process_Details[Display Name],Table_Process_Details[[#This Row],[Unique Process Inputs]],Table_Process_Details[Input or Output],"Input")</f>
        <v>0</v>
      </c>
      <c r="HU44" s="1">
        <f ca="1">SUMIFS(Table_Process_Details[RV Water (kg) per kg API (METAL)],Table_Process_Details[Display Name],Table_Process_Details[[#This Row],[Unique Process Inputs]],Table_Process_Details[Input or Output],"Input")</f>
        <v>0</v>
      </c>
      <c r="HV44" s="1">
        <f ca="1">SUMIFS(Table_Process_Details[RV Water (kg) per kg API (SOLVENT)],Table_Process_Details[Display Name],Table_Process_Details[[#This Row],[Unique Process Inputs]],Table_Process_Details[Input or Output],"Input")</f>
        <v>0</v>
      </c>
      <c r="HW44" s="1">
        <f ca="1">SUMIFS(Table_Process_Details[RV Water (kg) per kg API (WATER)],Table_Process_Details[Display Name],Table_Process_Details[[#This Row],[Unique Process Inputs]],Table_Process_Details[Input or Output],"Input")</f>
        <v>0</v>
      </c>
      <c r="HX44" s="1">
        <f ca="1">SUMIFS(Table_Process_Details[RV Water (kg) per kg API (ENZ&amp;PLNT)],Table_Process_Details[Display Name],Table_Process_Details[[#This Row],[Unique Process Inputs]],Table_Process_Details[Input or Output],"Input")</f>
        <v>0</v>
      </c>
      <c r="HY44" s="1">
        <f ca="1">SUMIFS(Table_Process_Details[RV Water (kg) per kg API (OTHER)],Table_Process_Details[Display Name],Table_Process_Details[[#This Row],[Unique Process Inputs]],Table_Process_Details[Input or Output],"Input")</f>
        <v>0</v>
      </c>
      <c r="HZ44" s="22" t="e">
        <f ca="1">INDEX(Table_Process_Details[Unique Process Inputs],MATCH(Table_Process_Details[[#This Row],['[Water (kg) per kg API'] of Unique Inputs Sorted by '[Water (kg) per kg API']]],Table_Process_Details[Total '[Water (kg) per kg API'] of Unique Inputs],0))</f>
        <v>#N/A</v>
      </c>
      <c r="IA44" s="22" t="e">
        <f ca="1">IF(LARGE(Table_Process_Details[Total '[Water (kg) per kg API'] of Unique Inputs],Table_Process_Details[[#This Row],[Table Row]])=0,NA(),LARGE(Table_Process_Details[Total '[Water (kg) per kg API'] of Unique Inputs],Table_Process_Details[[#This Row],[Table Row]]))</f>
        <v>#N/A</v>
      </c>
      <c r="IB44" s="1" t="e">
        <f ca="1">SUM(OFFSET(Table_Process_Details['[Water (kg) per kg API'] of Unique Inputs Sorted by '[Water (kg) per kg API']],0,0,Table_Process_Details[[#This Row],[Table Row]]))</f>
        <v>#N/A</v>
      </c>
      <c r="IC44" s="1" t="e">
        <f ca="1">"("&amp;TEXT(Table_Process_Details[[#This Row],['[Water (kg) per kg API'] of Unique Inputs Sorted by '[Water (kg) per kg API']]]/SUMIF(Table_Process_Details['[Water (kg) per kg API'] of Unique Inputs Sorted by '[Water (kg) per kg API']],"&lt;&gt;#N/A"),"0%")&amp;")"</f>
        <v>#N/A</v>
      </c>
      <c r="ID44" s="1" t="e">
        <f ca="1">INDEX(Table_Process_Details[Total '[Water (kg) per kg API'] of Unique Inputs (REAGENT)], MATCH(Table_Process_Details[[#This Row],[Unique Inputs Sorted by '[Water (kg) per kg API']]],Table_Process_Details[Unique Process Inputs],0))</f>
        <v>#N/A</v>
      </c>
      <c r="IE44" s="1" t="e">
        <f ca="1">INDEX(Table_Process_Details[Total '[Water (kg) per kg API'] of Unique Inputs (METAL)], MATCH(Table_Process_Details[[#This Row],[Unique Inputs Sorted by '[Water (kg) per kg API']]],Table_Process_Details[Unique Process Inputs],0))</f>
        <v>#N/A</v>
      </c>
      <c r="IF44" s="1" t="e">
        <f ca="1">INDEX(Table_Process_Details[Total '[Water (kg) per kg API'] of Unique Inputs (SOLVENT)], MATCH(Table_Process_Details[[#This Row],[Unique Inputs Sorted by '[Water (kg) per kg API']]],Table_Process_Details[Unique Process Inputs],0))</f>
        <v>#N/A</v>
      </c>
      <c r="IG44" s="1" t="e">
        <f ca="1">INDEX(Table_Process_Details[Total '[Water (kg) per kg API'] of Unique Inputs (WATER)], MATCH(Table_Process_Details[[#This Row],[Unique Inputs Sorted by '[Water (kg) per kg API']]],Table_Process_Details[Unique Process Inputs],0))</f>
        <v>#N/A</v>
      </c>
      <c r="IH44" s="1" t="e">
        <f ca="1">INDEX(Table_Process_Details[Total '[Water (kg) per kg API'] of Unique Inputs (ENZ&amp;PLNT)], MATCH(Table_Process_Details[[#This Row],[Unique Inputs Sorted by '[Water (kg) per kg API']]],Table_Process_Details[Unique Process Inputs],0))</f>
        <v>#N/A</v>
      </c>
      <c r="II44" s="1" t="e">
        <f ca="1">INDEX(Table_Process_Details[Total '[Water (kg) per kg API'] of Unique Inputs (OTHER)], MATCH(Table_Process_Details[[#This Row],[Unique Inputs Sorted by '[Water (kg) per kg API']]],Table_Process_Details[Unique Process Inputs],0))</f>
        <v>#N/A</v>
      </c>
    </row>
    <row r="45" spans="1:243" customFormat="1" x14ac:dyDescent="0.25">
      <c r="A45" s="22" t="str">
        <f>A44</f>
        <v>2b) Virtual solution prep for (2): 30 wt% reagent F (inorganic) in water</v>
      </c>
      <c r="B45" s="21" t="s">
        <v>4</v>
      </c>
      <c r="C45" s="21" t="s">
        <v>6</v>
      </c>
      <c r="D45" s="22" t="s">
        <v>146</v>
      </c>
      <c r="E45" s="22" t="s">
        <v>814</v>
      </c>
      <c r="F45" s="26">
        <v>80</v>
      </c>
      <c r="G45" s="26"/>
      <c r="H45" s="26"/>
      <c r="I45" s="26"/>
      <c r="J45" s="26" t="str">
        <f>INDEX(Process_Steps[Reference],MATCH(Table_Process_Details[[#This Row],[Step Name]],Process_Steps[Name],0))</f>
        <v>Reference Document for Step 2</v>
      </c>
      <c r="K45" s="27" t="str">
        <f>INDEX(Process_Steps[Real or Virtual?],MATCH(Table_Process_Details[[#This Row],[Step Name]],Process_Steps[Name],0))</f>
        <v>Virtual</v>
      </c>
      <c r="L4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4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45" s="26">
        <f>INDEX(Table_Process_Details[Physical Mass (kg)],MATCH(1,INDEX(((Table_Process_Details[Step Name]=Table_Process_Details[[#This Row],[Step Name]])*(Table_Process_Details[Input or Output]="Output")),0),0))</f>
        <v>110</v>
      </c>
      <c r="O45" s="29">
        <f ca="1">INDEX(Process_Steps[Step Scale Factor for 1kg Packaged API],MATCH(Table_Process_Details[[#This Row],[Step Name]],Process_Steps[Name],0))</f>
        <v>6.3546386869875945E-3</v>
      </c>
      <c r="P4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8.6666666666666661</v>
      </c>
      <c r="Q4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11.666666666666666</v>
      </c>
      <c r="R45" s="26">
        <f ca="1">_xlfn.SWITCH(Run_Reset_PNG,"Reset",Table_Process_Details[[#This Row],[X Init]],"Run",Table_Process_Details[[#This Row],[X Moved]],"Freeze",Table_Process_Details[[#This Row],[X Mover]])</f>
        <v>-3.8908803871768916</v>
      </c>
      <c r="S45" s="26">
        <f ca="1">_xlfn.SWITCH(Run_Reset_PNG,"Reset",Table_Process_Details[[#This Row],[Y Init]],"Run",Table_Process_Details[[#This Row],[Y Moved]],"Freeze",Table_Process_Details[[#This Row],[Y Mover]])</f>
        <v>-4.2968862682166682</v>
      </c>
      <c r="T45" s="26" cm="1">
        <f t="array" aca="1" ref="T4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-1.145850365758023</v>
      </c>
      <c r="U45" s="26" cm="1">
        <f t="array" aca="1" ref="U4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-6.0628488275127896</v>
      </c>
      <c r="V45" s="26" cm="1">
        <f t="array" aca="1" ref="V45" ca="1">SUM(--(SQRT((Table_Process_Details[[#This Row],[X Mover]]-Table_Process_Details[X Mover])^2+(Table_Process_Details[[#This Row],[Y Mover]]-Table_Process_Details[Y Mover])^2)&lt;Collision_Distance))</f>
        <v>10</v>
      </c>
      <c r="W45" s="26" cm="1">
        <f t="array" aca="1" ref="W4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2.683364008855265E-2</v>
      </c>
      <c r="X45" s="26" cm="1">
        <f t="array" aca="1" ref="X4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0.51900132445522185</v>
      </c>
      <c r="Y45" s="26" cm="1">
        <f t="array" aca="1" ref="Y4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5" s="26">
        <f>0</f>
        <v>0</v>
      </c>
      <c r="AA45" s="26">
        <f>0</f>
        <v>0</v>
      </c>
      <c r="AB4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1.9454401935884458</v>
      </c>
      <c r="AC45" s="26" cm="1">
        <f t="array" aca="1" ref="AC4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2.1484431341083341</v>
      </c>
      <c r="AD45" s="26">
        <f>MIN(1,COUNTA(Table_Process_Details[[#This Row],[target x]]),COUNTA(Table_Process_Details[[#This Row],[target y]]))*COUNTA(Table_Process_Details[Step Name])</f>
        <v>98</v>
      </c>
      <c r="AE4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-3.9587803531173198</v>
      </c>
      <c r="AF4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-4.3622469373891706</v>
      </c>
      <c r="AG4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5" s="26" cm="1">
        <f t="array" aca="1" ref="AH45" ca="1">INDEX(Table_Process_Details[X Mover],MATCH(1,INDEX((Table_Process_Details[Input or Output]="Output")*(Table_Process_Details[Step Name]=Table_Process_Details[[#This Row],[Step Name]])*(Table_Process_Details[[#This Row],[Input or Output]]="Input"),0),0))</f>
        <v>-3.6823126540307705</v>
      </c>
      <c r="AI45" s="26" cm="1">
        <f t="array" aca="1" ref="AI45" ca="1">INDEX(Table_Process_Details[Y Mover],MATCH(1,INDEX((Table_Process_Details[Input or Output]="Output")*(Table_Process_Details[Step Name]=Table_Process_Details[[#This Row],[Step Name]])*(Table_Process_Details[[#This Row],[Input or Output]]="Input"),0),0))</f>
        <v>-0.26288531328701153</v>
      </c>
      <c r="AJ45" s="26" t="e">
        <f ca="1">SQRT((Table_Process_Details[[#This Row],[X End (To Node Center)]]-Table_Process_Details[[#This Row],[X Guide]])^2+(Table_Process_Details[[#This Row],[Y End (to Node Center)]]-Table_Process_Details[[#This Row],[Y Guide]])^2)</f>
        <v>#N/A</v>
      </c>
      <c r="AK45" s="26" t="e" cm="1">
        <f t="array" ref="AK45">INDEX(Table_Process_Details[X Mover],MATCH(1,INDEX((Table_Process_Details[Step Name]=Table_Process_Details[[#This Row],[LCA Data Source Subclass]])*(Table_Process_Details[Input or Output]="Output"),0)*(Table_Process_Details[[#This Row],[Input or Output]]="Input"),0))</f>
        <v>#N/A</v>
      </c>
      <c r="AL45" s="26" cm="1">
        <f t="array" aca="1" ref="AL45" ca="1">INDEX(Table_Process_Details[X Mover],MATCH(1,INDEX(((Table_Process_Details[Table Row]=Table_Process_Details[[#This Row],[Table Row]])*(1)),0)*(Table_Process_Details[[#This Row],[Input or Output]]="Input"),0))</f>
        <v>-3.8908803871768916</v>
      </c>
      <c r="AM45" s="26" t="e" cm="1">
        <f t="array" aca="1" ref="AM45" ca="1">(Table_Process_Details[[#This Row],[X End (To Node Center)]]*Table_Process_Details[[#This Row],[r0]]-Table_Process_Details[[#This Row],[X End (To Node Center)]]*Arrow_Offset+Table_Process_Details[[#This Row],[X Guide]]*Arrow_Offset)/Table_Process_Details[[#This Row],[r0]]</f>
        <v>#N/A</v>
      </c>
      <c r="AN45" s="26" t="e">
        <f>IF(NOT(Table_Process_Details[[#This Row],[Display As]]="None"),Table_Process_Details[[#This Row],[X Start Prefilter]],NA())</f>
        <v>#N/A</v>
      </c>
      <c r="AO45" s="26" t="e">
        <f>IF(NOT(Table_Process_Details[[#This Row],[Display As]]="None"),Table_Process_Details[[#This Row],[X Guide Prefilter]],NA())</f>
        <v>#N/A</v>
      </c>
      <c r="AP45" s="26" t="e">
        <f>IF(NOT(Table_Process_Details[[#This Row],[Display As]]="None"),Table_Process_Details[[#This Row],[X End (to Stop Radius) Prefilter]],NA())</f>
        <v>#N/A</v>
      </c>
      <c r="AQ45" s="26" t="e">
        <f>NA()</f>
        <v>#N/A</v>
      </c>
      <c r="AR45" s="26" t="e" cm="1">
        <f t="array" ref="AR45">INDEX(Table_Process_Details[Y Mover],MATCH(1,INDEX((Table_Process_Details[Step Name]=Table_Process_Details[[#This Row],[LCA Data Source Subclass]])*(Table_Process_Details[Input or Output]="Output"),0)*(Table_Process_Details[[#This Row],[Input or Output]]="Input"),0))</f>
        <v>#N/A</v>
      </c>
      <c r="AS45" s="26" cm="1">
        <f t="array" aca="1" ref="AS45" ca="1">INDEX(Table_Process_Details[Y Mover],MATCH(1,INDEX(((Table_Process_Details[Table Row]=Table_Process_Details[[#This Row],[Table Row]])*(1)),0)*(Table_Process_Details[[#This Row],[Input or Output]]="Input"),0))</f>
        <v>-4.2968862682166682</v>
      </c>
      <c r="AT45" s="26" t="e" cm="1">
        <f t="array" aca="1" ref="AT45" ca="1">(Table_Process_Details[[#This Row],[Y Guide]]*Arrow_Offset-Table_Process_Details[[#This Row],[Y End (to Node Center)]]*Arrow_Offset+Table_Process_Details[[#This Row],[Y End (to Node Center)]]*Table_Process_Details[[#This Row],[r0]])/Table_Process_Details[[#This Row],[r0]]</f>
        <v>#N/A</v>
      </c>
      <c r="AU45" s="26" t="e">
        <f>IF(NOT(Table_Process_Details[[#This Row],[Display As]]="None"),Table_Process_Details[[#This Row],[Y Start Prefilter]],NA())</f>
        <v>#N/A</v>
      </c>
      <c r="AV45" s="26" t="e">
        <f>IF(NOT(Table_Process_Details[[#This Row],[Display As]]="None"),Table_Process_Details[[#This Row],[Y Guide Prefilter]],NA())</f>
        <v>#N/A</v>
      </c>
      <c r="AW45" s="26" t="e">
        <f>IF(NOT(Table_Process_Details[[#This Row],[Display As]]="None"),Table_Process_Details[[#This Row],[Y End (to Stop Radius) Prefilter]],NA())</f>
        <v>#N/A</v>
      </c>
      <c r="AX45" s="26" t="e">
        <f>NA()</f>
        <v>#N/A</v>
      </c>
      <c r="AY45" s="26" t="e">
        <f>IF(Table_Process_Details[[#This Row],[Display As]]="Real Step",Table_Process_Details[[#This Row],[X Mover]],NA())</f>
        <v>#N/A</v>
      </c>
      <c r="AZ45" s="26" t="e">
        <f>IF(Table_Process_Details[[#This Row],[Display As]]="Real Step",Table_Process_Details[[#This Row],[Y Mover]],NA())</f>
        <v>#N/A</v>
      </c>
      <c r="BA45" s="26" t="e">
        <f>IF(Table_Process_Details[[#This Row],[Display As]]="Raw Material",Table_Process_Details[[#This Row],[X Mover]],NA())</f>
        <v>#N/A</v>
      </c>
      <c r="BB45" s="26" t="e">
        <f>IF(Table_Process_Details[[#This Row],[Display As]]="Raw Material",Table_Process_Details[[#This Row],[Y Mover]],NA())</f>
        <v>#N/A</v>
      </c>
      <c r="BC45" s="26" t="e">
        <f>IF(OR(Table_Process_Details[[#This Row],[Display As]]="Real Step",Table_Process_Details[[#This Row],[Display As]]="Raw Material"),Table_Process_Details[[#This Row],[X Mover]],NA())</f>
        <v>#N/A</v>
      </c>
      <c r="BD45" s="26" t="e">
        <f>IF(OR(Table_Process_Details[[#This Row],[Display As]]="Real Step",Table_Process_Details[[#This Row],[Display As]]="Raw Material"),Table_Process_Details[[#This Row],[Y Mover]],NA())</f>
        <v>#N/A</v>
      </c>
      <c r="BE45" s="22">
        <f>ROW()-ROW(Table_Process_Details[[#Headers],[Table Row]])</f>
        <v>41</v>
      </c>
      <c r="BF45" s="23" t="str" cm="1">
        <f t="array" aca="1" ref="BF45" ca="1">INDEX(Table_Process_Details[Display Name],MATCH(0,IF(Table_Process_Details[Input or Output]="Input",INDEX(COUNTIF(OFFSET(Table_Process_Details[[#Headers],[Unique Process Inputs]],0,0,Table_Process_Details[[#This Row],[Table Row]],1),Table_Process_Details[Display Name]),),""),0))</f>
        <v>reagent L (organic)</v>
      </c>
      <c r="BG45" s="23">
        <f ca="1">Table_Process_Details[[#This Row],[Physical Mass (kg)]]*Table_Process_Details[[#This Row],[Step Scale Factor for 1kg Packaged API]]</f>
        <v>0.50837109495900756</v>
      </c>
      <c r="BH4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5" s="23">
        <f ca="1">MATCH(Table_Process_Details[[#This Row],[LCA Data Source Class]],INDIRECT(Table_Process_Details[[#This Row],[Input or Output]]),0)</f>
        <v>2</v>
      </c>
      <c r="BJ45" s="23">
        <f ca="1">MATCH(Table_Process_Details[[#This Row],[LCA Data Source Subclass]],INDIRECT(Table_Process_Details[[#This Row],[LCA Data Source Class]]&amp;"[Name]"),0)</f>
        <v>64</v>
      </c>
      <c r="BK45" s="23">
        <f ca="1">IFERROR(INDEX(INDIRECT(Table_Process_Details[[#This Row],[LCA Data Source Class]]&amp;"[Mass Net (kg)]"),MATCH(Table_Process_Details[[#This Row],[LCA Data Source Subclass]],INDIRECT(Table_Process_Details[[#This Row],[LCA Data Source Class]]&amp;"[Name]"),0)),0)</f>
        <v>1.5302652999999999E-3</v>
      </c>
      <c r="BL45" s="23">
        <f ca="1">IFERROR(INDEX(INDIRECT(Table_Process_Details[[#This Row],[LCA Data Source Class]]&amp;"[Energy (MJ)]"),MATCH(Table_Process_Details[[#This Row],[LCA Data Source Subclass]],INDIRECT(Table_Process_Details[[#This Row],[LCA Data Source Class]]&amp;"[Name]"),0)),0)</f>
        <v>1.9058192000000002E-2</v>
      </c>
      <c r="BM45" s="23">
        <f ca="1">IFERROR(INDEX(INDIRECT(Table_Process_Details[[#This Row],[LCA Data Source Class]]&amp;"[GWP (kg CO2 equiv.)]"),MATCH(Table_Process_Details[[#This Row],[LCA Data Source Subclass]],INDIRECT(Table_Process_Details[[#This Row],[LCA Data Source Class]]&amp;"[Name]"),0)),0)</f>
        <v>1.015742E-3</v>
      </c>
      <c r="BN45" s="23">
        <f ca="1">IFERROR(INDEX(INDIRECT(Table_Process_Details[[#This Row],[LCA Data Source Class]]&amp;"[Acidification (kg SO2 equiv.)]"),MATCH(Table_Process_Details[[#This Row],[LCA Data Source Subclass]],INDIRECT(Table_Process_Details[[#This Row],[LCA Data Source Class]]&amp;"[Name]"),0)),0)</f>
        <v>3.8914349999999996E-6</v>
      </c>
      <c r="BO45" s="23">
        <f ca="1">IFERROR(INDEX(INDIRECT(Table_Process_Details[[#This Row],[LCA Data Source Class]]&amp;"[Eutrophication (kg posphate equiv.)]"),MATCH(Table_Process_Details[[#This Row],[LCA Data Source Subclass]],INDIRECT(Table_Process_Details[[#This Row],[LCA Data Source Class]]&amp;"[Name]"),0)),0)</f>
        <v>2.3181694000000001E-6</v>
      </c>
      <c r="BP45" s="23">
        <f ca="1">IFERROR(INDEX(INDIRECT(Table_Process_Details[[#This Row],[LCA Data Source Class]]&amp;"[Water (kg)]"),MATCH(Table_Process_Details[[#This Row],[LCA Data Source Subclass]],INDIRECT(Table_Process_Details[[#This Row],[LCA Data Source Class]]&amp;"[Name]"),0)),0)</f>
        <v>1.2633490999999999</v>
      </c>
      <c r="BQ45" s="27">
        <f ca="1">(Table_Process_Details[[#This Row],[Input or Output]]="Input")*(Table_Process_Details[[#This Row],[LCA Data Source Class]]&lt;&gt;"Process_Steps")*Table_Process_Details[[#This Row],[Scaled Physical Mass per kg API for All Inputs &amp; Outputs]]</f>
        <v>0.50837109495900756</v>
      </c>
      <c r="BR45" s="27">
        <f ca="1">(Table_Process_Details[[#This Row],[Material Class]]="REAGENT")*Table_Process_Details[[#This Row],[Physical Mass per kg API]]</f>
        <v>0</v>
      </c>
      <c r="BS45" s="27">
        <f ca="1">(Table_Process_Details[[#This Row],[Material Class]]="METAL")*Table_Process_Details[[#This Row],[Physical Mass per kg API]]</f>
        <v>0</v>
      </c>
      <c r="BT45" s="27">
        <f ca="1">(Table_Process_Details[[#This Row],[Material Class]]="SOLVENT")*Table_Process_Details[[#This Row],[Physical Mass per kg API]]</f>
        <v>0</v>
      </c>
      <c r="BU45" s="27">
        <f ca="1">(Table_Process_Details[[#This Row],[Material Class]]="WATER")*Table_Process_Details[[#This Row],[Physical Mass per kg API]]</f>
        <v>0.50837109495900756</v>
      </c>
      <c r="BV45" s="27">
        <f ca="1">(Table_Process_Details[[#This Row],[Material Class]]="ENZ&amp;PLNT")*Table_Process_Details[[#This Row],[Physical Mass per kg API]]</f>
        <v>0</v>
      </c>
      <c r="BW45" s="27">
        <f ca="1">(Table_Process_Details[[#This Row],[Material Class]]="OTHER")*Table_Process_Details[[#This Row],[Physical Mass per kg API]]</f>
        <v>0</v>
      </c>
      <c r="BX4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5" s="1">
        <f ca="1">SUMIFS(Table_Process_Details[RV Physical Mass per kg API],Table_Process_Details[Display Name],Table_Process_Details[[#This Row],[Unique Process Inputs]],Table_Process_Details[Input or Output],"Input")</f>
        <v>0</v>
      </c>
      <c r="CF45" s="1">
        <f ca="1">SUMIFS(Table_Process_Details[RV Physical Mass per kg API (REAGENT)],Table_Process_Details[Display Name],Table_Process_Details[[#This Row],[Unique Process Inputs]],Table_Process_Details[Input or Output],"Input")</f>
        <v>0</v>
      </c>
      <c r="CG45" s="1">
        <f ca="1">SUMIFS(Table_Process_Details[RV Physical Mass per kg API (METAL)],Table_Process_Details[Display Name],Table_Process_Details[[#This Row],[Unique Process Inputs]],Table_Process_Details[Input or Output],"Input")</f>
        <v>0</v>
      </c>
      <c r="CH45" s="1">
        <f ca="1">SUMIFS(Table_Process_Details[RV Physical Mass per kg API (SOLVENT)],Table_Process_Details[Display Name],Table_Process_Details[[#This Row],[Unique Process Inputs]],Table_Process_Details[Input or Output],"Input")</f>
        <v>0</v>
      </c>
      <c r="CI45" s="1">
        <f ca="1">SUMIFS(Table_Process_Details[RV Physical Mass per kg API (WATER)],Table_Process_Details[Display Name],Table_Process_Details[[#This Row],[Unique Process Inputs]],Table_Process_Details[Input or Output],"Input")</f>
        <v>0</v>
      </c>
      <c r="CJ45" s="1">
        <f ca="1">SUMIFS(Table_Process_Details[RV Physical Mass per kg API (ENZ&amp;PLNT)],Table_Process_Details[Display Name],Table_Process_Details[[#This Row],[Unique Process Inputs]],Table_Process_Details[Input or Output],"Input")</f>
        <v>0</v>
      </c>
      <c r="CK45" s="1">
        <f ca="1">SUMIFS(Table_Process_Details[RV Physical Mass per kg API (OTHER)],Table_Process_Details[Display Name],Table_Process_Details[[#This Row],[Unique Process Inputs]],Table_Process_Details[Input or Output],"Input")</f>
        <v>0</v>
      </c>
      <c r="CL45" s="22" t="e">
        <f ca="1">INDEX(Table_Process_Details[Unique Process Inputs],MATCH(Table_Process_Details[[#This Row],['[Physical Mass per kg API'] of Unique Inputs Sorted by '[Physical Mass per kg API']]],Table_Process_Details[Total '[Physical Mass per kg API'] of Unique Inputs],0))</f>
        <v>#N/A</v>
      </c>
      <c r="CM45" s="22" t="e">
        <f ca="1">IF(LARGE(Table_Process_Details[Total '[Physical Mass per kg API'] of Unique Inputs],Table_Process_Details[[#This Row],[Table Row]])=0,NA(),LARGE(Table_Process_Details[Total '[Physical Mass per kg API'] of Unique Inputs],Table_Process_Details[[#This Row],[Table Row]]))</f>
        <v>#N/A</v>
      </c>
      <c r="CN45" s="22" t="e">
        <f ca="1">SUM(OFFSET(Table_Process_Details['[Physical Mass per kg API'] of Unique Inputs Sorted by '[Physical Mass per kg API']],0,0,Table_Process_Details[[#This Row],[Table Row]]))</f>
        <v>#N/A</v>
      </c>
      <c r="CO45" s="22" t="e">
        <f ca="1">"("&amp;TEXT(Table_Process_Details[[#This Row],['[Physical Mass per kg API'] of Unique Inputs Sorted by '[Physical Mass per kg API']]]/SUMIF(Table_Process_Details['[Physical Mass per kg API'] of Unique Inputs Sorted by '[Physical Mass per kg API']],"&lt;&gt;#N/A"),"0%")&amp;")"</f>
        <v>#N/A</v>
      </c>
      <c r="CP45" s="22" t="e">
        <f ca="1">INDEX(Table_Process_Details[Total '[Physical Mass per kg API'] of Unique Inputs (REAGENT)],MATCH(Table_Process_Details[[#This Row],[Unique Inputs Sorted by '[Physical Mass per kg API']]],Table_Process_Details[Unique Process Inputs],0))</f>
        <v>#N/A</v>
      </c>
      <c r="CQ45" s="22" t="e">
        <f ca="1">INDEX(Table_Process_Details[Total '[Physical Mass per kg API'] of Unique Inputs (METAL)],MATCH(Table_Process_Details[[#This Row],[Unique Inputs Sorted by '[Physical Mass per kg API']]],Table_Process_Details[Unique Process Inputs],0))</f>
        <v>#N/A</v>
      </c>
      <c r="CR45" s="22" t="e">
        <f ca="1">INDEX(Table_Process_Details[Total '[Physical Mass per kg API'] of Unique Inputs (SOLVENT)],MATCH(Table_Process_Details[[#This Row],[Unique Inputs Sorted by '[Physical Mass per kg API']]],Table_Process_Details[Unique Process Inputs],0))</f>
        <v>#N/A</v>
      </c>
      <c r="CS45" s="22" t="e">
        <f ca="1">INDEX(Table_Process_Details[Total '[Physical Mass per kg API'] of Unique Inputs (WATER)],MATCH(Table_Process_Details[[#This Row],[Unique Inputs Sorted by '[Physical Mass per kg API']]],Table_Process_Details[Unique Process Inputs],0))</f>
        <v>#N/A</v>
      </c>
      <c r="CT45" s="22" t="e">
        <f ca="1">INDEX(Table_Process_Details[Total '[Physical Mass per kg API'] of Unique Inputs (ENZ&amp;PLNT)],MATCH(Table_Process_Details[[#This Row],[Unique Inputs Sorted by '[Physical Mass per kg API']]],Table_Process_Details[Unique Process Inputs],0))</f>
        <v>#N/A</v>
      </c>
      <c r="CU45" s="22" t="e">
        <f ca="1">INDEX(Table_Process_Details[Total '[Physical Mass per kg API'] of Unique Inputs (OTHER)],MATCH(Table_Process_Details[[#This Row],[Unique Inputs Sorted by '[Physical Mass per kg API']]],Table_Process_Details[Unique Process Inputs],0))</f>
        <v>#N/A</v>
      </c>
      <c r="CV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5" s="22">
        <f ca="1">SUMIFS(Table_Process_Details[RV Mass Net (kg) per kg API],Table_Process_Details[Display Name],Table_Process_Details[[#This Row],[Unique Process Inputs]],Table_Process_Details[Input or Output],"Input")</f>
        <v>0</v>
      </c>
      <c r="DD45" s="22">
        <f ca="1">SUMIFS(Table_Process_Details[RV Mass Net (kg) per kg API (REAGENT)],Table_Process_Details[Display Name],Table_Process_Details[[#This Row],[Unique Process Inputs]],Table_Process_Details[Input or Output],"Input")</f>
        <v>0</v>
      </c>
      <c r="DE45" s="22">
        <f ca="1">SUMIFS(Table_Process_Details[RV Mass Net (kg) per kg API (METAL)],Table_Process_Details[Display Name],Table_Process_Details[[#This Row],[Unique Process Inputs]],Table_Process_Details[Input or Output],"Input")</f>
        <v>0</v>
      </c>
      <c r="DF45" s="22">
        <f ca="1">SUMIFS(Table_Process_Details[RV Mass Net (kg) per kg API (SOLVENT)],Table_Process_Details[Display Name],Table_Process_Details[[#This Row],[Unique Process Inputs]],Table_Process_Details[Input or Output],"Input")</f>
        <v>0</v>
      </c>
      <c r="DG45" s="22">
        <f ca="1">SUMIFS(Table_Process_Details[RV Mass Net (kg) per kg API (WATER)],Table_Process_Details[Display Name],Table_Process_Details[[#This Row],[Unique Process Inputs]],Table_Process_Details[Input or Output],"Input")</f>
        <v>0</v>
      </c>
      <c r="DH45" s="22">
        <f ca="1">SUMIFS(Table_Process_Details[RV Mass Net (kg) per kg API (ENZ&amp;PLNT)],Table_Process_Details[Display Name],Table_Process_Details[[#This Row],[Unique Process Inputs]],Table_Process_Details[Input or Output],"Input")</f>
        <v>0</v>
      </c>
      <c r="DI45" s="22">
        <f ca="1">SUMIFS(Table_Process_Details[RV Mass Net (kg) per kg API (OTHER)],Table_Process_Details[Display Name],Table_Process_Details[[#This Row],[Unique Process Inputs]],Table_Process_Details[Input or Output],"Input")</f>
        <v>0</v>
      </c>
      <c r="DJ45" s="22" t="e">
        <f ca="1">INDEX(Table_Process_Details[Unique Process Inputs],MATCH(Table_Process_Details[[#This Row],['[Mass Net (kg) per kg API'] of Unique Inputs Sorted by '[Mass Net (kg) per kg API']]],Table_Process_Details[Total '[Mass Net (kg) per kg API'] of Unique Inputs],0))</f>
        <v>#N/A</v>
      </c>
      <c r="DK45" s="22" t="e">
        <f ca="1">IF(LARGE(Table_Process_Details[Total '[Mass Net (kg) per kg API'] of Unique Inputs],Table_Process_Details[[#This Row],[Table Row]])=0,NA(),LARGE(Table_Process_Details[Total '[Mass Net (kg) per kg API'] of Unique Inputs],Table_Process_Details[[#This Row],[Table Row]]))</f>
        <v>#N/A</v>
      </c>
      <c r="DL45" s="22" t="e">
        <f ca="1">SUM(OFFSET(Table_Process_Details['[Mass Net (kg) per kg API'] of Unique Inputs Sorted by '[Mass Net (kg) per kg API']],0,0,Table_Process_Details[[#This Row],[Table Row]]))</f>
        <v>#N/A</v>
      </c>
      <c r="DM45" s="22" t="e">
        <f ca="1">"("&amp;TEXT(Table_Process_Details[[#This Row],['[Mass Net (kg) per kg API'] of Unique Inputs Sorted by '[Mass Net (kg) per kg API']]]/SUMIF(Table_Process_Details['[Mass Net (kg) per kg API'] of Unique Inputs Sorted by '[Mass Net (kg) per kg API']],"&lt;&gt;#N/A"),"0%")&amp;")"</f>
        <v>#N/A</v>
      </c>
      <c r="DN45" s="22" t="e">
        <f ca="1">INDEX(Table_Process_Details[Total '[Mass Net (kg) per kg API'] of Unique Inputs (REAGENT)], MATCH(Table_Process_Details[[#This Row],[Unique Inputs Sorted by '[Mass Net (kg) per kg API']]],Table_Process_Details[Unique Process Inputs],0))</f>
        <v>#N/A</v>
      </c>
      <c r="DO45" s="22" t="e">
        <f ca="1">INDEX(Table_Process_Details[Total '[Mass Net (kg) per kg API'] of Unique Inputs (METAL)], MATCH(Table_Process_Details[[#This Row],[Unique Inputs Sorted by '[Mass Net (kg) per kg API']]],Table_Process_Details[Unique Process Inputs],0))</f>
        <v>#N/A</v>
      </c>
      <c r="DP45" s="22" t="e">
        <f ca="1">INDEX(Table_Process_Details[Total '[Mass Net (kg) per kg API'] of Unique Inputs (SOLVENT)], MATCH(Table_Process_Details[[#This Row],[Unique Inputs Sorted by '[Mass Net (kg) per kg API']]],Table_Process_Details[Unique Process Inputs],0))</f>
        <v>#N/A</v>
      </c>
      <c r="DQ45" s="22" t="e">
        <f ca="1">INDEX(Table_Process_Details[Total '[Mass Net (kg) per kg API'] of Unique Inputs (WATER)], MATCH(Table_Process_Details[[#This Row],[Unique Inputs Sorted by '[Mass Net (kg) per kg API']]],Table_Process_Details[Unique Process Inputs],0))</f>
        <v>#N/A</v>
      </c>
      <c r="DR45" s="22" t="e">
        <f ca="1">INDEX(Table_Process_Details[Total '[Mass Net (kg) per kg API'] of Unique Inputs (ENZ&amp;PLNT)], MATCH(Table_Process_Details[[#This Row],[Unique Inputs Sorted by '[Mass Net (kg) per kg API']]],Table_Process_Details[Unique Process Inputs],0))</f>
        <v>#N/A</v>
      </c>
      <c r="DS45" s="22" t="e">
        <f ca="1">INDEX(Table_Process_Details[Total '[Mass Net (kg) per kg API'] of Unique Inputs (OTHER)], MATCH(Table_Process_Details[[#This Row],[Unique Inputs Sorted by '[Mass Net (kg) per kg API']]],Table_Process_Details[Unique Process Inputs],0))</f>
        <v>#N/A</v>
      </c>
      <c r="DT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5" s="1">
        <f ca="1">SUMIFS(Table_Process_Details[RV Energy (MJ) per kg API],Table_Process_Details[Display Name],Table_Process_Details[[#This Row],[Unique Process Inputs]],Table_Process_Details[Input or Output],"Input")</f>
        <v>0</v>
      </c>
      <c r="EB45" s="1">
        <f ca="1">SUMIFS(Table_Process_Details[RV Energy (MJ) per kg API (REAGENT)],Table_Process_Details[Display Name],Table_Process_Details[[#This Row],[Unique Process Inputs]],Table_Process_Details[Input or Output],"Input")</f>
        <v>0</v>
      </c>
      <c r="EC45" s="1">
        <f ca="1">SUMIFS(Table_Process_Details[RV Energy (MJ) per kg API (METAL)],Table_Process_Details[Display Name],Table_Process_Details[[#This Row],[Unique Process Inputs]],Table_Process_Details[Input or Output],"Input")</f>
        <v>0</v>
      </c>
      <c r="ED45" s="1">
        <f ca="1">SUMIFS(Table_Process_Details[RV Energy (MJ) per kg API (SOLVENT)],Table_Process_Details[Display Name],Table_Process_Details[[#This Row],[Unique Process Inputs]],Table_Process_Details[Input or Output],"Input")</f>
        <v>0</v>
      </c>
      <c r="EE45" s="1">
        <f ca="1">SUMIFS(Table_Process_Details[RV Energy (MJ) per kg API (WATER)],Table_Process_Details[Display Name],Table_Process_Details[[#This Row],[Unique Process Inputs]],Table_Process_Details[Input or Output],"Input")</f>
        <v>0</v>
      </c>
      <c r="EF45" s="1">
        <f ca="1">SUMIFS(Table_Process_Details[RV Energy (MJ) per kg API (ENZ&amp;PLNT)],Table_Process_Details[Display Name],Table_Process_Details[[#This Row],[Unique Process Inputs]],Table_Process_Details[Input or Output],"Input")</f>
        <v>0</v>
      </c>
      <c r="EG45" s="1">
        <f ca="1">SUMIFS(Table_Process_Details[RV Energy (MJ) per kg API (OTHER)],Table_Process_Details[Display Name],Table_Process_Details[[#This Row],[Unique Process Inputs]],Table_Process_Details[Input or Output],"Input")</f>
        <v>0</v>
      </c>
      <c r="EH45" s="1" t="e">
        <f ca="1">INDEX(Table_Process_Details[Unique Process Inputs],MATCH(Table_Process_Details[[#This Row],['[Energy (MJ) per kg API'] of Unique Inputs Sorted by '[Energy (MJ) per kg API']]],Table_Process_Details[Total '[Energy (MJ) per kg API'] of Unique Inputs],0))</f>
        <v>#N/A</v>
      </c>
      <c r="EI45" s="22" t="e">
        <f ca="1">IF(LARGE(Table_Process_Details[Total '[Energy (MJ) per kg API'] of Unique Inputs],Table_Process_Details[[#This Row],[Table Row]])=0,NA(),LARGE(Table_Process_Details[Total '[Energy (MJ) per kg API'] of Unique Inputs],Table_Process_Details[[#This Row],[Table Row]]))</f>
        <v>#N/A</v>
      </c>
      <c r="EJ45" s="22" t="e">
        <f ca="1">SUM(OFFSET(Table_Process_Details['[Energy (MJ) per kg API'] of Unique Inputs Sorted by '[Energy (MJ) per kg API']],0,0,Table_Process_Details[[#This Row],[Table Row]]))</f>
        <v>#N/A</v>
      </c>
      <c r="EK45" s="22" t="e">
        <f ca="1">"("&amp;TEXT(Table_Process_Details[[#This Row],['[Energy (MJ) per kg API'] of Unique Inputs Sorted by '[Energy (MJ) per kg API']]]/SUMIF(Table_Process_Details['[Energy (MJ) per kg API'] of Unique Inputs Sorted by '[Energy (MJ) per kg API']],"&lt;&gt;#N/A"),"0%")&amp;")"</f>
        <v>#N/A</v>
      </c>
      <c r="EL45" s="22" t="e">
        <f ca="1">INDEX(Table_Process_Details[Total '[Energy (MJ) per kg API'] of Unique Inputs (REAGENT)], MATCH(Table_Process_Details[[#This Row],[Unique Inputs Sorted by '[Energy (MJ) per kg API']]],Table_Process_Details[Unique Process Inputs],0))</f>
        <v>#N/A</v>
      </c>
      <c r="EM45" s="22" t="e">
        <f ca="1">INDEX(Table_Process_Details[Total '[Energy (MJ) per kg API'] of Unique Inputs (METAL)], MATCH(Table_Process_Details[[#This Row],[Unique Inputs Sorted by '[Energy (MJ) per kg API']]],Table_Process_Details[Unique Process Inputs],0))</f>
        <v>#N/A</v>
      </c>
      <c r="EN45" s="22" t="e">
        <f ca="1">INDEX(Table_Process_Details[Total '[Energy (MJ) per kg API'] of Unique Inputs (SOLVENT)], MATCH(Table_Process_Details[[#This Row],[Unique Inputs Sorted by '[Energy (MJ) per kg API']]],Table_Process_Details[Unique Process Inputs],0))</f>
        <v>#N/A</v>
      </c>
      <c r="EO45" s="22" t="e">
        <f ca="1">INDEX(Table_Process_Details[Total '[Energy (MJ) per kg API'] of Unique Inputs (WATER)], MATCH(Table_Process_Details[[#This Row],[Unique Inputs Sorted by '[Energy (MJ) per kg API']]],Table_Process_Details[Unique Process Inputs],0))</f>
        <v>#N/A</v>
      </c>
      <c r="EP45" s="22" t="e">
        <f ca="1">INDEX(Table_Process_Details[Total '[Energy (MJ) per kg API'] of Unique Inputs (ENZ&amp;PLNT)], MATCH(Table_Process_Details[[#This Row],[Unique Inputs Sorted by '[Energy (MJ) per kg API']]],Table_Process_Details[Unique Process Inputs],0))</f>
        <v>#N/A</v>
      </c>
      <c r="EQ45" s="22" t="e">
        <f ca="1">INDEX(Table_Process_Details[Total '[Energy (MJ) per kg API'] of Unique Inputs (OTHER)], MATCH(Table_Process_Details[[#This Row],[Unique Inputs Sorted by '[Energy (MJ) per kg API']]],Table_Process_Details[Unique Process Inputs],0))</f>
        <v>#N/A</v>
      </c>
      <c r="ER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5" s="22">
        <f ca="1">SUMIFS(Table_Process_Details[RV GWP (kg CO2 equiv.) per kg API],Table_Process_Details[Display Name],Table_Process_Details[[#This Row],[Unique Process Inputs]],Table_Process_Details[Input or Output],"Input")</f>
        <v>0</v>
      </c>
      <c r="EZ45" s="1">
        <f ca="1">SUMIFS(Table_Process_Details[RV GWP (kg CO2 equiv.) per kg API (REAGENT)],Table_Process_Details[Display Name],Table_Process_Details[[#This Row],[Unique Process Inputs]],Table_Process_Details[Input or Output],"Input")</f>
        <v>0</v>
      </c>
      <c r="FA45" s="1">
        <f ca="1">SUMIFS(Table_Process_Details[RV GWP (kg CO2 equiv.) per kg API (METAL)],Table_Process_Details[Display Name],Table_Process_Details[[#This Row],[Unique Process Inputs]],Table_Process_Details[Input or Output],"Input")</f>
        <v>0</v>
      </c>
      <c r="FB45" s="1">
        <f ca="1">SUMIFS(Table_Process_Details[RV GWP (kg CO2 equiv.) per kg API (SOLVENT)],Table_Process_Details[Display Name],Table_Process_Details[[#This Row],[Unique Process Inputs]],Table_Process_Details[Input or Output],"Input")</f>
        <v>0</v>
      </c>
      <c r="FC45" s="1">
        <f ca="1">SUMIFS(Table_Process_Details[RV GWP (kg CO2 equiv.) per kg API (WATER)],Table_Process_Details[Display Name],Table_Process_Details[[#This Row],[Unique Process Inputs]],Table_Process_Details[Input or Output],"Input")</f>
        <v>0</v>
      </c>
      <c r="FD45" s="1">
        <f ca="1">SUMIFS(Table_Process_Details[RV GWP (kg CO2 equiv.) per kg API (ENZ&amp;PLNT)],Table_Process_Details[Display Name],Table_Process_Details[[#This Row],[Unique Process Inputs]],Table_Process_Details[Input or Output],"Input")</f>
        <v>0</v>
      </c>
      <c r="FE45" s="1">
        <f ca="1">SUMIFS(Table_Process_Details[RV GWP (kg CO2 equiv.) per kg API (OTHER)],Table_Process_Details[Display Name],Table_Process_Details[[#This Row],[Unique Process Inputs]],Table_Process_Details[Input or Output],"Input")</f>
        <v>0</v>
      </c>
      <c r="FF45" s="22" t="e">
        <f ca="1">INDEX(Table_Process_Details[Unique Process Inputs],MATCH(Table_Process_Details[[#This Row],['[GWP (kg CO2 equiv.) per kg API'] of Unique Inputs Sorted by '[GWP (kg CO2 equiv.) per kg API']]],Table_Process_Details[Total '[GWP (kg CO2 equiv.) per kg API'] of Unique Inputs],0))</f>
        <v>#N/A</v>
      </c>
      <c r="FG45" s="22" t="e">
        <f ca="1">IF(LARGE(Table_Process_Details[Total '[GWP (kg CO2 equiv.) per kg API'] of Unique Inputs],Table_Process_Details[[#This Row],[Table Row]])=0,NA(),LARGE(Table_Process_Details[Total '[GWP (kg CO2 equiv.) per kg API'] of Unique Inputs],Table_Process_Details[[#This Row],[Table Row]]))</f>
        <v>#N/A</v>
      </c>
      <c r="FH45" s="22" t="e">
        <f ca="1">SUM(OFFSET(Table_Process_Details['[GWP (kg CO2 equiv.) per kg API'] of Unique Inputs Sorted by '[GWP (kg CO2 equiv.) per kg API']],0,0,Table_Process_Details[[#This Row],[Table Row]]))</f>
        <v>#N/A</v>
      </c>
      <c r="FI45" s="22" t="e">
        <f ca="1">"("&amp;TEXT(Table_Process_Details[[#This Row],['[GWP (kg CO2 equiv.) per kg API'] of Unique Inputs Sorted by '[GWP (kg CO2 equiv.) per kg API']]]/SUMIF(Table_Process_Details['[GWP (kg CO2 equiv.) per kg API'] of Unique Inputs Sorted by '[GWP (kg CO2 equiv.) per kg API']],"&lt;&gt;#N/A"),"0%")&amp;")"</f>
        <v>#N/A</v>
      </c>
      <c r="FJ45" s="22" t="e">
        <f ca="1">INDEX(Table_Process_Details[Total '[GWP (kg CO2 equiv.) per kg API'] of Unique Inputs (REAGENT)], MATCH(Table_Process_Details[[#This Row],[Unique Inputs Sorted by '[GWP (kg CO2 equiv.) per kg API']]],Table_Process_Details[Unique Process Inputs],0))</f>
        <v>#N/A</v>
      </c>
      <c r="FK45" s="22" t="e">
        <f ca="1">INDEX(Table_Process_Details[Total '[GWP (kg CO2 equiv.) per kg API'] of Unique Inputs (METAL)], MATCH(Table_Process_Details[[#This Row],[Unique Inputs Sorted by '[GWP (kg CO2 equiv.) per kg API']]],Table_Process_Details[Unique Process Inputs],0))</f>
        <v>#N/A</v>
      </c>
      <c r="FL45" s="22" t="e">
        <f ca="1">INDEX(Table_Process_Details[Total '[GWP (kg CO2 equiv.) per kg API'] of Unique Inputs (SOLVENT)], MATCH(Table_Process_Details[[#This Row],[Unique Inputs Sorted by '[GWP (kg CO2 equiv.) per kg API']]],Table_Process_Details[Unique Process Inputs],0))</f>
        <v>#N/A</v>
      </c>
      <c r="FM45" s="22" t="e">
        <f ca="1">INDEX(Table_Process_Details[Total '[GWP (kg CO2 equiv.) per kg API'] of Unique Inputs (WATER)], MATCH(Table_Process_Details[[#This Row],[Unique Inputs Sorted by '[GWP (kg CO2 equiv.) per kg API']]],Table_Process_Details[Unique Process Inputs],0))</f>
        <v>#N/A</v>
      </c>
      <c r="FN45" s="22" t="e">
        <f ca="1">INDEX(Table_Process_Details[Total '[GWP (kg CO2 equiv.) per kg API'] of Unique Inputs (ENZ&amp;PLNT)], MATCH(Table_Process_Details[[#This Row],[Unique Inputs Sorted by '[GWP (kg CO2 equiv.) per kg API']]],Table_Process_Details[Unique Process Inputs],0))</f>
        <v>#N/A</v>
      </c>
      <c r="FO45" s="22" t="e">
        <f ca="1">INDEX(Table_Process_Details[Total '[GWP (kg CO2 equiv.) per kg API'] of Unique Inputs (OTHER)], MATCH(Table_Process_Details[[#This Row],[Unique Inputs Sorted by '[GWP (kg CO2 equiv.) per kg API']]],Table_Process_Details[Unique Process Inputs],0))</f>
        <v>#N/A</v>
      </c>
      <c r="FP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5" s="22">
        <f ca="1">SUMIFS(Table_Process_Details[RV Acidification (kg SO2 equiv.) per kg API],Table_Process_Details[Display Name],Table_Process_Details[[#This Row],[Unique Process Inputs]],Table_Process_Details[Input or Output],"Input")</f>
        <v>0</v>
      </c>
      <c r="FX45" s="1">
        <f ca="1">SUMIFS(Table_Process_Details[RV Acidification (kg SO2 equiv.) per kg API (REAGENT)],Table_Process_Details[Display Name],Table_Process_Details[[#This Row],[Unique Process Inputs]],Table_Process_Details[Input or Output],"Input")</f>
        <v>0</v>
      </c>
      <c r="FY45" s="1">
        <f ca="1">SUMIFS(Table_Process_Details[RV Acidification (kg SO2 equiv.) per kg API (METAL)],Table_Process_Details[Display Name],Table_Process_Details[[#This Row],[Unique Process Inputs]],Table_Process_Details[Input or Output],"Input")</f>
        <v>0</v>
      </c>
      <c r="FZ45" s="1">
        <f ca="1">SUMIFS(Table_Process_Details[RV Acidification (kg SO2 equiv.) per kg API (SOLVENT)],Table_Process_Details[Display Name],Table_Process_Details[[#This Row],[Unique Process Inputs]],Table_Process_Details[Input or Output],"Input")</f>
        <v>0</v>
      </c>
      <c r="GA45" s="1">
        <f ca="1">SUMIFS(Table_Process_Details[RV Acidification (kg SO2 equiv.) per kg API (WATER)],Table_Process_Details[Display Name],Table_Process_Details[[#This Row],[Unique Process Inputs]],Table_Process_Details[Input or Output],"Input")</f>
        <v>0</v>
      </c>
      <c r="GB45" s="1">
        <f ca="1">SUMIFS(Table_Process_Details[RV Acidification (kg SO2 equiv.) per kg API (ENZ&amp;PLNT)],Table_Process_Details[Display Name],Table_Process_Details[[#This Row],[Unique Process Inputs]],Table_Process_Details[Input or Output],"Input")</f>
        <v>0</v>
      </c>
      <c r="GC45" s="1">
        <f ca="1">SUMIFS(Table_Process_Details[RV Acidification (kg SO2 equiv.) per kg API (OTHER)],Table_Process_Details[Display Name],Table_Process_Details[[#This Row],[Unique Process Inputs]],Table_Process_Details[Input or Output],"Input")</f>
        <v>0</v>
      </c>
      <c r="GD45"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5"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5" s="22" t="e">
        <f ca="1">SUM(OFFSET(Table_Process_Details['[Acidification (kg SO2 equiv.) per kg API'] of Unique Inputs Sorted by '[Acidification (kg SO2 equiv.) per kg API']],0,0,Table_Process_Details[[#This Row],[Table Row]]))</f>
        <v>#N/A</v>
      </c>
      <c r="GG45"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5" s="22" t="e">
        <f ca="1">INDEX(Table_Process_Details[Total '[Acidification (kg SO2 equiv.) per kg API'] of Unique Inputs (REAGENT)], MATCH(Table_Process_Details[[#This Row],[Unique Inputs Sorted by '[Acidification (kg SO2 equiv.) per kg API']]],Table_Process_Details[Unique Process Inputs],0))</f>
        <v>#N/A</v>
      </c>
      <c r="GI45" s="22" t="e">
        <f ca="1">INDEX(Table_Process_Details[Total '[Acidification (kg SO2 equiv.) per kg API'] of Unique Inputs (METAL)], MATCH(Table_Process_Details[[#This Row],[Unique Inputs Sorted by '[Acidification (kg SO2 equiv.) per kg API']]],Table_Process_Details[Unique Process Inputs],0))</f>
        <v>#N/A</v>
      </c>
      <c r="GJ45" s="22" t="e">
        <f ca="1">INDEX(Table_Process_Details[Total '[Acidification (kg SO2 equiv.) per kg API'] of Unique Inputs (SOLVENT)], MATCH(Table_Process_Details[[#This Row],[Unique Inputs Sorted by '[Acidification (kg SO2 equiv.) per kg API']]],Table_Process_Details[Unique Process Inputs],0))</f>
        <v>#N/A</v>
      </c>
      <c r="GK45" s="22" t="e">
        <f ca="1">INDEX(Table_Process_Details[Total '[Acidification (kg SO2 equiv.) per kg API'] of Unique Inputs (WATER)], MATCH(Table_Process_Details[[#This Row],[Unique Inputs Sorted by '[Acidification (kg SO2 equiv.) per kg API']]],Table_Process_Details[Unique Process Inputs],0))</f>
        <v>#N/A</v>
      </c>
      <c r="GL45" s="22" t="e">
        <f ca="1">INDEX(Table_Process_Details[Total '[Acidification (kg SO2 equiv.) per kg API'] of Unique Inputs (ENZ&amp;PLNT)], MATCH(Table_Process_Details[[#This Row],[Unique Inputs Sorted by '[Acidification (kg SO2 equiv.) per kg API']]],Table_Process_Details[Unique Process Inputs],0))</f>
        <v>#N/A</v>
      </c>
      <c r="GM45" s="22" t="e">
        <f ca="1">INDEX(Table_Process_Details[Total '[Acidification (kg SO2 equiv.) per kg API'] of Unique Inputs (OTHER)], MATCH(Table_Process_Details[[#This Row],[Unique Inputs Sorted by '[Acidification (kg SO2 equiv.) per kg API']]],Table_Process_Details[Unique Process Inputs],0))</f>
        <v>#N/A</v>
      </c>
      <c r="GN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5" s="22">
        <f ca="1">SUMIFS(Table_Process_Details[RV Eutrophication (kg phosphate equiv.) per kg API],Table_Process_Details[Display Name],Table_Process_Details[[#This Row],[Unique Process Inputs]],Table_Process_Details[Input or Output],"Input")</f>
        <v>0</v>
      </c>
      <c r="GV45" s="1">
        <f ca="1">SUMIFS(Table_Process_Details[RV Eutrophication (kg phosphate equiv.) per kg API (REAGENT)],Table_Process_Details[Display Name],Table_Process_Details[[#This Row],[Unique Process Inputs]],Table_Process_Details[Input or Output],"Input")</f>
        <v>0</v>
      </c>
      <c r="GW45" s="1">
        <f ca="1">SUMIFS(Table_Process_Details[RV Eutrophication (kg phosphate equiv.) per kg API (METAL)],Table_Process_Details[Display Name],Table_Process_Details[[#This Row],[Unique Process Inputs]],Table_Process_Details[Input or Output],"Input")</f>
        <v>0</v>
      </c>
      <c r="GX45" s="1">
        <f ca="1">SUMIFS(Table_Process_Details[RV Eutrophication (kg phosphate equiv.) per kg API (SOLVENT)],Table_Process_Details[Display Name],Table_Process_Details[[#This Row],[Unique Process Inputs]],Table_Process_Details[Input or Output],"Input")</f>
        <v>0</v>
      </c>
      <c r="GY45" s="1">
        <f ca="1">SUMIFS(Table_Process_Details[RV Eutrophication (kg phosphate equiv.) per kg API (WATER)],Table_Process_Details[Display Name],Table_Process_Details[[#This Row],[Unique Process Inputs]],Table_Process_Details[Input or Output],"Input")</f>
        <v>0</v>
      </c>
      <c r="GZ45" s="1">
        <f ca="1">SUMIFS(Table_Process_Details[RV Eutrophication (kg phosphate equiv.) per kg API (ENZ&amp;PLNT)],Table_Process_Details[Display Name],Table_Process_Details[[#This Row],[Unique Process Inputs]],Table_Process_Details[Input or Output],"Input")</f>
        <v>0</v>
      </c>
      <c r="HA45" s="1">
        <f ca="1">SUMIFS(Table_Process_Details[RV Eutrophication (kg phosphate equiv.) per kg API (OTHER)],Table_Process_Details[Display Name],Table_Process_Details[[#This Row],[Unique Process Inputs]],Table_Process_Details[Input or Output],"Input")</f>
        <v>0</v>
      </c>
      <c r="HB45"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5"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5" s="22" t="e">
        <f ca="1">SUM(OFFSET(Table_Process_Details['[Eutrophication (kg posphate equiv.) per kg API'] of Unique Inputs Sorted by '[Eutrophication (kg posphate equiv.) per kg API']],0,0,Table_Process_Details[[#This Row],[Table Row]]))</f>
        <v>#N/A</v>
      </c>
      <c r="HE45"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5" s="1" t="e">
        <f ca="1">INDEX(Table_Process_Details[Total '[Eutrophication (kg posphate equiv.) per kg API'] of Unique Inputs (REAGENT)], MATCH(Table_Process_Details[[#This Row],[Unique Inputs Sorted by '[Eutrophication (kg posphate equiv.) per kg API']]],Table_Process_Details[Unique Process Inputs],0))</f>
        <v>#N/A</v>
      </c>
      <c r="HG45" s="1" t="e">
        <f ca="1">INDEX(Table_Process_Details[Total '[Eutrophication (kg posphate equiv.) per kg API'] of Unique Inputs (METAL)], MATCH(Table_Process_Details[[#This Row],[Unique Inputs Sorted by '[Eutrophication (kg posphate equiv.) per kg API']]],Table_Process_Details[Unique Process Inputs],0))</f>
        <v>#N/A</v>
      </c>
      <c r="HH45" s="1" t="e">
        <f ca="1">INDEX(Table_Process_Details[Total '[Eutrophication (kg posphate equiv.) per kg API'] of Unique Inputs (SOLVENT)], MATCH(Table_Process_Details[[#This Row],[Unique Inputs Sorted by '[Eutrophication (kg posphate equiv.) per kg API']]],Table_Process_Details[Unique Process Inputs],0))</f>
        <v>#N/A</v>
      </c>
      <c r="HI45" s="1" t="e">
        <f ca="1">INDEX(Table_Process_Details[Total '[Eutrophication (kg posphate equiv.) per kg API'] of Unique Inputs (WATER)], MATCH(Table_Process_Details[[#This Row],[Unique Inputs Sorted by '[Eutrophication (kg posphate equiv.) per kg API']]],Table_Process_Details[Unique Process Inputs],0))</f>
        <v>#N/A</v>
      </c>
      <c r="HJ45" s="1" t="e">
        <f ca="1">INDEX(Table_Process_Details[Total '[Eutrophication (kg posphate equiv.) per kg API'] of Unique Inputs (ENZ&amp;PLNT)], MATCH(Table_Process_Details[[#This Row],[Unique Inputs Sorted by '[Eutrophication (kg posphate equiv.) per kg API']]],Table_Process_Details[Unique Process Inputs],0))</f>
        <v>#N/A</v>
      </c>
      <c r="HK45" s="1" t="e">
        <f ca="1">INDEX(Table_Process_Details[Total '[Eutrophication (kg posphate equiv.) per kg API'] of Unique Inputs (OTHER)], MATCH(Table_Process_Details[[#This Row],[Unique Inputs Sorted by '[Eutrophication (kg posphate equiv.) per kg API']]],Table_Process_Details[Unique Process Inputs],0))</f>
        <v>#N/A</v>
      </c>
      <c r="HL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5" s="1">
        <f ca="1">SUMIFS(Table_Process_Details[RV Water (kg) per kg API],Table_Process_Details[Display Name],Table_Process_Details[[#This Row],[Unique Process Inputs]],Table_Process_Details[Input or Output],"Input")</f>
        <v>0</v>
      </c>
      <c r="HT45" s="1">
        <f ca="1">SUMIFS(Table_Process_Details[RV Water (kg) per kg API (REAGENT)],Table_Process_Details[Display Name],Table_Process_Details[[#This Row],[Unique Process Inputs]],Table_Process_Details[Input or Output],"Input")</f>
        <v>0</v>
      </c>
      <c r="HU45" s="1">
        <f ca="1">SUMIFS(Table_Process_Details[RV Water (kg) per kg API (METAL)],Table_Process_Details[Display Name],Table_Process_Details[[#This Row],[Unique Process Inputs]],Table_Process_Details[Input or Output],"Input")</f>
        <v>0</v>
      </c>
      <c r="HV45" s="1">
        <f ca="1">SUMIFS(Table_Process_Details[RV Water (kg) per kg API (SOLVENT)],Table_Process_Details[Display Name],Table_Process_Details[[#This Row],[Unique Process Inputs]],Table_Process_Details[Input or Output],"Input")</f>
        <v>0</v>
      </c>
      <c r="HW45" s="1">
        <f ca="1">SUMIFS(Table_Process_Details[RV Water (kg) per kg API (WATER)],Table_Process_Details[Display Name],Table_Process_Details[[#This Row],[Unique Process Inputs]],Table_Process_Details[Input or Output],"Input")</f>
        <v>0</v>
      </c>
      <c r="HX45" s="1">
        <f ca="1">SUMIFS(Table_Process_Details[RV Water (kg) per kg API (ENZ&amp;PLNT)],Table_Process_Details[Display Name],Table_Process_Details[[#This Row],[Unique Process Inputs]],Table_Process_Details[Input or Output],"Input")</f>
        <v>0</v>
      </c>
      <c r="HY45" s="1">
        <f ca="1">SUMIFS(Table_Process_Details[RV Water (kg) per kg API (OTHER)],Table_Process_Details[Display Name],Table_Process_Details[[#This Row],[Unique Process Inputs]],Table_Process_Details[Input or Output],"Input")</f>
        <v>0</v>
      </c>
      <c r="HZ45" s="22" t="e">
        <f ca="1">INDEX(Table_Process_Details[Unique Process Inputs],MATCH(Table_Process_Details[[#This Row],['[Water (kg) per kg API'] of Unique Inputs Sorted by '[Water (kg) per kg API']]],Table_Process_Details[Total '[Water (kg) per kg API'] of Unique Inputs],0))</f>
        <v>#N/A</v>
      </c>
      <c r="IA45" s="22" t="e">
        <f ca="1">IF(LARGE(Table_Process_Details[Total '[Water (kg) per kg API'] of Unique Inputs],Table_Process_Details[[#This Row],[Table Row]])=0,NA(),LARGE(Table_Process_Details[Total '[Water (kg) per kg API'] of Unique Inputs],Table_Process_Details[[#This Row],[Table Row]]))</f>
        <v>#N/A</v>
      </c>
      <c r="IB45" s="1" t="e">
        <f ca="1">SUM(OFFSET(Table_Process_Details['[Water (kg) per kg API'] of Unique Inputs Sorted by '[Water (kg) per kg API']],0,0,Table_Process_Details[[#This Row],[Table Row]]))</f>
        <v>#N/A</v>
      </c>
      <c r="IC45" s="1" t="e">
        <f ca="1">"("&amp;TEXT(Table_Process_Details[[#This Row],['[Water (kg) per kg API'] of Unique Inputs Sorted by '[Water (kg) per kg API']]]/SUMIF(Table_Process_Details['[Water (kg) per kg API'] of Unique Inputs Sorted by '[Water (kg) per kg API']],"&lt;&gt;#N/A"),"0%")&amp;")"</f>
        <v>#N/A</v>
      </c>
      <c r="ID45" s="1" t="e">
        <f ca="1">INDEX(Table_Process_Details[Total '[Water (kg) per kg API'] of Unique Inputs (REAGENT)], MATCH(Table_Process_Details[[#This Row],[Unique Inputs Sorted by '[Water (kg) per kg API']]],Table_Process_Details[Unique Process Inputs],0))</f>
        <v>#N/A</v>
      </c>
      <c r="IE45" s="1" t="e">
        <f ca="1">INDEX(Table_Process_Details[Total '[Water (kg) per kg API'] of Unique Inputs (METAL)], MATCH(Table_Process_Details[[#This Row],[Unique Inputs Sorted by '[Water (kg) per kg API']]],Table_Process_Details[Unique Process Inputs],0))</f>
        <v>#N/A</v>
      </c>
      <c r="IF45" s="1" t="e">
        <f ca="1">INDEX(Table_Process_Details[Total '[Water (kg) per kg API'] of Unique Inputs (SOLVENT)], MATCH(Table_Process_Details[[#This Row],[Unique Inputs Sorted by '[Water (kg) per kg API']]],Table_Process_Details[Unique Process Inputs],0))</f>
        <v>#N/A</v>
      </c>
      <c r="IG45" s="1" t="e">
        <f ca="1">INDEX(Table_Process_Details[Total '[Water (kg) per kg API'] of Unique Inputs (WATER)], MATCH(Table_Process_Details[[#This Row],[Unique Inputs Sorted by '[Water (kg) per kg API']]],Table_Process_Details[Unique Process Inputs],0))</f>
        <v>#N/A</v>
      </c>
      <c r="IH45" s="1" t="e">
        <f ca="1">INDEX(Table_Process_Details[Total '[Water (kg) per kg API'] of Unique Inputs (ENZ&amp;PLNT)], MATCH(Table_Process_Details[[#This Row],[Unique Inputs Sorted by '[Water (kg) per kg API']]],Table_Process_Details[Unique Process Inputs],0))</f>
        <v>#N/A</v>
      </c>
      <c r="II45" s="1" t="e">
        <f ca="1">INDEX(Table_Process_Details[Total '[Water (kg) per kg API'] of Unique Inputs (OTHER)], MATCH(Table_Process_Details[[#This Row],[Unique Inputs Sorted by '[Water (kg) per kg API']]],Table_Process_Details[Unique Process Inputs],0))</f>
        <v>#N/A</v>
      </c>
    </row>
    <row r="46" spans="1:243" s="119" customFormat="1" x14ac:dyDescent="0.25">
      <c r="A46" s="126" t="str">
        <f>A45</f>
        <v>2b) Virtual solution prep for (2): 30 wt% reagent F (inorganic) in water</v>
      </c>
      <c r="B46" s="127" t="s">
        <v>5</v>
      </c>
      <c r="C46" s="127" t="s">
        <v>155</v>
      </c>
      <c r="D46" s="126" t="s">
        <v>155</v>
      </c>
      <c r="E46" s="126" t="str">
        <f>'1. Define Process Steps'!C15</f>
        <v>30 wt% reagent F (inorganic) in water</v>
      </c>
      <c r="F46" s="165">
        <f>F45+F44</f>
        <v>110</v>
      </c>
      <c r="G46" s="128"/>
      <c r="H46" s="128"/>
      <c r="I46" s="128"/>
      <c r="J46" s="128" t="str">
        <f>INDEX(Process_Steps[Reference],MATCH(Table_Process_Details[[#This Row],[Step Name]],Process_Steps[Name],0))</f>
        <v>Reference Document for Step 2</v>
      </c>
      <c r="K46" s="129" t="str">
        <f>INDEX(Process_Steps[Real or Virtual?],MATCH(Table_Process_Details[[#This Row],[Step Name]],Process_Steps[Name],0))</f>
        <v>Virtual</v>
      </c>
      <c r="L46"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46"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46" s="128">
        <f>INDEX(Table_Process_Details[Physical Mass (kg)],MATCH(1,INDEX(((Table_Process_Details[Step Name]=Table_Process_Details[[#This Row],[Step Name]])*(Table_Process_Details[Input or Output]="Output")),0),0))</f>
        <v>110</v>
      </c>
      <c r="O46" s="130">
        <f ca="1">INDEX(Process_Steps[Step Scale Factor for 1kg Packaged API],MATCH(Table_Process_Details[[#This Row],[Step Name]],Process_Steps[Name],0))</f>
        <v>6.3546386869875945E-3</v>
      </c>
      <c r="P46"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v>
      </c>
      <c r="Q46"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v>
      </c>
      <c r="R46" s="128">
        <f ca="1">_xlfn.SWITCH(Run_Reset_PNG,"Reset",Table_Process_Details[[#This Row],[X Init]],"Run",Table_Process_Details[[#This Row],[X Moved]],"Freeze",Table_Process_Details[[#This Row],[X Mover]])</f>
        <v>-3.6823126540307705</v>
      </c>
      <c r="S46" s="128">
        <f ca="1">_xlfn.SWITCH(Run_Reset_PNG,"Reset",Table_Process_Details[[#This Row],[Y Init]],"Run",Table_Process_Details[[#This Row],[Y Moved]],"Freeze",Table_Process_Details[[#This Row],[Y Mover]])</f>
        <v>-0.26288531328701153</v>
      </c>
      <c r="T46" s="128" cm="1">
        <f t="array" aca="1" ref="T4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-1.2874870154792679</v>
      </c>
      <c r="U46" s="128" cm="1">
        <f t="array" aca="1" ref="U4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-0.21988312956867728</v>
      </c>
      <c r="V46" s="128" cm="1">
        <f t="array" aca="1" ref="V46" ca="1">SUM(--(SQRT((Table_Process_Details[[#This Row],[X Mover]]-Table_Process_Details[X Mover])^2+(Table_Process_Details[[#This Row],[Y Mover]]-Table_Process_Details[Y Mover])^2)&lt;Collision_Distance))</f>
        <v>13</v>
      </c>
      <c r="W46" s="128" cm="1">
        <f t="array" aca="1" ref="W4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3.5153525166881028E-2</v>
      </c>
      <c r="X46" s="128" cm="1">
        <f t="array" aca="1" ref="X4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-0.11279126406312101</v>
      </c>
      <c r="Y46" s="128" cm="1">
        <f t="array" aca="1" ref="Y4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46" s="128">
        <f>0</f>
        <v>0</v>
      </c>
      <c r="AA46" s="128">
        <f>0</f>
        <v>0</v>
      </c>
      <c r="AB46"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1.8411563270153852</v>
      </c>
      <c r="AC46" s="128" cm="1">
        <f t="array" aca="1" ref="AC4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0.13144265664350577</v>
      </c>
      <c r="AD46" s="128">
        <f>MIN(1,COUNTA(Table_Process_Details[[#This Row],[target x]]),COUNTA(Table_Process_Details[[#This Row],[target y]]))*COUNTA(Table_Process_Details[Step Name])</f>
        <v>98</v>
      </c>
      <c r="AE46"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-3.7508449655783109</v>
      </c>
      <c r="AF46"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-0.31605523659954704</v>
      </c>
      <c r="AG46"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46" s="128" t="e" cm="1">
        <f t="array" ref="AH46">INDEX(Table_Process_Details[X Mover],MATCH(1,INDEX((Table_Process_Details[Input or Output]="Output")*(Table_Process_Details[Step Name]=Table_Process_Details[[#This Row],[Step Name]])*(Table_Process_Details[[#This Row],[Input or Output]]="Input"),0),0))</f>
        <v>#N/A</v>
      </c>
      <c r="AI46" s="128" t="e" cm="1">
        <f t="array" ref="AI46">INDEX(Table_Process_Details[Y Mover],MATCH(1,INDEX((Table_Process_Details[Input or Output]="Output")*(Table_Process_Details[Step Name]=Table_Process_Details[[#This Row],[Step Name]])*(Table_Process_Details[[#This Row],[Input or Output]]="Input"),0),0))</f>
        <v>#N/A</v>
      </c>
      <c r="AJ46" s="128" t="e">
        <f>SQRT((Table_Process_Details[[#This Row],[X End (To Node Center)]]-Table_Process_Details[[#This Row],[X Guide]])^2+(Table_Process_Details[[#This Row],[Y End (to Node Center)]]-Table_Process_Details[[#This Row],[Y Guide]])^2)</f>
        <v>#N/A</v>
      </c>
      <c r="AK46" s="128" t="e" cm="1">
        <f t="array" ref="AK46">INDEX(Table_Process_Details[X Mover],MATCH(1,INDEX((Table_Process_Details[Step Name]=Table_Process_Details[[#This Row],[LCA Data Source Subclass]])*(Table_Process_Details[Input or Output]="Output"),0)*(Table_Process_Details[[#This Row],[Input or Output]]="Input"),0))</f>
        <v>#N/A</v>
      </c>
      <c r="AL46" s="128" t="e" cm="1">
        <f t="array" ref="AL46">INDEX(Table_Process_Details[X Mover],MATCH(1,INDEX(((Table_Process_Details[Table Row]=Table_Process_Details[[#This Row],[Table Row]])*(1)),0)*(Table_Process_Details[[#This Row],[Input or Output]]="Input"),0))</f>
        <v>#N/A</v>
      </c>
      <c r="AM46" s="128" t="e" cm="1">
        <f t="array" ref="AM46">(Table_Process_Details[[#This Row],[X End (To Node Center)]]*Table_Process_Details[[#This Row],[r0]]-Table_Process_Details[[#This Row],[X End (To Node Center)]]*Arrow_Offset+Table_Process_Details[[#This Row],[X Guide]]*Arrow_Offset)/Table_Process_Details[[#This Row],[r0]]</f>
        <v>#N/A</v>
      </c>
      <c r="AN46" s="128" t="e">
        <f>IF(NOT(Table_Process_Details[[#This Row],[Display As]]="None"),Table_Process_Details[[#This Row],[X Start Prefilter]],NA())</f>
        <v>#N/A</v>
      </c>
      <c r="AO46" s="128" t="e">
        <f>IF(NOT(Table_Process_Details[[#This Row],[Display As]]="None"),Table_Process_Details[[#This Row],[X Guide Prefilter]],NA())</f>
        <v>#N/A</v>
      </c>
      <c r="AP46" s="128" t="e">
        <f>IF(NOT(Table_Process_Details[[#This Row],[Display As]]="None"),Table_Process_Details[[#This Row],[X End (to Stop Radius) Prefilter]],NA())</f>
        <v>#N/A</v>
      </c>
      <c r="AQ46" s="128" t="e">
        <f>NA()</f>
        <v>#N/A</v>
      </c>
      <c r="AR46" s="128" t="e" cm="1">
        <f t="array" ref="AR46">INDEX(Table_Process_Details[Y Mover],MATCH(1,INDEX((Table_Process_Details[Step Name]=Table_Process_Details[[#This Row],[LCA Data Source Subclass]])*(Table_Process_Details[Input or Output]="Output"),0)*(Table_Process_Details[[#This Row],[Input or Output]]="Input"),0))</f>
        <v>#N/A</v>
      </c>
      <c r="AS46" s="128" t="e" cm="1">
        <f t="array" ref="AS46">INDEX(Table_Process_Details[Y Mover],MATCH(1,INDEX(((Table_Process_Details[Table Row]=Table_Process_Details[[#This Row],[Table Row]])*(1)),0)*(Table_Process_Details[[#This Row],[Input or Output]]="Input"),0))</f>
        <v>#N/A</v>
      </c>
      <c r="AT46" s="128" t="e" cm="1">
        <f t="array" ref="AT46">(Table_Process_Details[[#This Row],[Y Guide]]*Arrow_Offset-Table_Process_Details[[#This Row],[Y End (to Node Center)]]*Arrow_Offset+Table_Process_Details[[#This Row],[Y End (to Node Center)]]*Table_Process_Details[[#This Row],[r0]])/Table_Process_Details[[#This Row],[r0]]</f>
        <v>#N/A</v>
      </c>
      <c r="AU46" s="128" t="e">
        <f>IF(NOT(Table_Process_Details[[#This Row],[Display As]]="None"),Table_Process_Details[[#This Row],[Y Start Prefilter]],NA())</f>
        <v>#N/A</v>
      </c>
      <c r="AV46" s="128" t="e">
        <f>IF(NOT(Table_Process_Details[[#This Row],[Display As]]="None"),Table_Process_Details[[#This Row],[Y Guide Prefilter]],NA())</f>
        <v>#N/A</v>
      </c>
      <c r="AW46" s="128" t="e">
        <f>IF(NOT(Table_Process_Details[[#This Row],[Display As]]="None"),Table_Process_Details[[#This Row],[Y End (to Stop Radius) Prefilter]],NA())</f>
        <v>#N/A</v>
      </c>
      <c r="AX46" s="128" t="e">
        <f>NA()</f>
        <v>#N/A</v>
      </c>
      <c r="AY46" s="128" t="e">
        <f>IF(Table_Process_Details[[#This Row],[Display As]]="Real Step",Table_Process_Details[[#This Row],[X Mover]],NA())</f>
        <v>#N/A</v>
      </c>
      <c r="AZ46" s="128" t="e">
        <f>IF(Table_Process_Details[[#This Row],[Display As]]="Real Step",Table_Process_Details[[#This Row],[Y Mover]],NA())</f>
        <v>#N/A</v>
      </c>
      <c r="BA46" s="128">
        <f ca="1">IF(Table_Process_Details[[#This Row],[Display As]]="Raw Material",Table_Process_Details[[#This Row],[X Mover]],NA())</f>
        <v>-3.6823126540307705</v>
      </c>
      <c r="BB46" s="128">
        <f ca="1">IF(Table_Process_Details[[#This Row],[Display As]]="Raw Material",Table_Process_Details[[#This Row],[Y Mover]],NA())</f>
        <v>-0.26288531328701153</v>
      </c>
      <c r="BC46" s="128">
        <f ca="1">IF(OR(Table_Process_Details[[#This Row],[Display As]]="Real Step",Table_Process_Details[[#This Row],[Display As]]="Raw Material"),Table_Process_Details[[#This Row],[X Mover]],NA())</f>
        <v>-3.6823126540307705</v>
      </c>
      <c r="BD46" s="128">
        <f ca="1">IF(OR(Table_Process_Details[[#This Row],[Display As]]="Real Step",Table_Process_Details[[#This Row],[Display As]]="Raw Material"),Table_Process_Details[[#This Row],[Y Mover]],NA())</f>
        <v>-0.26288531328701153</v>
      </c>
      <c r="BE46" s="126">
        <f>ROW()-ROW(Table_Process_Details[[#Headers],[Table Row]])</f>
        <v>42</v>
      </c>
      <c r="BF46" s="122" t="str" cm="1">
        <f t="array" aca="1" ref="BF46" ca="1">INDEX(Table_Process_Details[Display Name],MATCH(0,IF(Table_Process_Details[Input or Output]="Input",INDEX(COUNTIF(OFFSET(Table_Process_Details[[#Headers],[Unique Process Inputs]],0,0,Table_Process_Details[[#This Row],[Table Row]],1),Table_Process_Details[Display Name]),),""),0))</f>
        <v>reagemt M (organic)</v>
      </c>
      <c r="BG46" s="122">
        <f ca="1">Table_Process_Details[[#This Row],[Physical Mass (kg)]]*Table_Process_Details[[#This Row],[Step Scale Factor for 1kg Packaged API]]</f>
        <v>0.69901025556863539</v>
      </c>
      <c r="BH46"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6" s="122">
        <f ca="1">MATCH(Table_Process_Details[[#This Row],[LCA Data Source Class]],INDIRECT(Table_Process_Details[[#This Row],[Input or Output]]),0)</f>
        <v>1</v>
      </c>
      <c r="BJ46" s="122">
        <f ca="1">MATCH(Table_Process_Details[[#This Row],[LCA Data Source Subclass]],INDIRECT(Table_Process_Details[[#This Row],[LCA Data Source Class]]&amp;"[Name]"),0)</f>
        <v>1</v>
      </c>
      <c r="BK46" s="122">
        <f ca="1">IFERROR(INDEX(INDIRECT(Table_Process_Details[[#This Row],[LCA Data Source Class]]&amp;"[Mass Net (kg)]"),MATCH(Table_Process_Details[[#This Row],[LCA Data Source Subclass]],INDIRECT(Table_Process_Details[[#This Row],[LCA Data Source Class]]&amp;"[Name]"),0)),0)</f>
        <v>0</v>
      </c>
      <c r="BL46" s="122">
        <f ca="1">IFERROR(INDEX(INDIRECT(Table_Process_Details[[#This Row],[LCA Data Source Class]]&amp;"[Energy (MJ)]"),MATCH(Table_Process_Details[[#This Row],[LCA Data Source Subclass]],INDIRECT(Table_Process_Details[[#This Row],[LCA Data Source Class]]&amp;"[Name]"),0)),0)</f>
        <v>0</v>
      </c>
      <c r="BM46" s="122">
        <f ca="1">IFERROR(INDEX(INDIRECT(Table_Process_Details[[#This Row],[LCA Data Source Class]]&amp;"[GWP (kg CO2 equiv.)]"),MATCH(Table_Process_Details[[#This Row],[LCA Data Source Subclass]],INDIRECT(Table_Process_Details[[#This Row],[LCA Data Source Class]]&amp;"[Name]"),0)),0)</f>
        <v>0</v>
      </c>
      <c r="BN46" s="122">
        <f ca="1">IFERROR(INDEX(INDIRECT(Table_Process_Details[[#This Row],[LCA Data Source Class]]&amp;"[Acidification (kg SO2 equiv.)]"),MATCH(Table_Process_Details[[#This Row],[LCA Data Source Subclass]],INDIRECT(Table_Process_Details[[#This Row],[LCA Data Source Class]]&amp;"[Name]"),0)),0)</f>
        <v>0</v>
      </c>
      <c r="BO46" s="122">
        <f ca="1">IFERROR(INDEX(INDIRECT(Table_Process_Details[[#This Row],[LCA Data Source Class]]&amp;"[Eutrophication (kg posphate equiv.)]"),MATCH(Table_Process_Details[[#This Row],[LCA Data Source Subclass]],INDIRECT(Table_Process_Details[[#This Row],[LCA Data Source Class]]&amp;"[Name]"),0)),0)</f>
        <v>0</v>
      </c>
      <c r="BP46" s="122">
        <f ca="1">IFERROR(INDEX(INDIRECT(Table_Process_Details[[#This Row],[LCA Data Source Class]]&amp;"[Water (kg)]"),MATCH(Table_Process_Details[[#This Row],[LCA Data Source Subclass]],INDIRECT(Table_Process_Details[[#This Row],[LCA Data Source Class]]&amp;"[Name]"),0)),0)</f>
        <v>0</v>
      </c>
      <c r="BQ46" s="129">
        <f ca="1">(Table_Process_Details[[#This Row],[Input or Output]]="Input")*(Table_Process_Details[[#This Row],[LCA Data Source Class]]&lt;&gt;"Process_Steps")*Table_Process_Details[[#This Row],[Scaled Physical Mass per kg API for All Inputs &amp; Outputs]]</f>
        <v>0</v>
      </c>
      <c r="BR46" s="129">
        <f ca="1">(Table_Process_Details[[#This Row],[Material Class]]="REAGENT")*Table_Process_Details[[#This Row],[Physical Mass per kg API]]</f>
        <v>0</v>
      </c>
      <c r="BS46" s="129">
        <f ca="1">(Table_Process_Details[[#This Row],[Material Class]]="METAL")*Table_Process_Details[[#This Row],[Physical Mass per kg API]]</f>
        <v>0</v>
      </c>
      <c r="BT46" s="129">
        <f ca="1">(Table_Process_Details[[#This Row],[Material Class]]="SOLVENT")*Table_Process_Details[[#This Row],[Physical Mass per kg API]]</f>
        <v>0</v>
      </c>
      <c r="BU46" s="129">
        <f ca="1">(Table_Process_Details[[#This Row],[Material Class]]="WATER")*Table_Process_Details[[#This Row],[Physical Mass per kg API]]</f>
        <v>0</v>
      </c>
      <c r="BV46" s="129">
        <f ca="1">(Table_Process_Details[[#This Row],[Material Class]]="ENZ&amp;PLNT")*Table_Process_Details[[#This Row],[Physical Mass per kg API]]</f>
        <v>0</v>
      </c>
      <c r="BW46" s="129">
        <f ca="1">(Table_Process_Details[[#This Row],[Material Class]]="OTHER")*Table_Process_Details[[#This Row],[Physical Mass per kg API]]</f>
        <v>0</v>
      </c>
      <c r="BX46"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6"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6"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6"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6"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6"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6"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6" s="131">
        <f ca="1">SUMIFS(Table_Process_Details[RV Physical Mass per kg API],Table_Process_Details[Display Name],Table_Process_Details[[#This Row],[Unique Process Inputs]],Table_Process_Details[Input or Output],"Input")</f>
        <v>0</v>
      </c>
      <c r="CF46" s="131">
        <f ca="1">SUMIFS(Table_Process_Details[RV Physical Mass per kg API (REAGENT)],Table_Process_Details[Display Name],Table_Process_Details[[#This Row],[Unique Process Inputs]],Table_Process_Details[Input or Output],"Input")</f>
        <v>0</v>
      </c>
      <c r="CG46" s="131">
        <f ca="1">SUMIFS(Table_Process_Details[RV Physical Mass per kg API (METAL)],Table_Process_Details[Display Name],Table_Process_Details[[#This Row],[Unique Process Inputs]],Table_Process_Details[Input or Output],"Input")</f>
        <v>0</v>
      </c>
      <c r="CH46" s="131">
        <f ca="1">SUMIFS(Table_Process_Details[RV Physical Mass per kg API (SOLVENT)],Table_Process_Details[Display Name],Table_Process_Details[[#This Row],[Unique Process Inputs]],Table_Process_Details[Input or Output],"Input")</f>
        <v>0</v>
      </c>
      <c r="CI46" s="131">
        <f ca="1">SUMIFS(Table_Process_Details[RV Physical Mass per kg API (WATER)],Table_Process_Details[Display Name],Table_Process_Details[[#This Row],[Unique Process Inputs]],Table_Process_Details[Input or Output],"Input")</f>
        <v>0</v>
      </c>
      <c r="CJ46" s="131">
        <f ca="1">SUMIFS(Table_Process_Details[RV Physical Mass per kg API (ENZ&amp;PLNT)],Table_Process_Details[Display Name],Table_Process_Details[[#This Row],[Unique Process Inputs]],Table_Process_Details[Input or Output],"Input")</f>
        <v>0</v>
      </c>
      <c r="CK46" s="131">
        <f ca="1">SUMIFS(Table_Process_Details[RV Physical Mass per kg API (OTHER)],Table_Process_Details[Display Name],Table_Process_Details[[#This Row],[Unique Process Inputs]],Table_Process_Details[Input or Output],"Input")</f>
        <v>0</v>
      </c>
      <c r="CL46" s="126" t="e">
        <f ca="1">INDEX(Table_Process_Details[Unique Process Inputs],MATCH(Table_Process_Details[[#This Row],['[Physical Mass per kg API'] of Unique Inputs Sorted by '[Physical Mass per kg API']]],Table_Process_Details[Total '[Physical Mass per kg API'] of Unique Inputs],0))</f>
        <v>#N/A</v>
      </c>
      <c r="CM46" s="126" t="e">
        <f ca="1">IF(LARGE(Table_Process_Details[Total '[Physical Mass per kg API'] of Unique Inputs],Table_Process_Details[[#This Row],[Table Row]])=0,NA(),LARGE(Table_Process_Details[Total '[Physical Mass per kg API'] of Unique Inputs],Table_Process_Details[[#This Row],[Table Row]]))</f>
        <v>#N/A</v>
      </c>
      <c r="CN46" s="126" t="e">
        <f ca="1">SUM(OFFSET(Table_Process_Details['[Physical Mass per kg API'] of Unique Inputs Sorted by '[Physical Mass per kg API']],0,0,Table_Process_Details[[#This Row],[Table Row]]))</f>
        <v>#N/A</v>
      </c>
      <c r="CO46" s="126" t="e">
        <f ca="1">"("&amp;TEXT(Table_Process_Details[[#This Row],['[Physical Mass per kg API'] of Unique Inputs Sorted by '[Physical Mass per kg API']]]/SUMIF(Table_Process_Details['[Physical Mass per kg API'] of Unique Inputs Sorted by '[Physical Mass per kg API']],"&lt;&gt;#N/A"),"0%")&amp;")"</f>
        <v>#N/A</v>
      </c>
      <c r="CP46" s="126" t="e">
        <f ca="1">INDEX(Table_Process_Details[Total '[Physical Mass per kg API'] of Unique Inputs (REAGENT)],MATCH(Table_Process_Details[[#This Row],[Unique Inputs Sorted by '[Physical Mass per kg API']]],Table_Process_Details[Unique Process Inputs],0))</f>
        <v>#N/A</v>
      </c>
      <c r="CQ46" s="126" t="e">
        <f ca="1">INDEX(Table_Process_Details[Total '[Physical Mass per kg API'] of Unique Inputs (METAL)],MATCH(Table_Process_Details[[#This Row],[Unique Inputs Sorted by '[Physical Mass per kg API']]],Table_Process_Details[Unique Process Inputs],0))</f>
        <v>#N/A</v>
      </c>
      <c r="CR46" s="126" t="e">
        <f ca="1">INDEX(Table_Process_Details[Total '[Physical Mass per kg API'] of Unique Inputs (SOLVENT)],MATCH(Table_Process_Details[[#This Row],[Unique Inputs Sorted by '[Physical Mass per kg API']]],Table_Process_Details[Unique Process Inputs],0))</f>
        <v>#N/A</v>
      </c>
      <c r="CS46" s="126" t="e">
        <f ca="1">INDEX(Table_Process_Details[Total '[Physical Mass per kg API'] of Unique Inputs (WATER)],MATCH(Table_Process_Details[[#This Row],[Unique Inputs Sorted by '[Physical Mass per kg API']]],Table_Process_Details[Unique Process Inputs],0))</f>
        <v>#N/A</v>
      </c>
      <c r="CT46" s="126" t="e">
        <f ca="1">INDEX(Table_Process_Details[Total '[Physical Mass per kg API'] of Unique Inputs (ENZ&amp;PLNT)],MATCH(Table_Process_Details[[#This Row],[Unique Inputs Sorted by '[Physical Mass per kg API']]],Table_Process_Details[Unique Process Inputs],0))</f>
        <v>#N/A</v>
      </c>
      <c r="CU46" s="126" t="e">
        <f ca="1">INDEX(Table_Process_Details[Total '[Physical Mass per kg API'] of Unique Inputs (OTHER)],MATCH(Table_Process_Details[[#This Row],[Unique Inputs Sorted by '[Physical Mass per kg API']]],Table_Process_Details[Unique Process Inputs],0))</f>
        <v>#N/A</v>
      </c>
      <c r="CV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6" s="126">
        <f ca="1">SUMIFS(Table_Process_Details[RV Mass Net (kg) per kg API],Table_Process_Details[Display Name],Table_Process_Details[[#This Row],[Unique Process Inputs]],Table_Process_Details[Input or Output],"Input")</f>
        <v>0</v>
      </c>
      <c r="DD46" s="126">
        <f ca="1">SUMIFS(Table_Process_Details[RV Mass Net (kg) per kg API (REAGENT)],Table_Process_Details[Display Name],Table_Process_Details[[#This Row],[Unique Process Inputs]],Table_Process_Details[Input or Output],"Input")</f>
        <v>0</v>
      </c>
      <c r="DE46" s="126">
        <f ca="1">SUMIFS(Table_Process_Details[RV Mass Net (kg) per kg API (METAL)],Table_Process_Details[Display Name],Table_Process_Details[[#This Row],[Unique Process Inputs]],Table_Process_Details[Input or Output],"Input")</f>
        <v>0</v>
      </c>
      <c r="DF46" s="126">
        <f ca="1">SUMIFS(Table_Process_Details[RV Mass Net (kg) per kg API (SOLVENT)],Table_Process_Details[Display Name],Table_Process_Details[[#This Row],[Unique Process Inputs]],Table_Process_Details[Input or Output],"Input")</f>
        <v>0</v>
      </c>
      <c r="DG46" s="126">
        <f ca="1">SUMIFS(Table_Process_Details[RV Mass Net (kg) per kg API (WATER)],Table_Process_Details[Display Name],Table_Process_Details[[#This Row],[Unique Process Inputs]],Table_Process_Details[Input or Output],"Input")</f>
        <v>0</v>
      </c>
      <c r="DH46" s="126">
        <f ca="1">SUMIFS(Table_Process_Details[RV Mass Net (kg) per kg API (ENZ&amp;PLNT)],Table_Process_Details[Display Name],Table_Process_Details[[#This Row],[Unique Process Inputs]],Table_Process_Details[Input or Output],"Input")</f>
        <v>0</v>
      </c>
      <c r="DI46" s="126">
        <f ca="1">SUMIFS(Table_Process_Details[RV Mass Net (kg) per kg API (OTHER)],Table_Process_Details[Display Name],Table_Process_Details[[#This Row],[Unique Process Inputs]],Table_Process_Details[Input or Output],"Input")</f>
        <v>0</v>
      </c>
      <c r="DJ46" s="126" t="e">
        <f ca="1">INDEX(Table_Process_Details[Unique Process Inputs],MATCH(Table_Process_Details[[#This Row],['[Mass Net (kg) per kg API'] of Unique Inputs Sorted by '[Mass Net (kg) per kg API']]],Table_Process_Details[Total '[Mass Net (kg) per kg API'] of Unique Inputs],0))</f>
        <v>#N/A</v>
      </c>
      <c r="DK46" s="126" t="e">
        <f ca="1">IF(LARGE(Table_Process_Details[Total '[Mass Net (kg) per kg API'] of Unique Inputs],Table_Process_Details[[#This Row],[Table Row]])=0,NA(),LARGE(Table_Process_Details[Total '[Mass Net (kg) per kg API'] of Unique Inputs],Table_Process_Details[[#This Row],[Table Row]]))</f>
        <v>#N/A</v>
      </c>
      <c r="DL46" s="126" t="e">
        <f ca="1">SUM(OFFSET(Table_Process_Details['[Mass Net (kg) per kg API'] of Unique Inputs Sorted by '[Mass Net (kg) per kg API']],0,0,Table_Process_Details[[#This Row],[Table Row]]))</f>
        <v>#N/A</v>
      </c>
      <c r="DM46" s="126" t="e">
        <f ca="1">"("&amp;TEXT(Table_Process_Details[[#This Row],['[Mass Net (kg) per kg API'] of Unique Inputs Sorted by '[Mass Net (kg) per kg API']]]/SUMIF(Table_Process_Details['[Mass Net (kg) per kg API'] of Unique Inputs Sorted by '[Mass Net (kg) per kg API']],"&lt;&gt;#N/A"),"0%")&amp;")"</f>
        <v>#N/A</v>
      </c>
      <c r="DN46" s="126" t="e">
        <f ca="1">INDEX(Table_Process_Details[Total '[Mass Net (kg) per kg API'] of Unique Inputs (REAGENT)], MATCH(Table_Process_Details[[#This Row],[Unique Inputs Sorted by '[Mass Net (kg) per kg API']]],Table_Process_Details[Unique Process Inputs],0))</f>
        <v>#N/A</v>
      </c>
      <c r="DO46" s="126" t="e">
        <f ca="1">INDEX(Table_Process_Details[Total '[Mass Net (kg) per kg API'] of Unique Inputs (METAL)], MATCH(Table_Process_Details[[#This Row],[Unique Inputs Sorted by '[Mass Net (kg) per kg API']]],Table_Process_Details[Unique Process Inputs],0))</f>
        <v>#N/A</v>
      </c>
      <c r="DP46" s="126" t="e">
        <f ca="1">INDEX(Table_Process_Details[Total '[Mass Net (kg) per kg API'] of Unique Inputs (SOLVENT)], MATCH(Table_Process_Details[[#This Row],[Unique Inputs Sorted by '[Mass Net (kg) per kg API']]],Table_Process_Details[Unique Process Inputs],0))</f>
        <v>#N/A</v>
      </c>
      <c r="DQ46" s="126" t="e">
        <f ca="1">INDEX(Table_Process_Details[Total '[Mass Net (kg) per kg API'] of Unique Inputs (WATER)], MATCH(Table_Process_Details[[#This Row],[Unique Inputs Sorted by '[Mass Net (kg) per kg API']]],Table_Process_Details[Unique Process Inputs],0))</f>
        <v>#N/A</v>
      </c>
      <c r="DR46" s="126" t="e">
        <f ca="1">INDEX(Table_Process_Details[Total '[Mass Net (kg) per kg API'] of Unique Inputs (ENZ&amp;PLNT)], MATCH(Table_Process_Details[[#This Row],[Unique Inputs Sorted by '[Mass Net (kg) per kg API']]],Table_Process_Details[Unique Process Inputs],0))</f>
        <v>#N/A</v>
      </c>
      <c r="DS46" s="126" t="e">
        <f ca="1">INDEX(Table_Process_Details[Total '[Mass Net (kg) per kg API'] of Unique Inputs (OTHER)], MATCH(Table_Process_Details[[#This Row],[Unique Inputs Sorted by '[Mass Net (kg) per kg API']]],Table_Process_Details[Unique Process Inputs],0))</f>
        <v>#N/A</v>
      </c>
      <c r="DT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6" s="131">
        <f ca="1">SUMIFS(Table_Process_Details[RV Energy (MJ) per kg API],Table_Process_Details[Display Name],Table_Process_Details[[#This Row],[Unique Process Inputs]],Table_Process_Details[Input or Output],"Input")</f>
        <v>0</v>
      </c>
      <c r="EB46" s="131">
        <f ca="1">SUMIFS(Table_Process_Details[RV Energy (MJ) per kg API (REAGENT)],Table_Process_Details[Display Name],Table_Process_Details[[#This Row],[Unique Process Inputs]],Table_Process_Details[Input or Output],"Input")</f>
        <v>0</v>
      </c>
      <c r="EC46" s="131">
        <f ca="1">SUMIFS(Table_Process_Details[RV Energy (MJ) per kg API (METAL)],Table_Process_Details[Display Name],Table_Process_Details[[#This Row],[Unique Process Inputs]],Table_Process_Details[Input or Output],"Input")</f>
        <v>0</v>
      </c>
      <c r="ED46" s="131">
        <f ca="1">SUMIFS(Table_Process_Details[RV Energy (MJ) per kg API (SOLVENT)],Table_Process_Details[Display Name],Table_Process_Details[[#This Row],[Unique Process Inputs]],Table_Process_Details[Input or Output],"Input")</f>
        <v>0</v>
      </c>
      <c r="EE46" s="131">
        <f ca="1">SUMIFS(Table_Process_Details[RV Energy (MJ) per kg API (WATER)],Table_Process_Details[Display Name],Table_Process_Details[[#This Row],[Unique Process Inputs]],Table_Process_Details[Input or Output],"Input")</f>
        <v>0</v>
      </c>
      <c r="EF46" s="131">
        <f ca="1">SUMIFS(Table_Process_Details[RV Energy (MJ) per kg API (ENZ&amp;PLNT)],Table_Process_Details[Display Name],Table_Process_Details[[#This Row],[Unique Process Inputs]],Table_Process_Details[Input or Output],"Input")</f>
        <v>0</v>
      </c>
      <c r="EG46" s="131">
        <f ca="1">SUMIFS(Table_Process_Details[RV Energy (MJ) per kg API (OTHER)],Table_Process_Details[Display Name],Table_Process_Details[[#This Row],[Unique Process Inputs]],Table_Process_Details[Input or Output],"Input")</f>
        <v>0</v>
      </c>
      <c r="EH46" s="131" t="e">
        <f ca="1">INDEX(Table_Process_Details[Unique Process Inputs],MATCH(Table_Process_Details[[#This Row],['[Energy (MJ) per kg API'] of Unique Inputs Sorted by '[Energy (MJ) per kg API']]],Table_Process_Details[Total '[Energy (MJ) per kg API'] of Unique Inputs],0))</f>
        <v>#N/A</v>
      </c>
      <c r="EI46" s="126" t="e">
        <f ca="1">IF(LARGE(Table_Process_Details[Total '[Energy (MJ) per kg API'] of Unique Inputs],Table_Process_Details[[#This Row],[Table Row]])=0,NA(),LARGE(Table_Process_Details[Total '[Energy (MJ) per kg API'] of Unique Inputs],Table_Process_Details[[#This Row],[Table Row]]))</f>
        <v>#N/A</v>
      </c>
      <c r="EJ46" s="126" t="e">
        <f ca="1">SUM(OFFSET(Table_Process_Details['[Energy (MJ) per kg API'] of Unique Inputs Sorted by '[Energy (MJ) per kg API']],0,0,Table_Process_Details[[#This Row],[Table Row]]))</f>
        <v>#N/A</v>
      </c>
      <c r="EK46" s="126" t="e">
        <f ca="1">"("&amp;TEXT(Table_Process_Details[[#This Row],['[Energy (MJ) per kg API'] of Unique Inputs Sorted by '[Energy (MJ) per kg API']]]/SUMIF(Table_Process_Details['[Energy (MJ) per kg API'] of Unique Inputs Sorted by '[Energy (MJ) per kg API']],"&lt;&gt;#N/A"),"0%")&amp;")"</f>
        <v>#N/A</v>
      </c>
      <c r="EL46" s="126" t="e">
        <f ca="1">INDEX(Table_Process_Details[Total '[Energy (MJ) per kg API'] of Unique Inputs (REAGENT)], MATCH(Table_Process_Details[[#This Row],[Unique Inputs Sorted by '[Energy (MJ) per kg API']]],Table_Process_Details[Unique Process Inputs],0))</f>
        <v>#N/A</v>
      </c>
      <c r="EM46" s="126" t="e">
        <f ca="1">INDEX(Table_Process_Details[Total '[Energy (MJ) per kg API'] of Unique Inputs (METAL)], MATCH(Table_Process_Details[[#This Row],[Unique Inputs Sorted by '[Energy (MJ) per kg API']]],Table_Process_Details[Unique Process Inputs],0))</f>
        <v>#N/A</v>
      </c>
      <c r="EN46" s="126" t="e">
        <f ca="1">INDEX(Table_Process_Details[Total '[Energy (MJ) per kg API'] of Unique Inputs (SOLVENT)], MATCH(Table_Process_Details[[#This Row],[Unique Inputs Sorted by '[Energy (MJ) per kg API']]],Table_Process_Details[Unique Process Inputs],0))</f>
        <v>#N/A</v>
      </c>
      <c r="EO46" s="126" t="e">
        <f ca="1">INDEX(Table_Process_Details[Total '[Energy (MJ) per kg API'] of Unique Inputs (WATER)], MATCH(Table_Process_Details[[#This Row],[Unique Inputs Sorted by '[Energy (MJ) per kg API']]],Table_Process_Details[Unique Process Inputs],0))</f>
        <v>#N/A</v>
      </c>
      <c r="EP46" s="126" t="e">
        <f ca="1">INDEX(Table_Process_Details[Total '[Energy (MJ) per kg API'] of Unique Inputs (ENZ&amp;PLNT)], MATCH(Table_Process_Details[[#This Row],[Unique Inputs Sorted by '[Energy (MJ) per kg API']]],Table_Process_Details[Unique Process Inputs],0))</f>
        <v>#N/A</v>
      </c>
      <c r="EQ46" s="126" t="e">
        <f ca="1">INDEX(Table_Process_Details[Total '[Energy (MJ) per kg API'] of Unique Inputs (OTHER)], MATCH(Table_Process_Details[[#This Row],[Unique Inputs Sorted by '[Energy (MJ) per kg API']]],Table_Process_Details[Unique Process Inputs],0))</f>
        <v>#N/A</v>
      </c>
      <c r="ER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6" s="126">
        <f ca="1">SUMIFS(Table_Process_Details[RV GWP (kg CO2 equiv.) per kg API],Table_Process_Details[Display Name],Table_Process_Details[[#This Row],[Unique Process Inputs]],Table_Process_Details[Input or Output],"Input")</f>
        <v>0</v>
      </c>
      <c r="EZ46" s="131">
        <f ca="1">SUMIFS(Table_Process_Details[RV GWP (kg CO2 equiv.) per kg API (REAGENT)],Table_Process_Details[Display Name],Table_Process_Details[[#This Row],[Unique Process Inputs]],Table_Process_Details[Input or Output],"Input")</f>
        <v>0</v>
      </c>
      <c r="FA46" s="131">
        <f ca="1">SUMIFS(Table_Process_Details[RV GWP (kg CO2 equiv.) per kg API (METAL)],Table_Process_Details[Display Name],Table_Process_Details[[#This Row],[Unique Process Inputs]],Table_Process_Details[Input or Output],"Input")</f>
        <v>0</v>
      </c>
      <c r="FB46" s="131">
        <f ca="1">SUMIFS(Table_Process_Details[RV GWP (kg CO2 equiv.) per kg API (SOLVENT)],Table_Process_Details[Display Name],Table_Process_Details[[#This Row],[Unique Process Inputs]],Table_Process_Details[Input or Output],"Input")</f>
        <v>0</v>
      </c>
      <c r="FC46" s="131">
        <f ca="1">SUMIFS(Table_Process_Details[RV GWP (kg CO2 equiv.) per kg API (WATER)],Table_Process_Details[Display Name],Table_Process_Details[[#This Row],[Unique Process Inputs]],Table_Process_Details[Input or Output],"Input")</f>
        <v>0</v>
      </c>
      <c r="FD46" s="131">
        <f ca="1">SUMIFS(Table_Process_Details[RV GWP (kg CO2 equiv.) per kg API (ENZ&amp;PLNT)],Table_Process_Details[Display Name],Table_Process_Details[[#This Row],[Unique Process Inputs]],Table_Process_Details[Input or Output],"Input")</f>
        <v>0</v>
      </c>
      <c r="FE46" s="131">
        <f ca="1">SUMIFS(Table_Process_Details[RV GWP (kg CO2 equiv.) per kg API (OTHER)],Table_Process_Details[Display Name],Table_Process_Details[[#This Row],[Unique Process Inputs]],Table_Process_Details[Input or Output],"Input")</f>
        <v>0</v>
      </c>
      <c r="FF46" s="126" t="e">
        <f ca="1">INDEX(Table_Process_Details[Unique Process Inputs],MATCH(Table_Process_Details[[#This Row],['[GWP (kg CO2 equiv.) per kg API'] of Unique Inputs Sorted by '[GWP (kg CO2 equiv.) per kg API']]],Table_Process_Details[Total '[GWP (kg CO2 equiv.) per kg API'] of Unique Inputs],0))</f>
        <v>#N/A</v>
      </c>
      <c r="FG46" s="126" t="e">
        <f ca="1">IF(LARGE(Table_Process_Details[Total '[GWP (kg CO2 equiv.) per kg API'] of Unique Inputs],Table_Process_Details[[#This Row],[Table Row]])=0,NA(),LARGE(Table_Process_Details[Total '[GWP (kg CO2 equiv.) per kg API'] of Unique Inputs],Table_Process_Details[[#This Row],[Table Row]]))</f>
        <v>#N/A</v>
      </c>
      <c r="FH46" s="126" t="e">
        <f ca="1">SUM(OFFSET(Table_Process_Details['[GWP (kg CO2 equiv.) per kg API'] of Unique Inputs Sorted by '[GWP (kg CO2 equiv.) per kg API']],0,0,Table_Process_Details[[#This Row],[Table Row]]))</f>
        <v>#N/A</v>
      </c>
      <c r="FI46" s="126" t="e">
        <f ca="1">"("&amp;TEXT(Table_Process_Details[[#This Row],['[GWP (kg CO2 equiv.) per kg API'] of Unique Inputs Sorted by '[GWP (kg CO2 equiv.) per kg API']]]/SUMIF(Table_Process_Details['[GWP (kg CO2 equiv.) per kg API'] of Unique Inputs Sorted by '[GWP (kg CO2 equiv.) per kg API']],"&lt;&gt;#N/A"),"0%")&amp;")"</f>
        <v>#N/A</v>
      </c>
      <c r="FJ46" s="126" t="e">
        <f ca="1">INDEX(Table_Process_Details[Total '[GWP (kg CO2 equiv.) per kg API'] of Unique Inputs (REAGENT)], MATCH(Table_Process_Details[[#This Row],[Unique Inputs Sorted by '[GWP (kg CO2 equiv.) per kg API']]],Table_Process_Details[Unique Process Inputs],0))</f>
        <v>#N/A</v>
      </c>
      <c r="FK46" s="126" t="e">
        <f ca="1">INDEX(Table_Process_Details[Total '[GWP (kg CO2 equiv.) per kg API'] of Unique Inputs (METAL)], MATCH(Table_Process_Details[[#This Row],[Unique Inputs Sorted by '[GWP (kg CO2 equiv.) per kg API']]],Table_Process_Details[Unique Process Inputs],0))</f>
        <v>#N/A</v>
      </c>
      <c r="FL46" s="126" t="e">
        <f ca="1">INDEX(Table_Process_Details[Total '[GWP (kg CO2 equiv.) per kg API'] of Unique Inputs (SOLVENT)], MATCH(Table_Process_Details[[#This Row],[Unique Inputs Sorted by '[GWP (kg CO2 equiv.) per kg API']]],Table_Process_Details[Unique Process Inputs],0))</f>
        <v>#N/A</v>
      </c>
      <c r="FM46" s="126" t="e">
        <f ca="1">INDEX(Table_Process_Details[Total '[GWP (kg CO2 equiv.) per kg API'] of Unique Inputs (WATER)], MATCH(Table_Process_Details[[#This Row],[Unique Inputs Sorted by '[GWP (kg CO2 equiv.) per kg API']]],Table_Process_Details[Unique Process Inputs],0))</f>
        <v>#N/A</v>
      </c>
      <c r="FN46" s="126" t="e">
        <f ca="1">INDEX(Table_Process_Details[Total '[GWP (kg CO2 equiv.) per kg API'] of Unique Inputs (ENZ&amp;PLNT)], MATCH(Table_Process_Details[[#This Row],[Unique Inputs Sorted by '[GWP (kg CO2 equiv.) per kg API']]],Table_Process_Details[Unique Process Inputs],0))</f>
        <v>#N/A</v>
      </c>
      <c r="FO46" s="126" t="e">
        <f ca="1">INDEX(Table_Process_Details[Total '[GWP (kg CO2 equiv.) per kg API'] of Unique Inputs (OTHER)], MATCH(Table_Process_Details[[#This Row],[Unique Inputs Sorted by '[GWP (kg CO2 equiv.) per kg API']]],Table_Process_Details[Unique Process Inputs],0))</f>
        <v>#N/A</v>
      </c>
      <c r="FP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6" s="126">
        <f ca="1">SUMIFS(Table_Process_Details[RV Acidification (kg SO2 equiv.) per kg API],Table_Process_Details[Display Name],Table_Process_Details[[#This Row],[Unique Process Inputs]],Table_Process_Details[Input or Output],"Input")</f>
        <v>0</v>
      </c>
      <c r="FX46" s="131">
        <f ca="1">SUMIFS(Table_Process_Details[RV Acidification (kg SO2 equiv.) per kg API (REAGENT)],Table_Process_Details[Display Name],Table_Process_Details[[#This Row],[Unique Process Inputs]],Table_Process_Details[Input or Output],"Input")</f>
        <v>0</v>
      </c>
      <c r="FY46" s="131">
        <f ca="1">SUMIFS(Table_Process_Details[RV Acidification (kg SO2 equiv.) per kg API (METAL)],Table_Process_Details[Display Name],Table_Process_Details[[#This Row],[Unique Process Inputs]],Table_Process_Details[Input or Output],"Input")</f>
        <v>0</v>
      </c>
      <c r="FZ46" s="131">
        <f ca="1">SUMIFS(Table_Process_Details[RV Acidification (kg SO2 equiv.) per kg API (SOLVENT)],Table_Process_Details[Display Name],Table_Process_Details[[#This Row],[Unique Process Inputs]],Table_Process_Details[Input or Output],"Input")</f>
        <v>0</v>
      </c>
      <c r="GA46" s="131">
        <f ca="1">SUMIFS(Table_Process_Details[RV Acidification (kg SO2 equiv.) per kg API (WATER)],Table_Process_Details[Display Name],Table_Process_Details[[#This Row],[Unique Process Inputs]],Table_Process_Details[Input or Output],"Input")</f>
        <v>0</v>
      </c>
      <c r="GB46" s="131">
        <f ca="1">SUMIFS(Table_Process_Details[RV Acidification (kg SO2 equiv.) per kg API (ENZ&amp;PLNT)],Table_Process_Details[Display Name],Table_Process_Details[[#This Row],[Unique Process Inputs]],Table_Process_Details[Input or Output],"Input")</f>
        <v>0</v>
      </c>
      <c r="GC46" s="131">
        <f ca="1">SUMIFS(Table_Process_Details[RV Acidification (kg SO2 equiv.) per kg API (OTHER)],Table_Process_Details[Display Name],Table_Process_Details[[#This Row],[Unique Process Inputs]],Table_Process_Details[Input or Output],"Input")</f>
        <v>0</v>
      </c>
      <c r="GD46"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6"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46" s="126" t="e">
        <f ca="1">SUM(OFFSET(Table_Process_Details['[Acidification (kg SO2 equiv.) per kg API'] of Unique Inputs Sorted by '[Acidification (kg SO2 equiv.) per kg API']],0,0,Table_Process_Details[[#This Row],[Table Row]]))</f>
        <v>#N/A</v>
      </c>
      <c r="GG46"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6" s="126" t="e">
        <f ca="1">INDEX(Table_Process_Details[Total '[Acidification (kg SO2 equiv.) per kg API'] of Unique Inputs (REAGENT)], MATCH(Table_Process_Details[[#This Row],[Unique Inputs Sorted by '[Acidification (kg SO2 equiv.) per kg API']]],Table_Process_Details[Unique Process Inputs],0))</f>
        <v>#N/A</v>
      </c>
      <c r="GI46" s="126" t="e">
        <f ca="1">INDEX(Table_Process_Details[Total '[Acidification (kg SO2 equiv.) per kg API'] of Unique Inputs (METAL)], MATCH(Table_Process_Details[[#This Row],[Unique Inputs Sorted by '[Acidification (kg SO2 equiv.) per kg API']]],Table_Process_Details[Unique Process Inputs],0))</f>
        <v>#N/A</v>
      </c>
      <c r="GJ46" s="126" t="e">
        <f ca="1">INDEX(Table_Process_Details[Total '[Acidification (kg SO2 equiv.) per kg API'] of Unique Inputs (SOLVENT)], MATCH(Table_Process_Details[[#This Row],[Unique Inputs Sorted by '[Acidification (kg SO2 equiv.) per kg API']]],Table_Process_Details[Unique Process Inputs],0))</f>
        <v>#N/A</v>
      </c>
      <c r="GK46" s="126" t="e">
        <f ca="1">INDEX(Table_Process_Details[Total '[Acidification (kg SO2 equiv.) per kg API'] of Unique Inputs (WATER)], MATCH(Table_Process_Details[[#This Row],[Unique Inputs Sorted by '[Acidification (kg SO2 equiv.) per kg API']]],Table_Process_Details[Unique Process Inputs],0))</f>
        <v>#N/A</v>
      </c>
      <c r="GL46" s="126" t="e">
        <f ca="1">INDEX(Table_Process_Details[Total '[Acidification (kg SO2 equiv.) per kg API'] of Unique Inputs (ENZ&amp;PLNT)], MATCH(Table_Process_Details[[#This Row],[Unique Inputs Sorted by '[Acidification (kg SO2 equiv.) per kg API']]],Table_Process_Details[Unique Process Inputs],0))</f>
        <v>#N/A</v>
      </c>
      <c r="GM46" s="126" t="e">
        <f ca="1">INDEX(Table_Process_Details[Total '[Acidification (kg SO2 equiv.) per kg API'] of Unique Inputs (OTHER)], MATCH(Table_Process_Details[[#This Row],[Unique Inputs Sorted by '[Acidification (kg SO2 equiv.) per kg API']]],Table_Process_Details[Unique Process Inputs],0))</f>
        <v>#N/A</v>
      </c>
      <c r="GN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6" s="126">
        <f ca="1">SUMIFS(Table_Process_Details[RV Eutrophication (kg phosphate equiv.) per kg API],Table_Process_Details[Display Name],Table_Process_Details[[#This Row],[Unique Process Inputs]],Table_Process_Details[Input or Output],"Input")</f>
        <v>0</v>
      </c>
      <c r="GV46" s="131">
        <f ca="1">SUMIFS(Table_Process_Details[RV Eutrophication (kg phosphate equiv.) per kg API (REAGENT)],Table_Process_Details[Display Name],Table_Process_Details[[#This Row],[Unique Process Inputs]],Table_Process_Details[Input or Output],"Input")</f>
        <v>0</v>
      </c>
      <c r="GW46" s="131">
        <f ca="1">SUMIFS(Table_Process_Details[RV Eutrophication (kg phosphate equiv.) per kg API (METAL)],Table_Process_Details[Display Name],Table_Process_Details[[#This Row],[Unique Process Inputs]],Table_Process_Details[Input or Output],"Input")</f>
        <v>0</v>
      </c>
      <c r="GX46" s="131">
        <f ca="1">SUMIFS(Table_Process_Details[RV Eutrophication (kg phosphate equiv.) per kg API (SOLVENT)],Table_Process_Details[Display Name],Table_Process_Details[[#This Row],[Unique Process Inputs]],Table_Process_Details[Input or Output],"Input")</f>
        <v>0</v>
      </c>
      <c r="GY46" s="131">
        <f ca="1">SUMIFS(Table_Process_Details[RV Eutrophication (kg phosphate equiv.) per kg API (WATER)],Table_Process_Details[Display Name],Table_Process_Details[[#This Row],[Unique Process Inputs]],Table_Process_Details[Input or Output],"Input")</f>
        <v>0</v>
      </c>
      <c r="GZ46" s="131">
        <f ca="1">SUMIFS(Table_Process_Details[RV Eutrophication (kg phosphate equiv.) per kg API (ENZ&amp;PLNT)],Table_Process_Details[Display Name],Table_Process_Details[[#This Row],[Unique Process Inputs]],Table_Process_Details[Input or Output],"Input")</f>
        <v>0</v>
      </c>
      <c r="HA46" s="131">
        <f ca="1">SUMIFS(Table_Process_Details[RV Eutrophication (kg phosphate equiv.) per kg API (OTHER)],Table_Process_Details[Display Name],Table_Process_Details[[#This Row],[Unique Process Inputs]],Table_Process_Details[Input or Output],"Input")</f>
        <v>0</v>
      </c>
      <c r="HB46"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6"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6" s="126" t="e">
        <f ca="1">SUM(OFFSET(Table_Process_Details['[Eutrophication (kg posphate equiv.) per kg API'] of Unique Inputs Sorted by '[Eutrophication (kg posphate equiv.) per kg API']],0,0,Table_Process_Details[[#This Row],[Table Row]]))</f>
        <v>#N/A</v>
      </c>
      <c r="HE46"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6" s="131" t="e">
        <f ca="1">INDEX(Table_Process_Details[Total '[Eutrophication (kg posphate equiv.) per kg API'] of Unique Inputs (REAGENT)], MATCH(Table_Process_Details[[#This Row],[Unique Inputs Sorted by '[Eutrophication (kg posphate equiv.) per kg API']]],Table_Process_Details[Unique Process Inputs],0))</f>
        <v>#N/A</v>
      </c>
      <c r="HG46" s="131" t="e">
        <f ca="1">INDEX(Table_Process_Details[Total '[Eutrophication (kg posphate equiv.) per kg API'] of Unique Inputs (METAL)], MATCH(Table_Process_Details[[#This Row],[Unique Inputs Sorted by '[Eutrophication (kg posphate equiv.) per kg API']]],Table_Process_Details[Unique Process Inputs],0))</f>
        <v>#N/A</v>
      </c>
      <c r="HH46" s="131" t="e">
        <f ca="1">INDEX(Table_Process_Details[Total '[Eutrophication (kg posphate equiv.) per kg API'] of Unique Inputs (SOLVENT)], MATCH(Table_Process_Details[[#This Row],[Unique Inputs Sorted by '[Eutrophication (kg posphate equiv.) per kg API']]],Table_Process_Details[Unique Process Inputs],0))</f>
        <v>#N/A</v>
      </c>
      <c r="HI46" s="131" t="e">
        <f ca="1">INDEX(Table_Process_Details[Total '[Eutrophication (kg posphate equiv.) per kg API'] of Unique Inputs (WATER)], MATCH(Table_Process_Details[[#This Row],[Unique Inputs Sorted by '[Eutrophication (kg posphate equiv.) per kg API']]],Table_Process_Details[Unique Process Inputs],0))</f>
        <v>#N/A</v>
      </c>
      <c r="HJ46" s="131" t="e">
        <f ca="1">INDEX(Table_Process_Details[Total '[Eutrophication (kg posphate equiv.) per kg API'] of Unique Inputs (ENZ&amp;PLNT)], MATCH(Table_Process_Details[[#This Row],[Unique Inputs Sorted by '[Eutrophication (kg posphate equiv.) per kg API']]],Table_Process_Details[Unique Process Inputs],0))</f>
        <v>#N/A</v>
      </c>
      <c r="HK46" s="131" t="e">
        <f ca="1">INDEX(Table_Process_Details[Total '[Eutrophication (kg posphate equiv.) per kg API'] of Unique Inputs (OTHER)], MATCH(Table_Process_Details[[#This Row],[Unique Inputs Sorted by '[Eutrophication (kg posphate equiv.) per kg API']]],Table_Process_Details[Unique Process Inputs],0))</f>
        <v>#N/A</v>
      </c>
      <c r="HL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6" s="131">
        <f ca="1">SUMIFS(Table_Process_Details[RV Water (kg) per kg API],Table_Process_Details[Display Name],Table_Process_Details[[#This Row],[Unique Process Inputs]],Table_Process_Details[Input or Output],"Input")</f>
        <v>0</v>
      </c>
      <c r="HT46" s="131">
        <f ca="1">SUMIFS(Table_Process_Details[RV Water (kg) per kg API (REAGENT)],Table_Process_Details[Display Name],Table_Process_Details[[#This Row],[Unique Process Inputs]],Table_Process_Details[Input or Output],"Input")</f>
        <v>0</v>
      </c>
      <c r="HU46" s="131">
        <f ca="1">SUMIFS(Table_Process_Details[RV Water (kg) per kg API (METAL)],Table_Process_Details[Display Name],Table_Process_Details[[#This Row],[Unique Process Inputs]],Table_Process_Details[Input or Output],"Input")</f>
        <v>0</v>
      </c>
      <c r="HV46" s="131">
        <f ca="1">SUMIFS(Table_Process_Details[RV Water (kg) per kg API (SOLVENT)],Table_Process_Details[Display Name],Table_Process_Details[[#This Row],[Unique Process Inputs]],Table_Process_Details[Input or Output],"Input")</f>
        <v>0</v>
      </c>
      <c r="HW46" s="131">
        <f ca="1">SUMIFS(Table_Process_Details[RV Water (kg) per kg API (WATER)],Table_Process_Details[Display Name],Table_Process_Details[[#This Row],[Unique Process Inputs]],Table_Process_Details[Input or Output],"Input")</f>
        <v>0</v>
      </c>
      <c r="HX46" s="131">
        <f ca="1">SUMIFS(Table_Process_Details[RV Water (kg) per kg API (ENZ&amp;PLNT)],Table_Process_Details[Display Name],Table_Process_Details[[#This Row],[Unique Process Inputs]],Table_Process_Details[Input or Output],"Input")</f>
        <v>0</v>
      </c>
      <c r="HY46" s="131">
        <f ca="1">SUMIFS(Table_Process_Details[RV Water (kg) per kg API (OTHER)],Table_Process_Details[Display Name],Table_Process_Details[[#This Row],[Unique Process Inputs]],Table_Process_Details[Input or Output],"Input")</f>
        <v>0</v>
      </c>
      <c r="HZ46" s="126" t="e">
        <f ca="1">INDEX(Table_Process_Details[Unique Process Inputs],MATCH(Table_Process_Details[[#This Row],['[Water (kg) per kg API'] of Unique Inputs Sorted by '[Water (kg) per kg API']]],Table_Process_Details[Total '[Water (kg) per kg API'] of Unique Inputs],0))</f>
        <v>#N/A</v>
      </c>
      <c r="IA46" s="126" t="e">
        <f ca="1">IF(LARGE(Table_Process_Details[Total '[Water (kg) per kg API'] of Unique Inputs],Table_Process_Details[[#This Row],[Table Row]])=0,NA(),LARGE(Table_Process_Details[Total '[Water (kg) per kg API'] of Unique Inputs],Table_Process_Details[[#This Row],[Table Row]]))</f>
        <v>#N/A</v>
      </c>
      <c r="IB46" s="131" t="e">
        <f ca="1">SUM(OFFSET(Table_Process_Details['[Water (kg) per kg API'] of Unique Inputs Sorted by '[Water (kg) per kg API']],0,0,Table_Process_Details[[#This Row],[Table Row]]))</f>
        <v>#N/A</v>
      </c>
      <c r="IC46" s="131" t="e">
        <f ca="1">"("&amp;TEXT(Table_Process_Details[[#This Row],['[Water (kg) per kg API'] of Unique Inputs Sorted by '[Water (kg) per kg API']]]/SUMIF(Table_Process_Details['[Water (kg) per kg API'] of Unique Inputs Sorted by '[Water (kg) per kg API']],"&lt;&gt;#N/A"),"0%")&amp;")"</f>
        <v>#N/A</v>
      </c>
      <c r="ID46" s="131" t="e">
        <f ca="1">INDEX(Table_Process_Details[Total '[Water (kg) per kg API'] of Unique Inputs (REAGENT)], MATCH(Table_Process_Details[[#This Row],[Unique Inputs Sorted by '[Water (kg) per kg API']]],Table_Process_Details[Unique Process Inputs],0))</f>
        <v>#N/A</v>
      </c>
      <c r="IE46" s="131" t="e">
        <f ca="1">INDEX(Table_Process_Details[Total '[Water (kg) per kg API'] of Unique Inputs (METAL)], MATCH(Table_Process_Details[[#This Row],[Unique Inputs Sorted by '[Water (kg) per kg API']]],Table_Process_Details[Unique Process Inputs],0))</f>
        <v>#N/A</v>
      </c>
      <c r="IF46" s="131" t="e">
        <f ca="1">INDEX(Table_Process_Details[Total '[Water (kg) per kg API'] of Unique Inputs (SOLVENT)], MATCH(Table_Process_Details[[#This Row],[Unique Inputs Sorted by '[Water (kg) per kg API']]],Table_Process_Details[Unique Process Inputs],0))</f>
        <v>#N/A</v>
      </c>
      <c r="IG46" s="131" t="e">
        <f ca="1">INDEX(Table_Process_Details[Total '[Water (kg) per kg API'] of Unique Inputs (WATER)], MATCH(Table_Process_Details[[#This Row],[Unique Inputs Sorted by '[Water (kg) per kg API']]],Table_Process_Details[Unique Process Inputs],0))</f>
        <v>#N/A</v>
      </c>
      <c r="IH46" s="131" t="e">
        <f ca="1">INDEX(Table_Process_Details[Total '[Water (kg) per kg API'] of Unique Inputs (ENZ&amp;PLNT)], MATCH(Table_Process_Details[[#This Row],[Unique Inputs Sorted by '[Water (kg) per kg API']]],Table_Process_Details[Unique Process Inputs],0))</f>
        <v>#N/A</v>
      </c>
      <c r="II46" s="131" t="e">
        <f ca="1">INDEX(Table_Process_Details[Total '[Water (kg) per kg API'] of Unique Inputs (OTHER)], MATCH(Table_Process_Details[[#This Row],[Unique Inputs Sorted by '[Water (kg) per kg API']]],Table_Process_Details[Unique Process Inputs],0))</f>
        <v>#N/A</v>
      </c>
    </row>
    <row r="47" spans="1:243" customFormat="1" x14ac:dyDescent="0.25">
      <c r="A47" s="22" t="str">
        <f>'1. Define Process Steps'!A16</f>
        <v>2c) Virtual solution prep for (2): 0.1 M reagent G (inorganic) in water</v>
      </c>
      <c r="B47" s="21" t="s">
        <v>4</v>
      </c>
      <c r="C47" s="21" t="s">
        <v>7</v>
      </c>
      <c r="D47" s="22" t="s">
        <v>158</v>
      </c>
      <c r="E47" s="22" t="s">
        <v>828</v>
      </c>
      <c r="F47" s="26">
        <v>4.5</v>
      </c>
      <c r="G47" s="26"/>
      <c r="H47" s="26"/>
      <c r="I47" s="26"/>
      <c r="J47" s="26" t="str">
        <f>INDEX(Process_Steps[Reference],MATCH(Table_Process_Details[[#This Row],[Step Name]],Process_Steps[Name],0))</f>
        <v>Reference Document for Step 2</v>
      </c>
      <c r="K47" s="27" t="str">
        <f>INDEX(Process_Steps[Real or Virtual?],MATCH(Table_Process_Details[[#This Row],[Step Name]],Process_Steps[Name],0))</f>
        <v>Virtual</v>
      </c>
      <c r="L4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4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47" s="26">
        <f>INDEX(Table_Process_Details[Physical Mass (kg)],MATCH(1,INDEX(((Table_Process_Details[Step Name]=Table_Process_Details[[#This Row],[Step Name]])*(Table_Process_Details[Input or Output]="Output")),0),0))</f>
        <v>1000.3</v>
      </c>
      <c r="O47" s="29">
        <f ca="1">INDEX(Process_Steps[Step Scale Factor for 1kg Packaged API],MATCH(Table_Process_Details[[#This Row],[Step Name]],Process_Steps[Name],0))</f>
        <v>4.1928036923041222E-3</v>
      </c>
      <c r="P4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9.3333333333333339</v>
      </c>
      <c r="Q4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10.333333333333334</v>
      </c>
      <c r="R47" s="26">
        <f ca="1">_xlfn.SWITCH(Run_Reset_PNG,"Reset",Table_Process_Details[[#This Row],[X Init]],"Run",Table_Process_Details[[#This Row],[X Moved]],"Freeze",Table_Process_Details[[#This Row],[X Mover]])</f>
        <v>9.557263867367082</v>
      </c>
      <c r="S47" s="26">
        <f ca="1">_xlfn.SWITCH(Run_Reset_PNG,"Reset",Table_Process_Details[[#This Row],[Y Init]],"Run",Table_Process_Details[[#This Row],[Y Moved]],"Freeze",Table_Process_Details[[#This Row],[Y Mover]])</f>
        <v>15.694478279725503</v>
      </c>
      <c r="T47" s="26" cm="1">
        <f t="array" aca="1" ref="T4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1.8023618154447314</v>
      </c>
      <c r="U47" s="26" cm="1">
        <f t="array" aca="1" ref="U4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3.0680957886322844</v>
      </c>
      <c r="V47" s="26" cm="1">
        <f t="array" aca="1" ref="V47" ca="1">SUM(--(SQRT((Table_Process_Details[[#This Row],[X Mover]]-Table_Process_Details[X Mover])^2+(Table_Process_Details[[#This Row],[Y Mover]]-Table_Process_Details[Y Mover])^2)&lt;Collision_Distance))</f>
        <v>20</v>
      </c>
      <c r="W47" s="26" cm="1">
        <f t="array" aca="1" ref="W4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-0.11559415356056585</v>
      </c>
      <c r="X47" s="26" cm="1">
        <f t="array" aca="1" ref="X4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-0.14704589365019843</v>
      </c>
      <c r="Y47" s="26" cm="1">
        <f t="array" aca="1" ref="Y4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7" s="26">
        <f>0</f>
        <v>0</v>
      </c>
      <c r="AA47" s="26">
        <f>0</f>
        <v>0</v>
      </c>
      <c r="AB4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-4.778631933683541</v>
      </c>
      <c r="AC47" s="26" cm="1">
        <f t="array" aca="1" ref="AC4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-7.8472391398627517</v>
      </c>
      <c r="AD47" s="26">
        <f>MIN(1,COUNTA(Table_Process_Details[[#This Row],[target x]]),COUNTA(Table_Process_Details[[#This Row],[target y]]))*COUNTA(Table_Process_Details[Step Name])</f>
        <v>98</v>
      </c>
      <c r="AE4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9.4830262542350425</v>
      </c>
      <c r="AF4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15.62076330673281</v>
      </c>
      <c r="AG4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7" s="26" cm="1">
        <f t="array" aca="1" ref="AH47" ca="1">INDEX(Table_Process_Details[X Mover],MATCH(1,INDEX((Table_Process_Details[Input or Output]="Output")*(Table_Process_Details[Step Name]=Table_Process_Details[[#This Row],[Step Name]])*(Table_Process_Details[[#This Row],[Input or Output]]="Input"),0),0))</f>
        <v>7.4720348390499867</v>
      </c>
      <c r="AI47" s="26" cm="1">
        <f t="array" aca="1" ref="AI47" ca="1">INDEX(Table_Process_Details[Y Mover],MATCH(1,INDEX((Table_Process_Details[Input or Output]="Output")*(Table_Process_Details[Step Name]=Table_Process_Details[[#This Row],[Step Name]])*(Table_Process_Details[[#This Row],[Input or Output]]="Input"),0),0))</f>
        <v>13.041884212556132</v>
      </c>
      <c r="AJ47" s="26" t="e">
        <f ca="1">SQRT((Table_Process_Details[[#This Row],[X End (To Node Center)]]-Table_Process_Details[[#This Row],[X Guide]])^2+(Table_Process_Details[[#This Row],[Y End (to Node Center)]]-Table_Process_Details[[#This Row],[Y Guide]])^2)</f>
        <v>#N/A</v>
      </c>
      <c r="AK47" s="26" t="e" cm="1">
        <f t="array" ref="AK47">INDEX(Table_Process_Details[X Mover],MATCH(1,INDEX((Table_Process_Details[Step Name]=Table_Process_Details[[#This Row],[LCA Data Source Subclass]])*(Table_Process_Details[Input or Output]="Output"),0)*(Table_Process_Details[[#This Row],[Input or Output]]="Input"),0))</f>
        <v>#N/A</v>
      </c>
      <c r="AL47" s="26" cm="1">
        <f t="array" aca="1" ref="AL47" ca="1">INDEX(Table_Process_Details[X Mover],MATCH(1,INDEX(((Table_Process_Details[Table Row]=Table_Process_Details[[#This Row],[Table Row]])*(1)),0)*(Table_Process_Details[[#This Row],[Input or Output]]="Input"),0))</f>
        <v>9.557263867367082</v>
      </c>
      <c r="AM47" s="26" t="e" cm="1">
        <f t="array" aca="1" ref="AM47" ca="1">(Table_Process_Details[[#This Row],[X End (To Node Center)]]*Table_Process_Details[[#This Row],[r0]]-Table_Process_Details[[#This Row],[X End (To Node Center)]]*Arrow_Offset+Table_Process_Details[[#This Row],[X Guide]]*Arrow_Offset)/Table_Process_Details[[#This Row],[r0]]</f>
        <v>#N/A</v>
      </c>
      <c r="AN47" s="26" t="e">
        <f>IF(NOT(Table_Process_Details[[#This Row],[Display As]]="None"),Table_Process_Details[[#This Row],[X Start Prefilter]],NA())</f>
        <v>#N/A</v>
      </c>
      <c r="AO47" s="26" t="e">
        <f>IF(NOT(Table_Process_Details[[#This Row],[Display As]]="None"),Table_Process_Details[[#This Row],[X Guide Prefilter]],NA())</f>
        <v>#N/A</v>
      </c>
      <c r="AP47" s="26" t="e">
        <f>IF(NOT(Table_Process_Details[[#This Row],[Display As]]="None"),Table_Process_Details[[#This Row],[X End (to Stop Radius) Prefilter]],NA())</f>
        <v>#N/A</v>
      </c>
      <c r="AQ47" s="26" t="e">
        <f>NA()</f>
        <v>#N/A</v>
      </c>
      <c r="AR47" s="26" t="e" cm="1">
        <f t="array" ref="AR47">INDEX(Table_Process_Details[Y Mover],MATCH(1,INDEX((Table_Process_Details[Step Name]=Table_Process_Details[[#This Row],[LCA Data Source Subclass]])*(Table_Process_Details[Input or Output]="Output"),0)*(Table_Process_Details[[#This Row],[Input or Output]]="Input"),0))</f>
        <v>#N/A</v>
      </c>
      <c r="AS47" s="26" cm="1">
        <f t="array" aca="1" ref="AS47" ca="1">INDEX(Table_Process_Details[Y Mover],MATCH(1,INDEX(((Table_Process_Details[Table Row]=Table_Process_Details[[#This Row],[Table Row]])*(1)),0)*(Table_Process_Details[[#This Row],[Input or Output]]="Input"),0))</f>
        <v>15.694478279725503</v>
      </c>
      <c r="AT47" s="26" t="e" cm="1">
        <f t="array" aca="1" ref="AT47" ca="1">(Table_Process_Details[[#This Row],[Y Guide]]*Arrow_Offset-Table_Process_Details[[#This Row],[Y End (to Node Center)]]*Arrow_Offset+Table_Process_Details[[#This Row],[Y End (to Node Center)]]*Table_Process_Details[[#This Row],[r0]])/Table_Process_Details[[#This Row],[r0]]</f>
        <v>#N/A</v>
      </c>
      <c r="AU47" s="26" t="e">
        <f>IF(NOT(Table_Process_Details[[#This Row],[Display As]]="None"),Table_Process_Details[[#This Row],[Y Start Prefilter]],NA())</f>
        <v>#N/A</v>
      </c>
      <c r="AV47" s="26" t="e">
        <f>IF(NOT(Table_Process_Details[[#This Row],[Display As]]="None"),Table_Process_Details[[#This Row],[Y Guide Prefilter]],NA())</f>
        <v>#N/A</v>
      </c>
      <c r="AW47" s="26" t="e">
        <f>IF(NOT(Table_Process_Details[[#This Row],[Display As]]="None"),Table_Process_Details[[#This Row],[Y End (to Stop Radius) Prefilter]],NA())</f>
        <v>#N/A</v>
      </c>
      <c r="AX47" s="26" t="e">
        <f>NA()</f>
        <v>#N/A</v>
      </c>
      <c r="AY47" s="26" t="e">
        <f>IF(Table_Process_Details[[#This Row],[Display As]]="Real Step",Table_Process_Details[[#This Row],[X Mover]],NA())</f>
        <v>#N/A</v>
      </c>
      <c r="AZ47" s="26" t="e">
        <f>IF(Table_Process_Details[[#This Row],[Display As]]="Real Step",Table_Process_Details[[#This Row],[Y Mover]],NA())</f>
        <v>#N/A</v>
      </c>
      <c r="BA47" s="26" t="e">
        <f>IF(Table_Process_Details[[#This Row],[Display As]]="Raw Material",Table_Process_Details[[#This Row],[X Mover]],NA())</f>
        <v>#N/A</v>
      </c>
      <c r="BB47" s="26" t="e">
        <f>IF(Table_Process_Details[[#This Row],[Display As]]="Raw Material",Table_Process_Details[[#This Row],[Y Mover]],NA())</f>
        <v>#N/A</v>
      </c>
      <c r="BC47" s="26" t="e">
        <f>IF(OR(Table_Process_Details[[#This Row],[Display As]]="Real Step",Table_Process_Details[[#This Row],[Display As]]="Raw Material"),Table_Process_Details[[#This Row],[X Mover]],NA())</f>
        <v>#N/A</v>
      </c>
      <c r="BD47" s="26" t="e">
        <f>IF(OR(Table_Process_Details[[#This Row],[Display As]]="Real Step",Table_Process_Details[[#This Row],[Display As]]="Raw Material"),Table_Process_Details[[#This Row],[Y Mover]],NA())</f>
        <v>#N/A</v>
      </c>
      <c r="BE47" s="22">
        <f>ROW()-ROW(Table_Process_Details[[#Headers],[Table Row]])</f>
        <v>43</v>
      </c>
      <c r="BF47" s="23" t="str" cm="1">
        <f t="array" aca="1" ref="BF47" ca="1">INDEX(Table_Process_Details[Display Name],MATCH(0,IF(Table_Process_Details[Input or Output]="Input",INDEX(COUNTIF(OFFSET(Table_Process_Details[[#Headers],[Unique Process Inputs]],0,0,Table_Process_Details[[#This Row],[Table Row]],1),Table_Process_Details[Display Name]),),""),0))</f>
        <v>Intermediate (3)</v>
      </c>
      <c r="BG47" s="23">
        <f ca="1">Table_Process_Details[[#This Row],[Physical Mass (kg)]]*Table_Process_Details[[#This Row],[Step Scale Factor for 1kg Packaged API]]</f>
        <v>1.8867616615368552E-2</v>
      </c>
      <c r="BH4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7" s="23">
        <f ca="1">MATCH(Table_Process_Details[[#This Row],[LCA Data Source Class]],INDIRECT(Table_Process_Details[[#This Row],[Input or Output]]),0)</f>
        <v>6</v>
      </c>
      <c r="BJ47" s="23">
        <f ca="1">MATCH(Table_Process_Details[[#This Row],[LCA Data Source Subclass]],INDIRECT(Table_Process_Details[[#This Row],[LCA Data Source Class]]&amp;"[Name]"),0)</f>
        <v>1</v>
      </c>
      <c r="BK47" s="23">
        <f ca="1">IFERROR(INDEX(INDIRECT(Table_Process_Details[[#This Row],[LCA Data Source Class]]&amp;"[Mass Net (kg)]"),MATCH(Table_Process_Details[[#This Row],[LCA Data Source Subclass]],INDIRECT(Table_Process_Details[[#This Row],[LCA Data Source Class]]&amp;"[Name]"),0)),0)</f>
        <v>1.34</v>
      </c>
      <c r="BL47" s="23">
        <f ca="1">IFERROR(INDEX(INDIRECT(Table_Process_Details[[#This Row],[LCA Data Source Class]]&amp;"[Energy (MJ)]"),MATCH(Table_Process_Details[[#This Row],[LCA Data Source Subclass]],INDIRECT(Table_Process_Details[[#This Row],[LCA Data Source Class]]&amp;"[Name]"),0)),0)</f>
        <v>10.63</v>
      </c>
      <c r="BM47" s="23">
        <f ca="1">IFERROR(INDEX(INDIRECT(Table_Process_Details[[#This Row],[LCA Data Source Class]]&amp;"[GWP (kg CO2 equiv.)]"),MATCH(Table_Process_Details[[#This Row],[LCA Data Source Subclass]],INDIRECT(Table_Process_Details[[#This Row],[LCA Data Source Class]]&amp;"[Name]"),0)),0)</f>
        <v>1.3854</v>
      </c>
      <c r="BN47" s="23">
        <f ca="1">IFERROR(INDEX(INDIRECT(Table_Process_Details[[#This Row],[LCA Data Source Class]]&amp;"[Acidification (kg SO2 equiv.)]"),MATCH(Table_Process_Details[[#This Row],[LCA Data Source Subclass]],INDIRECT(Table_Process_Details[[#This Row],[LCA Data Source Class]]&amp;"[Name]"),0)),0)</f>
        <v>1.3899999999999999E-2</v>
      </c>
      <c r="BO47" s="23">
        <f ca="1">IFERROR(INDEX(INDIRECT(Table_Process_Details[[#This Row],[LCA Data Source Class]]&amp;"[Eutrophication (kg posphate equiv.)]"),MATCH(Table_Process_Details[[#This Row],[LCA Data Source Subclass]],INDIRECT(Table_Process_Details[[#This Row],[LCA Data Source Class]]&amp;"[Name]"),0)),0)</f>
        <v>6.9999999999999999E-4</v>
      </c>
      <c r="BP47" s="23">
        <f ca="1">IFERROR(INDEX(INDIRECT(Table_Process_Details[[#This Row],[LCA Data Source Class]]&amp;"[Water (kg)]"),MATCH(Table_Process_Details[[#This Row],[LCA Data Source Subclass]],INDIRECT(Table_Process_Details[[#This Row],[LCA Data Source Class]]&amp;"[Name]"),0)),0)</f>
        <v>0.69123000000000001</v>
      </c>
      <c r="BQ47" s="27">
        <f ca="1">(Table_Process_Details[[#This Row],[Input or Output]]="Input")*(Table_Process_Details[[#This Row],[LCA Data Source Class]]&lt;&gt;"Process_Steps")*Table_Process_Details[[#This Row],[Scaled Physical Mass per kg API for All Inputs &amp; Outputs]]</f>
        <v>1.8867616615368552E-2</v>
      </c>
      <c r="BR47" s="27">
        <f ca="1">(Table_Process_Details[[#This Row],[Material Class]]="REAGENT")*Table_Process_Details[[#This Row],[Physical Mass per kg API]]</f>
        <v>1.8867616615368552E-2</v>
      </c>
      <c r="BS47" s="27">
        <f ca="1">(Table_Process_Details[[#This Row],[Material Class]]="METAL")*Table_Process_Details[[#This Row],[Physical Mass per kg API]]</f>
        <v>0</v>
      </c>
      <c r="BT47" s="27">
        <f ca="1">(Table_Process_Details[[#This Row],[Material Class]]="SOLVENT")*Table_Process_Details[[#This Row],[Physical Mass per kg API]]</f>
        <v>0</v>
      </c>
      <c r="BU47" s="27">
        <f ca="1">(Table_Process_Details[[#This Row],[Material Class]]="WATER")*Table_Process_Details[[#This Row],[Physical Mass per kg API]]</f>
        <v>0</v>
      </c>
      <c r="BV47" s="27">
        <f ca="1">(Table_Process_Details[[#This Row],[Material Class]]="ENZ&amp;PLNT")*Table_Process_Details[[#This Row],[Physical Mass per kg API]]</f>
        <v>0</v>
      </c>
      <c r="BW47" s="27">
        <f ca="1">(Table_Process_Details[[#This Row],[Material Class]]="OTHER")*Table_Process_Details[[#This Row],[Physical Mass per kg API]]</f>
        <v>0</v>
      </c>
      <c r="BX4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7" s="1">
        <f ca="1">SUMIFS(Table_Process_Details[RV Physical Mass per kg API],Table_Process_Details[Display Name],Table_Process_Details[[#This Row],[Unique Process Inputs]],Table_Process_Details[Input or Output],"Input")</f>
        <v>0</v>
      </c>
      <c r="CF47" s="1">
        <f ca="1">SUMIFS(Table_Process_Details[RV Physical Mass per kg API (REAGENT)],Table_Process_Details[Display Name],Table_Process_Details[[#This Row],[Unique Process Inputs]],Table_Process_Details[Input or Output],"Input")</f>
        <v>0</v>
      </c>
      <c r="CG47" s="1">
        <f ca="1">SUMIFS(Table_Process_Details[RV Physical Mass per kg API (METAL)],Table_Process_Details[Display Name],Table_Process_Details[[#This Row],[Unique Process Inputs]],Table_Process_Details[Input or Output],"Input")</f>
        <v>0</v>
      </c>
      <c r="CH47" s="1">
        <f ca="1">SUMIFS(Table_Process_Details[RV Physical Mass per kg API (SOLVENT)],Table_Process_Details[Display Name],Table_Process_Details[[#This Row],[Unique Process Inputs]],Table_Process_Details[Input or Output],"Input")</f>
        <v>0</v>
      </c>
      <c r="CI47" s="1">
        <f ca="1">SUMIFS(Table_Process_Details[RV Physical Mass per kg API (WATER)],Table_Process_Details[Display Name],Table_Process_Details[[#This Row],[Unique Process Inputs]],Table_Process_Details[Input or Output],"Input")</f>
        <v>0</v>
      </c>
      <c r="CJ47" s="1">
        <f ca="1">SUMIFS(Table_Process_Details[RV Physical Mass per kg API (ENZ&amp;PLNT)],Table_Process_Details[Display Name],Table_Process_Details[[#This Row],[Unique Process Inputs]],Table_Process_Details[Input or Output],"Input")</f>
        <v>0</v>
      </c>
      <c r="CK47" s="1">
        <f ca="1">SUMIFS(Table_Process_Details[RV Physical Mass per kg API (OTHER)],Table_Process_Details[Display Name],Table_Process_Details[[#This Row],[Unique Process Inputs]],Table_Process_Details[Input or Output],"Input")</f>
        <v>0</v>
      </c>
      <c r="CL47" s="22" t="e">
        <f ca="1">INDEX(Table_Process_Details[Unique Process Inputs],MATCH(Table_Process_Details[[#This Row],['[Physical Mass per kg API'] of Unique Inputs Sorted by '[Physical Mass per kg API']]],Table_Process_Details[Total '[Physical Mass per kg API'] of Unique Inputs],0))</f>
        <v>#N/A</v>
      </c>
      <c r="CM47" s="22" t="e">
        <f ca="1">IF(LARGE(Table_Process_Details[Total '[Physical Mass per kg API'] of Unique Inputs],Table_Process_Details[[#This Row],[Table Row]])=0,NA(),LARGE(Table_Process_Details[Total '[Physical Mass per kg API'] of Unique Inputs],Table_Process_Details[[#This Row],[Table Row]]))</f>
        <v>#N/A</v>
      </c>
      <c r="CN47" s="22" t="e">
        <f ca="1">SUM(OFFSET(Table_Process_Details['[Physical Mass per kg API'] of Unique Inputs Sorted by '[Physical Mass per kg API']],0,0,Table_Process_Details[[#This Row],[Table Row]]))</f>
        <v>#N/A</v>
      </c>
      <c r="CO47" s="22" t="e">
        <f ca="1">"("&amp;TEXT(Table_Process_Details[[#This Row],['[Physical Mass per kg API'] of Unique Inputs Sorted by '[Physical Mass per kg API']]]/SUMIF(Table_Process_Details['[Physical Mass per kg API'] of Unique Inputs Sorted by '[Physical Mass per kg API']],"&lt;&gt;#N/A"),"0%")&amp;")"</f>
        <v>#N/A</v>
      </c>
      <c r="CP47" s="22" t="e">
        <f ca="1">INDEX(Table_Process_Details[Total '[Physical Mass per kg API'] of Unique Inputs (REAGENT)],MATCH(Table_Process_Details[[#This Row],[Unique Inputs Sorted by '[Physical Mass per kg API']]],Table_Process_Details[Unique Process Inputs],0))</f>
        <v>#N/A</v>
      </c>
      <c r="CQ47" s="22" t="e">
        <f ca="1">INDEX(Table_Process_Details[Total '[Physical Mass per kg API'] of Unique Inputs (METAL)],MATCH(Table_Process_Details[[#This Row],[Unique Inputs Sorted by '[Physical Mass per kg API']]],Table_Process_Details[Unique Process Inputs],0))</f>
        <v>#N/A</v>
      </c>
      <c r="CR47" s="22" t="e">
        <f ca="1">INDEX(Table_Process_Details[Total '[Physical Mass per kg API'] of Unique Inputs (SOLVENT)],MATCH(Table_Process_Details[[#This Row],[Unique Inputs Sorted by '[Physical Mass per kg API']]],Table_Process_Details[Unique Process Inputs],0))</f>
        <v>#N/A</v>
      </c>
      <c r="CS47" s="22" t="e">
        <f ca="1">INDEX(Table_Process_Details[Total '[Physical Mass per kg API'] of Unique Inputs (WATER)],MATCH(Table_Process_Details[[#This Row],[Unique Inputs Sorted by '[Physical Mass per kg API']]],Table_Process_Details[Unique Process Inputs],0))</f>
        <v>#N/A</v>
      </c>
      <c r="CT47" s="22" t="e">
        <f ca="1">INDEX(Table_Process_Details[Total '[Physical Mass per kg API'] of Unique Inputs (ENZ&amp;PLNT)],MATCH(Table_Process_Details[[#This Row],[Unique Inputs Sorted by '[Physical Mass per kg API']]],Table_Process_Details[Unique Process Inputs],0))</f>
        <v>#N/A</v>
      </c>
      <c r="CU47" s="22" t="e">
        <f ca="1">INDEX(Table_Process_Details[Total '[Physical Mass per kg API'] of Unique Inputs (OTHER)],MATCH(Table_Process_Details[[#This Row],[Unique Inputs Sorted by '[Physical Mass per kg API']]],Table_Process_Details[Unique Process Inputs],0))</f>
        <v>#N/A</v>
      </c>
      <c r="CV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7" s="22">
        <f ca="1">SUMIFS(Table_Process_Details[RV Mass Net (kg) per kg API],Table_Process_Details[Display Name],Table_Process_Details[[#This Row],[Unique Process Inputs]],Table_Process_Details[Input or Output],"Input")</f>
        <v>0</v>
      </c>
      <c r="DD47" s="22">
        <f ca="1">SUMIFS(Table_Process_Details[RV Mass Net (kg) per kg API (REAGENT)],Table_Process_Details[Display Name],Table_Process_Details[[#This Row],[Unique Process Inputs]],Table_Process_Details[Input or Output],"Input")</f>
        <v>0</v>
      </c>
      <c r="DE47" s="22">
        <f ca="1">SUMIFS(Table_Process_Details[RV Mass Net (kg) per kg API (METAL)],Table_Process_Details[Display Name],Table_Process_Details[[#This Row],[Unique Process Inputs]],Table_Process_Details[Input or Output],"Input")</f>
        <v>0</v>
      </c>
      <c r="DF47" s="22">
        <f ca="1">SUMIFS(Table_Process_Details[RV Mass Net (kg) per kg API (SOLVENT)],Table_Process_Details[Display Name],Table_Process_Details[[#This Row],[Unique Process Inputs]],Table_Process_Details[Input or Output],"Input")</f>
        <v>0</v>
      </c>
      <c r="DG47" s="22">
        <f ca="1">SUMIFS(Table_Process_Details[RV Mass Net (kg) per kg API (WATER)],Table_Process_Details[Display Name],Table_Process_Details[[#This Row],[Unique Process Inputs]],Table_Process_Details[Input or Output],"Input")</f>
        <v>0</v>
      </c>
      <c r="DH47" s="22">
        <f ca="1">SUMIFS(Table_Process_Details[RV Mass Net (kg) per kg API (ENZ&amp;PLNT)],Table_Process_Details[Display Name],Table_Process_Details[[#This Row],[Unique Process Inputs]],Table_Process_Details[Input or Output],"Input")</f>
        <v>0</v>
      </c>
      <c r="DI47" s="22">
        <f ca="1">SUMIFS(Table_Process_Details[RV Mass Net (kg) per kg API (OTHER)],Table_Process_Details[Display Name],Table_Process_Details[[#This Row],[Unique Process Inputs]],Table_Process_Details[Input or Output],"Input")</f>
        <v>0</v>
      </c>
      <c r="DJ47" s="22" t="e">
        <f ca="1">INDEX(Table_Process_Details[Unique Process Inputs],MATCH(Table_Process_Details[[#This Row],['[Mass Net (kg) per kg API'] of Unique Inputs Sorted by '[Mass Net (kg) per kg API']]],Table_Process_Details[Total '[Mass Net (kg) per kg API'] of Unique Inputs],0))</f>
        <v>#N/A</v>
      </c>
      <c r="DK47" s="22" t="e">
        <f ca="1">IF(LARGE(Table_Process_Details[Total '[Mass Net (kg) per kg API'] of Unique Inputs],Table_Process_Details[[#This Row],[Table Row]])=0,NA(),LARGE(Table_Process_Details[Total '[Mass Net (kg) per kg API'] of Unique Inputs],Table_Process_Details[[#This Row],[Table Row]]))</f>
        <v>#N/A</v>
      </c>
      <c r="DL47" s="22" t="e">
        <f ca="1">SUM(OFFSET(Table_Process_Details['[Mass Net (kg) per kg API'] of Unique Inputs Sorted by '[Mass Net (kg) per kg API']],0,0,Table_Process_Details[[#This Row],[Table Row]]))</f>
        <v>#N/A</v>
      </c>
      <c r="DM47" s="22" t="e">
        <f ca="1">"("&amp;TEXT(Table_Process_Details[[#This Row],['[Mass Net (kg) per kg API'] of Unique Inputs Sorted by '[Mass Net (kg) per kg API']]]/SUMIF(Table_Process_Details['[Mass Net (kg) per kg API'] of Unique Inputs Sorted by '[Mass Net (kg) per kg API']],"&lt;&gt;#N/A"),"0%")&amp;")"</f>
        <v>#N/A</v>
      </c>
      <c r="DN47" s="22" t="e">
        <f ca="1">INDEX(Table_Process_Details[Total '[Mass Net (kg) per kg API'] of Unique Inputs (REAGENT)], MATCH(Table_Process_Details[[#This Row],[Unique Inputs Sorted by '[Mass Net (kg) per kg API']]],Table_Process_Details[Unique Process Inputs],0))</f>
        <v>#N/A</v>
      </c>
      <c r="DO47" s="22" t="e">
        <f ca="1">INDEX(Table_Process_Details[Total '[Mass Net (kg) per kg API'] of Unique Inputs (METAL)], MATCH(Table_Process_Details[[#This Row],[Unique Inputs Sorted by '[Mass Net (kg) per kg API']]],Table_Process_Details[Unique Process Inputs],0))</f>
        <v>#N/A</v>
      </c>
      <c r="DP47" s="22" t="e">
        <f ca="1">INDEX(Table_Process_Details[Total '[Mass Net (kg) per kg API'] of Unique Inputs (SOLVENT)], MATCH(Table_Process_Details[[#This Row],[Unique Inputs Sorted by '[Mass Net (kg) per kg API']]],Table_Process_Details[Unique Process Inputs],0))</f>
        <v>#N/A</v>
      </c>
      <c r="DQ47" s="22" t="e">
        <f ca="1">INDEX(Table_Process_Details[Total '[Mass Net (kg) per kg API'] of Unique Inputs (WATER)], MATCH(Table_Process_Details[[#This Row],[Unique Inputs Sorted by '[Mass Net (kg) per kg API']]],Table_Process_Details[Unique Process Inputs],0))</f>
        <v>#N/A</v>
      </c>
      <c r="DR47" s="22" t="e">
        <f ca="1">INDEX(Table_Process_Details[Total '[Mass Net (kg) per kg API'] of Unique Inputs (ENZ&amp;PLNT)], MATCH(Table_Process_Details[[#This Row],[Unique Inputs Sorted by '[Mass Net (kg) per kg API']]],Table_Process_Details[Unique Process Inputs],0))</f>
        <v>#N/A</v>
      </c>
      <c r="DS47" s="22" t="e">
        <f ca="1">INDEX(Table_Process_Details[Total '[Mass Net (kg) per kg API'] of Unique Inputs (OTHER)], MATCH(Table_Process_Details[[#This Row],[Unique Inputs Sorted by '[Mass Net (kg) per kg API']]],Table_Process_Details[Unique Process Inputs],0))</f>
        <v>#N/A</v>
      </c>
      <c r="DT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7" s="1">
        <f ca="1">SUMIFS(Table_Process_Details[RV Energy (MJ) per kg API],Table_Process_Details[Display Name],Table_Process_Details[[#This Row],[Unique Process Inputs]],Table_Process_Details[Input or Output],"Input")</f>
        <v>0</v>
      </c>
      <c r="EB47" s="1">
        <f ca="1">SUMIFS(Table_Process_Details[RV Energy (MJ) per kg API (REAGENT)],Table_Process_Details[Display Name],Table_Process_Details[[#This Row],[Unique Process Inputs]],Table_Process_Details[Input or Output],"Input")</f>
        <v>0</v>
      </c>
      <c r="EC47" s="1">
        <f ca="1">SUMIFS(Table_Process_Details[RV Energy (MJ) per kg API (METAL)],Table_Process_Details[Display Name],Table_Process_Details[[#This Row],[Unique Process Inputs]],Table_Process_Details[Input or Output],"Input")</f>
        <v>0</v>
      </c>
      <c r="ED47" s="1">
        <f ca="1">SUMIFS(Table_Process_Details[RV Energy (MJ) per kg API (SOLVENT)],Table_Process_Details[Display Name],Table_Process_Details[[#This Row],[Unique Process Inputs]],Table_Process_Details[Input or Output],"Input")</f>
        <v>0</v>
      </c>
      <c r="EE47" s="1">
        <f ca="1">SUMIFS(Table_Process_Details[RV Energy (MJ) per kg API (WATER)],Table_Process_Details[Display Name],Table_Process_Details[[#This Row],[Unique Process Inputs]],Table_Process_Details[Input or Output],"Input")</f>
        <v>0</v>
      </c>
      <c r="EF47" s="1">
        <f ca="1">SUMIFS(Table_Process_Details[RV Energy (MJ) per kg API (ENZ&amp;PLNT)],Table_Process_Details[Display Name],Table_Process_Details[[#This Row],[Unique Process Inputs]],Table_Process_Details[Input or Output],"Input")</f>
        <v>0</v>
      </c>
      <c r="EG47" s="1">
        <f ca="1">SUMIFS(Table_Process_Details[RV Energy (MJ) per kg API (OTHER)],Table_Process_Details[Display Name],Table_Process_Details[[#This Row],[Unique Process Inputs]],Table_Process_Details[Input or Output],"Input")</f>
        <v>0</v>
      </c>
      <c r="EH47" s="1" t="e">
        <f ca="1">INDEX(Table_Process_Details[Unique Process Inputs],MATCH(Table_Process_Details[[#This Row],['[Energy (MJ) per kg API'] of Unique Inputs Sorted by '[Energy (MJ) per kg API']]],Table_Process_Details[Total '[Energy (MJ) per kg API'] of Unique Inputs],0))</f>
        <v>#N/A</v>
      </c>
      <c r="EI47" s="22" t="e">
        <f ca="1">IF(LARGE(Table_Process_Details[Total '[Energy (MJ) per kg API'] of Unique Inputs],Table_Process_Details[[#This Row],[Table Row]])=0,NA(),LARGE(Table_Process_Details[Total '[Energy (MJ) per kg API'] of Unique Inputs],Table_Process_Details[[#This Row],[Table Row]]))</f>
        <v>#N/A</v>
      </c>
      <c r="EJ47" s="22" t="e">
        <f ca="1">SUM(OFFSET(Table_Process_Details['[Energy (MJ) per kg API'] of Unique Inputs Sorted by '[Energy (MJ) per kg API']],0,0,Table_Process_Details[[#This Row],[Table Row]]))</f>
        <v>#N/A</v>
      </c>
      <c r="EK47" s="22" t="e">
        <f ca="1">"("&amp;TEXT(Table_Process_Details[[#This Row],['[Energy (MJ) per kg API'] of Unique Inputs Sorted by '[Energy (MJ) per kg API']]]/SUMIF(Table_Process_Details['[Energy (MJ) per kg API'] of Unique Inputs Sorted by '[Energy (MJ) per kg API']],"&lt;&gt;#N/A"),"0%")&amp;")"</f>
        <v>#N/A</v>
      </c>
      <c r="EL47" s="22" t="e">
        <f ca="1">INDEX(Table_Process_Details[Total '[Energy (MJ) per kg API'] of Unique Inputs (REAGENT)], MATCH(Table_Process_Details[[#This Row],[Unique Inputs Sorted by '[Energy (MJ) per kg API']]],Table_Process_Details[Unique Process Inputs],0))</f>
        <v>#N/A</v>
      </c>
      <c r="EM47" s="22" t="e">
        <f ca="1">INDEX(Table_Process_Details[Total '[Energy (MJ) per kg API'] of Unique Inputs (METAL)], MATCH(Table_Process_Details[[#This Row],[Unique Inputs Sorted by '[Energy (MJ) per kg API']]],Table_Process_Details[Unique Process Inputs],0))</f>
        <v>#N/A</v>
      </c>
      <c r="EN47" s="22" t="e">
        <f ca="1">INDEX(Table_Process_Details[Total '[Energy (MJ) per kg API'] of Unique Inputs (SOLVENT)], MATCH(Table_Process_Details[[#This Row],[Unique Inputs Sorted by '[Energy (MJ) per kg API']]],Table_Process_Details[Unique Process Inputs],0))</f>
        <v>#N/A</v>
      </c>
      <c r="EO47" s="22" t="e">
        <f ca="1">INDEX(Table_Process_Details[Total '[Energy (MJ) per kg API'] of Unique Inputs (WATER)], MATCH(Table_Process_Details[[#This Row],[Unique Inputs Sorted by '[Energy (MJ) per kg API']]],Table_Process_Details[Unique Process Inputs],0))</f>
        <v>#N/A</v>
      </c>
      <c r="EP47" s="22" t="e">
        <f ca="1">INDEX(Table_Process_Details[Total '[Energy (MJ) per kg API'] of Unique Inputs (ENZ&amp;PLNT)], MATCH(Table_Process_Details[[#This Row],[Unique Inputs Sorted by '[Energy (MJ) per kg API']]],Table_Process_Details[Unique Process Inputs],0))</f>
        <v>#N/A</v>
      </c>
      <c r="EQ47" s="22" t="e">
        <f ca="1">INDEX(Table_Process_Details[Total '[Energy (MJ) per kg API'] of Unique Inputs (OTHER)], MATCH(Table_Process_Details[[#This Row],[Unique Inputs Sorted by '[Energy (MJ) per kg API']]],Table_Process_Details[Unique Process Inputs],0))</f>
        <v>#N/A</v>
      </c>
      <c r="ER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7" s="22">
        <f ca="1">SUMIFS(Table_Process_Details[RV GWP (kg CO2 equiv.) per kg API],Table_Process_Details[Display Name],Table_Process_Details[[#This Row],[Unique Process Inputs]],Table_Process_Details[Input or Output],"Input")</f>
        <v>0</v>
      </c>
      <c r="EZ47" s="1">
        <f ca="1">SUMIFS(Table_Process_Details[RV GWP (kg CO2 equiv.) per kg API (REAGENT)],Table_Process_Details[Display Name],Table_Process_Details[[#This Row],[Unique Process Inputs]],Table_Process_Details[Input or Output],"Input")</f>
        <v>0</v>
      </c>
      <c r="FA47" s="1">
        <f ca="1">SUMIFS(Table_Process_Details[RV GWP (kg CO2 equiv.) per kg API (METAL)],Table_Process_Details[Display Name],Table_Process_Details[[#This Row],[Unique Process Inputs]],Table_Process_Details[Input or Output],"Input")</f>
        <v>0</v>
      </c>
      <c r="FB47" s="1">
        <f ca="1">SUMIFS(Table_Process_Details[RV GWP (kg CO2 equiv.) per kg API (SOLVENT)],Table_Process_Details[Display Name],Table_Process_Details[[#This Row],[Unique Process Inputs]],Table_Process_Details[Input or Output],"Input")</f>
        <v>0</v>
      </c>
      <c r="FC47" s="1">
        <f ca="1">SUMIFS(Table_Process_Details[RV GWP (kg CO2 equiv.) per kg API (WATER)],Table_Process_Details[Display Name],Table_Process_Details[[#This Row],[Unique Process Inputs]],Table_Process_Details[Input or Output],"Input")</f>
        <v>0</v>
      </c>
      <c r="FD47" s="1">
        <f ca="1">SUMIFS(Table_Process_Details[RV GWP (kg CO2 equiv.) per kg API (ENZ&amp;PLNT)],Table_Process_Details[Display Name],Table_Process_Details[[#This Row],[Unique Process Inputs]],Table_Process_Details[Input or Output],"Input")</f>
        <v>0</v>
      </c>
      <c r="FE47" s="1">
        <f ca="1">SUMIFS(Table_Process_Details[RV GWP (kg CO2 equiv.) per kg API (OTHER)],Table_Process_Details[Display Name],Table_Process_Details[[#This Row],[Unique Process Inputs]],Table_Process_Details[Input or Output],"Input")</f>
        <v>0</v>
      </c>
      <c r="FF47" s="22" t="e">
        <f ca="1">INDEX(Table_Process_Details[Unique Process Inputs],MATCH(Table_Process_Details[[#This Row],['[GWP (kg CO2 equiv.) per kg API'] of Unique Inputs Sorted by '[GWP (kg CO2 equiv.) per kg API']]],Table_Process_Details[Total '[GWP (kg CO2 equiv.) per kg API'] of Unique Inputs],0))</f>
        <v>#N/A</v>
      </c>
      <c r="FG47" s="22" t="e">
        <f ca="1">IF(LARGE(Table_Process_Details[Total '[GWP (kg CO2 equiv.) per kg API'] of Unique Inputs],Table_Process_Details[[#This Row],[Table Row]])=0,NA(),LARGE(Table_Process_Details[Total '[GWP (kg CO2 equiv.) per kg API'] of Unique Inputs],Table_Process_Details[[#This Row],[Table Row]]))</f>
        <v>#N/A</v>
      </c>
      <c r="FH47" s="22" t="e">
        <f ca="1">SUM(OFFSET(Table_Process_Details['[GWP (kg CO2 equiv.) per kg API'] of Unique Inputs Sorted by '[GWP (kg CO2 equiv.) per kg API']],0,0,Table_Process_Details[[#This Row],[Table Row]]))</f>
        <v>#N/A</v>
      </c>
      <c r="FI47" s="22" t="e">
        <f ca="1">"("&amp;TEXT(Table_Process_Details[[#This Row],['[GWP (kg CO2 equiv.) per kg API'] of Unique Inputs Sorted by '[GWP (kg CO2 equiv.) per kg API']]]/SUMIF(Table_Process_Details['[GWP (kg CO2 equiv.) per kg API'] of Unique Inputs Sorted by '[GWP (kg CO2 equiv.) per kg API']],"&lt;&gt;#N/A"),"0%")&amp;")"</f>
        <v>#N/A</v>
      </c>
      <c r="FJ47" s="22" t="e">
        <f ca="1">INDEX(Table_Process_Details[Total '[GWP (kg CO2 equiv.) per kg API'] of Unique Inputs (REAGENT)], MATCH(Table_Process_Details[[#This Row],[Unique Inputs Sorted by '[GWP (kg CO2 equiv.) per kg API']]],Table_Process_Details[Unique Process Inputs],0))</f>
        <v>#N/A</v>
      </c>
      <c r="FK47" s="22" t="e">
        <f ca="1">INDEX(Table_Process_Details[Total '[GWP (kg CO2 equiv.) per kg API'] of Unique Inputs (METAL)], MATCH(Table_Process_Details[[#This Row],[Unique Inputs Sorted by '[GWP (kg CO2 equiv.) per kg API']]],Table_Process_Details[Unique Process Inputs],0))</f>
        <v>#N/A</v>
      </c>
      <c r="FL47" s="22" t="e">
        <f ca="1">INDEX(Table_Process_Details[Total '[GWP (kg CO2 equiv.) per kg API'] of Unique Inputs (SOLVENT)], MATCH(Table_Process_Details[[#This Row],[Unique Inputs Sorted by '[GWP (kg CO2 equiv.) per kg API']]],Table_Process_Details[Unique Process Inputs],0))</f>
        <v>#N/A</v>
      </c>
      <c r="FM47" s="22" t="e">
        <f ca="1">INDEX(Table_Process_Details[Total '[GWP (kg CO2 equiv.) per kg API'] of Unique Inputs (WATER)], MATCH(Table_Process_Details[[#This Row],[Unique Inputs Sorted by '[GWP (kg CO2 equiv.) per kg API']]],Table_Process_Details[Unique Process Inputs],0))</f>
        <v>#N/A</v>
      </c>
      <c r="FN47" s="22" t="e">
        <f ca="1">INDEX(Table_Process_Details[Total '[GWP (kg CO2 equiv.) per kg API'] of Unique Inputs (ENZ&amp;PLNT)], MATCH(Table_Process_Details[[#This Row],[Unique Inputs Sorted by '[GWP (kg CO2 equiv.) per kg API']]],Table_Process_Details[Unique Process Inputs],0))</f>
        <v>#N/A</v>
      </c>
      <c r="FO47" s="22" t="e">
        <f ca="1">INDEX(Table_Process_Details[Total '[GWP (kg CO2 equiv.) per kg API'] of Unique Inputs (OTHER)], MATCH(Table_Process_Details[[#This Row],[Unique Inputs Sorted by '[GWP (kg CO2 equiv.) per kg API']]],Table_Process_Details[Unique Process Inputs],0))</f>
        <v>#N/A</v>
      </c>
      <c r="FP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7" s="22">
        <f ca="1">SUMIFS(Table_Process_Details[RV Acidification (kg SO2 equiv.) per kg API],Table_Process_Details[Display Name],Table_Process_Details[[#This Row],[Unique Process Inputs]],Table_Process_Details[Input or Output],"Input")</f>
        <v>0</v>
      </c>
      <c r="FX47" s="1">
        <f ca="1">SUMIFS(Table_Process_Details[RV Acidification (kg SO2 equiv.) per kg API (REAGENT)],Table_Process_Details[Display Name],Table_Process_Details[[#This Row],[Unique Process Inputs]],Table_Process_Details[Input or Output],"Input")</f>
        <v>0</v>
      </c>
      <c r="FY47" s="1">
        <f ca="1">SUMIFS(Table_Process_Details[RV Acidification (kg SO2 equiv.) per kg API (METAL)],Table_Process_Details[Display Name],Table_Process_Details[[#This Row],[Unique Process Inputs]],Table_Process_Details[Input or Output],"Input")</f>
        <v>0</v>
      </c>
      <c r="FZ47" s="1">
        <f ca="1">SUMIFS(Table_Process_Details[RV Acidification (kg SO2 equiv.) per kg API (SOLVENT)],Table_Process_Details[Display Name],Table_Process_Details[[#This Row],[Unique Process Inputs]],Table_Process_Details[Input or Output],"Input")</f>
        <v>0</v>
      </c>
      <c r="GA47" s="1">
        <f ca="1">SUMIFS(Table_Process_Details[RV Acidification (kg SO2 equiv.) per kg API (WATER)],Table_Process_Details[Display Name],Table_Process_Details[[#This Row],[Unique Process Inputs]],Table_Process_Details[Input or Output],"Input")</f>
        <v>0</v>
      </c>
      <c r="GB47" s="1">
        <f ca="1">SUMIFS(Table_Process_Details[RV Acidification (kg SO2 equiv.) per kg API (ENZ&amp;PLNT)],Table_Process_Details[Display Name],Table_Process_Details[[#This Row],[Unique Process Inputs]],Table_Process_Details[Input or Output],"Input")</f>
        <v>0</v>
      </c>
      <c r="GC47" s="1">
        <f ca="1">SUMIFS(Table_Process_Details[RV Acidification (kg SO2 equiv.) per kg API (OTHER)],Table_Process_Details[Display Name],Table_Process_Details[[#This Row],[Unique Process Inputs]],Table_Process_Details[Input or Output],"Input")</f>
        <v>0</v>
      </c>
      <c r="GD4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7" s="22" t="e">
        <f ca="1">SUM(OFFSET(Table_Process_Details['[Acidification (kg SO2 equiv.) per kg API'] of Unique Inputs Sorted by '[Acidification (kg SO2 equiv.) per kg API']],0,0,Table_Process_Details[[#This Row],[Table Row]]))</f>
        <v>#N/A</v>
      </c>
      <c r="GG4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7" s="22" t="e">
        <f ca="1">INDEX(Table_Process_Details[Total '[Acidification (kg SO2 equiv.) per kg API'] of Unique Inputs (REAGENT)], MATCH(Table_Process_Details[[#This Row],[Unique Inputs Sorted by '[Acidification (kg SO2 equiv.) per kg API']]],Table_Process_Details[Unique Process Inputs],0))</f>
        <v>#N/A</v>
      </c>
      <c r="GI47" s="22" t="e">
        <f ca="1">INDEX(Table_Process_Details[Total '[Acidification (kg SO2 equiv.) per kg API'] of Unique Inputs (METAL)], MATCH(Table_Process_Details[[#This Row],[Unique Inputs Sorted by '[Acidification (kg SO2 equiv.) per kg API']]],Table_Process_Details[Unique Process Inputs],0))</f>
        <v>#N/A</v>
      </c>
      <c r="GJ47" s="22" t="e">
        <f ca="1">INDEX(Table_Process_Details[Total '[Acidification (kg SO2 equiv.) per kg API'] of Unique Inputs (SOLVENT)], MATCH(Table_Process_Details[[#This Row],[Unique Inputs Sorted by '[Acidification (kg SO2 equiv.) per kg API']]],Table_Process_Details[Unique Process Inputs],0))</f>
        <v>#N/A</v>
      </c>
      <c r="GK47" s="22" t="e">
        <f ca="1">INDEX(Table_Process_Details[Total '[Acidification (kg SO2 equiv.) per kg API'] of Unique Inputs (WATER)], MATCH(Table_Process_Details[[#This Row],[Unique Inputs Sorted by '[Acidification (kg SO2 equiv.) per kg API']]],Table_Process_Details[Unique Process Inputs],0))</f>
        <v>#N/A</v>
      </c>
      <c r="GL47" s="22" t="e">
        <f ca="1">INDEX(Table_Process_Details[Total '[Acidification (kg SO2 equiv.) per kg API'] of Unique Inputs (ENZ&amp;PLNT)], MATCH(Table_Process_Details[[#This Row],[Unique Inputs Sorted by '[Acidification (kg SO2 equiv.) per kg API']]],Table_Process_Details[Unique Process Inputs],0))</f>
        <v>#N/A</v>
      </c>
      <c r="GM47" s="22" t="e">
        <f ca="1">INDEX(Table_Process_Details[Total '[Acidification (kg SO2 equiv.) per kg API'] of Unique Inputs (OTHER)], MATCH(Table_Process_Details[[#This Row],[Unique Inputs Sorted by '[Acidification (kg SO2 equiv.) per kg API']]],Table_Process_Details[Unique Process Inputs],0))</f>
        <v>#N/A</v>
      </c>
      <c r="GN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7" s="22">
        <f ca="1">SUMIFS(Table_Process_Details[RV Eutrophication (kg phosphate equiv.) per kg API],Table_Process_Details[Display Name],Table_Process_Details[[#This Row],[Unique Process Inputs]],Table_Process_Details[Input or Output],"Input")</f>
        <v>0</v>
      </c>
      <c r="GV47" s="1">
        <f ca="1">SUMIFS(Table_Process_Details[RV Eutrophication (kg phosphate equiv.) per kg API (REAGENT)],Table_Process_Details[Display Name],Table_Process_Details[[#This Row],[Unique Process Inputs]],Table_Process_Details[Input or Output],"Input")</f>
        <v>0</v>
      </c>
      <c r="GW47" s="1">
        <f ca="1">SUMIFS(Table_Process_Details[RV Eutrophication (kg phosphate equiv.) per kg API (METAL)],Table_Process_Details[Display Name],Table_Process_Details[[#This Row],[Unique Process Inputs]],Table_Process_Details[Input or Output],"Input")</f>
        <v>0</v>
      </c>
      <c r="GX47" s="1">
        <f ca="1">SUMIFS(Table_Process_Details[RV Eutrophication (kg phosphate equiv.) per kg API (SOLVENT)],Table_Process_Details[Display Name],Table_Process_Details[[#This Row],[Unique Process Inputs]],Table_Process_Details[Input or Output],"Input")</f>
        <v>0</v>
      </c>
      <c r="GY47" s="1">
        <f ca="1">SUMIFS(Table_Process_Details[RV Eutrophication (kg phosphate equiv.) per kg API (WATER)],Table_Process_Details[Display Name],Table_Process_Details[[#This Row],[Unique Process Inputs]],Table_Process_Details[Input or Output],"Input")</f>
        <v>0</v>
      </c>
      <c r="GZ47" s="1">
        <f ca="1">SUMIFS(Table_Process_Details[RV Eutrophication (kg phosphate equiv.) per kg API (ENZ&amp;PLNT)],Table_Process_Details[Display Name],Table_Process_Details[[#This Row],[Unique Process Inputs]],Table_Process_Details[Input or Output],"Input")</f>
        <v>0</v>
      </c>
      <c r="HA47" s="1">
        <f ca="1">SUMIFS(Table_Process_Details[RV Eutrophication (kg phosphate equiv.) per kg API (OTHER)],Table_Process_Details[Display Name],Table_Process_Details[[#This Row],[Unique Process Inputs]],Table_Process_Details[Input or Output],"Input")</f>
        <v>0</v>
      </c>
      <c r="HB4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7" s="22" t="e">
        <f ca="1">SUM(OFFSET(Table_Process_Details['[Eutrophication (kg posphate equiv.) per kg API'] of Unique Inputs Sorted by '[Eutrophication (kg posphate equiv.) per kg API']],0,0,Table_Process_Details[[#This Row],[Table Row]]))</f>
        <v>#N/A</v>
      </c>
      <c r="HE4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7" s="1" t="e">
        <f ca="1">INDEX(Table_Process_Details[Total '[Eutrophication (kg posphate equiv.) per kg API'] of Unique Inputs (REAGENT)], MATCH(Table_Process_Details[[#This Row],[Unique Inputs Sorted by '[Eutrophication (kg posphate equiv.) per kg API']]],Table_Process_Details[Unique Process Inputs],0))</f>
        <v>#N/A</v>
      </c>
      <c r="HG47" s="1" t="e">
        <f ca="1">INDEX(Table_Process_Details[Total '[Eutrophication (kg posphate equiv.) per kg API'] of Unique Inputs (METAL)], MATCH(Table_Process_Details[[#This Row],[Unique Inputs Sorted by '[Eutrophication (kg posphate equiv.) per kg API']]],Table_Process_Details[Unique Process Inputs],0))</f>
        <v>#N/A</v>
      </c>
      <c r="HH47" s="1" t="e">
        <f ca="1">INDEX(Table_Process_Details[Total '[Eutrophication (kg posphate equiv.) per kg API'] of Unique Inputs (SOLVENT)], MATCH(Table_Process_Details[[#This Row],[Unique Inputs Sorted by '[Eutrophication (kg posphate equiv.) per kg API']]],Table_Process_Details[Unique Process Inputs],0))</f>
        <v>#N/A</v>
      </c>
      <c r="HI47" s="1" t="e">
        <f ca="1">INDEX(Table_Process_Details[Total '[Eutrophication (kg posphate equiv.) per kg API'] of Unique Inputs (WATER)], MATCH(Table_Process_Details[[#This Row],[Unique Inputs Sorted by '[Eutrophication (kg posphate equiv.) per kg API']]],Table_Process_Details[Unique Process Inputs],0))</f>
        <v>#N/A</v>
      </c>
      <c r="HJ47" s="1" t="e">
        <f ca="1">INDEX(Table_Process_Details[Total '[Eutrophication (kg posphate equiv.) per kg API'] of Unique Inputs (ENZ&amp;PLNT)], MATCH(Table_Process_Details[[#This Row],[Unique Inputs Sorted by '[Eutrophication (kg posphate equiv.) per kg API']]],Table_Process_Details[Unique Process Inputs],0))</f>
        <v>#N/A</v>
      </c>
      <c r="HK47" s="1" t="e">
        <f ca="1">INDEX(Table_Process_Details[Total '[Eutrophication (kg posphate equiv.) per kg API'] of Unique Inputs (OTHER)], MATCH(Table_Process_Details[[#This Row],[Unique Inputs Sorted by '[Eutrophication (kg posphate equiv.) per kg API']]],Table_Process_Details[Unique Process Inputs],0))</f>
        <v>#N/A</v>
      </c>
      <c r="HL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7" s="1">
        <f ca="1">SUMIFS(Table_Process_Details[RV Water (kg) per kg API],Table_Process_Details[Display Name],Table_Process_Details[[#This Row],[Unique Process Inputs]],Table_Process_Details[Input or Output],"Input")</f>
        <v>0</v>
      </c>
      <c r="HT47" s="1">
        <f ca="1">SUMIFS(Table_Process_Details[RV Water (kg) per kg API (REAGENT)],Table_Process_Details[Display Name],Table_Process_Details[[#This Row],[Unique Process Inputs]],Table_Process_Details[Input or Output],"Input")</f>
        <v>0</v>
      </c>
      <c r="HU47" s="1">
        <f ca="1">SUMIFS(Table_Process_Details[RV Water (kg) per kg API (METAL)],Table_Process_Details[Display Name],Table_Process_Details[[#This Row],[Unique Process Inputs]],Table_Process_Details[Input or Output],"Input")</f>
        <v>0</v>
      </c>
      <c r="HV47" s="1">
        <f ca="1">SUMIFS(Table_Process_Details[RV Water (kg) per kg API (SOLVENT)],Table_Process_Details[Display Name],Table_Process_Details[[#This Row],[Unique Process Inputs]],Table_Process_Details[Input or Output],"Input")</f>
        <v>0</v>
      </c>
      <c r="HW47" s="1">
        <f ca="1">SUMIFS(Table_Process_Details[RV Water (kg) per kg API (WATER)],Table_Process_Details[Display Name],Table_Process_Details[[#This Row],[Unique Process Inputs]],Table_Process_Details[Input or Output],"Input")</f>
        <v>0</v>
      </c>
      <c r="HX47" s="1">
        <f ca="1">SUMIFS(Table_Process_Details[RV Water (kg) per kg API (ENZ&amp;PLNT)],Table_Process_Details[Display Name],Table_Process_Details[[#This Row],[Unique Process Inputs]],Table_Process_Details[Input or Output],"Input")</f>
        <v>0</v>
      </c>
      <c r="HY47" s="1">
        <f ca="1">SUMIFS(Table_Process_Details[RV Water (kg) per kg API (OTHER)],Table_Process_Details[Display Name],Table_Process_Details[[#This Row],[Unique Process Inputs]],Table_Process_Details[Input or Output],"Input")</f>
        <v>0</v>
      </c>
      <c r="HZ47" s="22" t="e">
        <f ca="1">INDEX(Table_Process_Details[Unique Process Inputs],MATCH(Table_Process_Details[[#This Row],['[Water (kg) per kg API'] of Unique Inputs Sorted by '[Water (kg) per kg API']]],Table_Process_Details[Total '[Water (kg) per kg API'] of Unique Inputs],0))</f>
        <v>#N/A</v>
      </c>
      <c r="IA47" s="22" t="e">
        <f ca="1">IF(LARGE(Table_Process_Details[Total '[Water (kg) per kg API'] of Unique Inputs],Table_Process_Details[[#This Row],[Table Row]])=0,NA(),LARGE(Table_Process_Details[Total '[Water (kg) per kg API'] of Unique Inputs],Table_Process_Details[[#This Row],[Table Row]]))</f>
        <v>#N/A</v>
      </c>
      <c r="IB47" s="1" t="e">
        <f ca="1">SUM(OFFSET(Table_Process_Details['[Water (kg) per kg API'] of Unique Inputs Sorted by '[Water (kg) per kg API']],0,0,Table_Process_Details[[#This Row],[Table Row]]))</f>
        <v>#N/A</v>
      </c>
      <c r="IC47" s="1" t="e">
        <f ca="1">"("&amp;TEXT(Table_Process_Details[[#This Row],['[Water (kg) per kg API'] of Unique Inputs Sorted by '[Water (kg) per kg API']]]/SUMIF(Table_Process_Details['[Water (kg) per kg API'] of Unique Inputs Sorted by '[Water (kg) per kg API']],"&lt;&gt;#N/A"),"0%")&amp;")"</f>
        <v>#N/A</v>
      </c>
      <c r="ID47" s="1" t="e">
        <f ca="1">INDEX(Table_Process_Details[Total '[Water (kg) per kg API'] of Unique Inputs (REAGENT)], MATCH(Table_Process_Details[[#This Row],[Unique Inputs Sorted by '[Water (kg) per kg API']]],Table_Process_Details[Unique Process Inputs],0))</f>
        <v>#N/A</v>
      </c>
      <c r="IE47" s="1" t="e">
        <f ca="1">INDEX(Table_Process_Details[Total '[Water (kg) per kg API'] of Unique Inputs (METAL)], MATCH(Table_Process_Details[[#This Row],[Unique Inputs Sorted by '[Water (kg) per kg API']]],Table_Process_Details[Unique Process Inputs],0))</f>
        <v>#N/A</v>
      </c>
      <c r="IF47" s="1" t="e">
        <f ca="1">INDEX(Table_Process_Details[Total '[Water (kg) per kg API'] of Unique Inputs (SOLVENT)], MATCH(Table_Process_Details[[#This Row],[Unique Inputs Sorted by '[Water (kg) per kg API']]],Table_Process_Details[Unique Process Inputs],0))</f>
        <v>#N/A</v>
      </c>
      <c r="IG47" s="1" t="e">
        <f ca="1">INDEX(Table_Process_Details[Total '[Water (kg) per kg API'] of Unique Inputs (WATER)], MATCH(Table_Process_Details[[#This Row],[Unique Inputs Sorted by '[Water (kg) per kg API']]],Table_Process_Details[Unique Process Inputs],0))</f>
        <v>#N/A</v>
      </c>
      <c r="IH47" s="1" t="e">
        <f ca="1">INDEX(Table_Process_Details[Total '[Water (kg) per kg API'] of Unique Inputs (ENZ&amp;PLNT)], MATCH(Table_Process_Details[[#This Row],[Unique Inputs Sorted by '[Water (kg) per kg API']]],Table_Process_Details[Unique Process Inputs],0))</f>
        <v>#N/A</v>
      </c>
      <c r="II47" s="1" t="e">
        <f ca="1">INDEX(Table_Process_Details[Total '[Water (kg) per kg API'] of Unique Inputs (OTHER)], MATCH(Table_Process_Details[[#This Row],[Unique Inputs Sorted by '[Water (kg) per kg API']]],Table_Process_Details[Unique Process Inputs],0))</f>
        <v>#N/A</v>
      </c>
    </row>
    <row r="48" spans="1:243" customFormat="1" x14ac:dyDescent="0.25">
      <c r="A48" s="22" t="str">
        <f>A47</f>
        <v>2c) Virtual solution prep for (2): 0.1 M reagent G (inorganic) in water</v>
      </c>
      <c r="B48" s="21" t="s">
        <v>4</v>
      </c>
      <c r="C48" s="21" t="s">
        <v>6</v>
      </c>
      <c r="D48" s="22" t="s">
        <v>146</v>
      </c>
      <c r="E48" s="22" t="s">
        <v>814</v>
      </c>
      <c r="F48" s="26">
        <v>995.8</v>
      </c>
      <c r="G48" s="26"/>
      <c r="H48" s="26"/>
      <c r="I48" s="26"/>
      <c r="J48" s="26" t="str">
        <f>INDEX(Process_Steps[Reference],MATCH(Table_Process_Details[[#This Row],[Step Name]],Process_Steps[Name],0))</f>
        <v>Reference Document for Step 2</v>
      </c>
      <c r="K48" s="27" t="str">
        <f>INDEX(Process_Steps[Real or Virtual?],MATCH(Table_Process_Details[[#This Row],[Step Name]],Process_Steps[Name],0))</f>
        <v>Virtual</v>
      </c>
      <c r="L4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4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48" s="26">
        <f>INDEX(Table_Process_Details[Physical Mass (kg)],MATCH(1,INDEX(((Table_Process_Details[Step Name]=Table_Process_Details[[#This Row],[Step Name]])*(Table_Process_Details[Input or Output]="Output")),0),0))</f>
        <v>1000.3</v>
      </c>
      <c r="O48" s="29">
        <f ca="1">INDEX(Process_Steps[Step Scale Factor for 1kg Packaged API],MATCH(Table_Process_Details[[#This Row],[Step Name]],Process_Steps[Name],0))</f>
        <v>4.1928036923041222E-3</v>
      </c>
      <c r="P4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9.6666666666666661</v>
      </c>
      <c r="Q4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10.666666666666666</v>
      </c>
      <c r="R48" s="26">
        <f ca="1">_xlfn.SWITCH(Run_Reset_PNG,"Reset",Table_Process_Details[[#This Row],[X Init]],"Run",Table_Process_Details[[#This Row],[X Moved]],"Freeze",Table_Process_Details[[#This Row],[X Mover]])</f>
        <v>10.571305274521309</v>
      </c>
      <c r="S48" s="26">
        <f ca="1">_xlfn.SWITCH(Run_Reset_PNG,"Reset",Table_Process_Details[[#This Row],[Y Init]],"Run",Table_Process_Details[[#This Row],[Y Moved]],"Freeze",Table_Process_Details[[#This Row],[Y Mover]])</f>
        <v>12.672582214691767</v>
      </c>
      <c r="T48" s="26" cm="1">
        <f t="array" aca="1" ref="T4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0.43323893302099364</v>
      </c>
      <c r="U48" s="26" cm="1">
        <f t="array" aca="1" ref="U4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0.40132354391981195</v>
      </c>
      <c r="V48" s="26" cm="1">
        <f t="array" aca="1" ref="V48" ca="1">SUM(--(SQRT((Table_Process_Details[[#This Row],[X Mover]]-Table_Process_Details[X Mover])^2+(Table_Process_Details[[#This Row],[Y Mover]]-Table_Process_Details[Y Mover])^2)&lt;Collision_Distance))</f>
        <v>22</v>
      </c>
      <c r="W48" s="26" cm="1">
        <f t="array" aca="1" ref="W4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-6.0172065128463813E-2</v>
      </c>
      <c r="X48" s="26" cm="1">
        <f t="array" aca="1" ref="X4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7.1699660711237786E-3</v>
      </c>
      <c r="Y48" s="26" cm="1">
        <f t="array" aca="1" ref="Y4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48" s="26">
        <f>0</f>
        <v>0</v>
      </c>
      <c r="AA48" s="26">
        <f>0</f>
        <v>0</v>
      </c>
      <c r="AB4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-5.2856526372606547</v>
      </c>
      <c r="AC48" s="26" cm="1">
        <f t="array" aca="1" ref="AC4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-6.3362911073458834</v>
      </c>
      <c r="AD48" s="26">
        <f>MIN(1,COUNTA(Table_Process_Details[[#This Row],[target x]]),COUNTA(Table_Process_Details[[#This Row],[target y]]))*COUNTA(Table_Process_Details[Step Name])</f>
        <v>98</v>
      </c>
      <c r="AE4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10.476890657174071</v>
      </c>
      <c r="AF4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12.633338128324361</v>
      </c>
      <c r="AG4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48" s="26" cm="1">
        <f t="array" aca="1" ref="AH48" ca="1">INDEX(Table_Process_Details[X Mover],MATCH(1,INDEX((Table_Process_Details[Input or Output]="Output")*(Table_Process_Details[Step Name]=Table_Process_Details[[#This Row],[Step Name]])*(Table_Process_Details[[#This Row],[Input or Output]]="Input"),0),0))</f>
        <v>7.4720348390499867</v>
      </c>
      <c r="AI48" s="26" cm="1">
        <f t="array" aca="1" ref="AI48" ca="1">INDEX(Table_Process_Details[Y Mover],MATCH(1,INDEX((Table_Process_Details[Input or Output]="Output")*(Table_Process_Details[Step Name]=Table_Process_Details[[#This Row],[Step Name]])*(Table_Process_Details[[#This Row],[Input or Output]]="Input"),0),0))</f>
        <v>13.041884212556132</v>
      </c>
      <c r="AJ48" s="26" t="e">
        <f ca="1">SQRT((Table_Process_Details[[#This Row],[X End (To Node Center)]]-Table_Process_Details[[#This Row],[X Guide]])^2+(Table_Process_Details[[#This Row],[Y End (to Node Center)]]-Table_Process_Details[[#This Row],[Y Guide]])^2)</f>
        <v>#N/A</v>
      </c>
      <c r="AK48" s="26" t="e" cm="1">
        <f t="array" ref="AK48">INDEX(Table_Process_Details[X Mover],MATCH(1,INDEX((Table_Process_Details[Step Name]=Table_Process_Details[[#This Row],[LCA Data Source Subclass]])*(Table_Process_Details[Input or Output]="Output"),0)*(Table_Process_Details[[#This Row],[Input or Output]]="Input"),0))</f>
        <v>#N/A</v>
      </c>
      <c r="AL48" s="26" cm="1">
        <f t="array" aca="1" ref="AL48" ca="1">INDEX(Table_Process_Details[X Mover],MATCH(1,INDEX(((Table_Process_Details[Table Row]=Table_Process_Details[[#This Row],[Table Row]])*(1)),0)*(Table_Process_Details[[#This Row],[Input or Output]]="Input"),0))</f>
        <v>10.571305274521309</v>
      </c>
      <c r="AM48" s="26" t="e" cm="1">
        <f t="array" aca="1" ref="AM48" ca="1">(Table_Process_Details[[#This Row],[X End (To Node Center)]]*Table_Process_Details[[#This Row],[r0]]-Table_Process_Details[[#This Row],[X End (To Node Center)]]*Arrow_Offset+Table_Process_Details[[#This Row],[X Guide]]*Arrow_Offset)/Table_Process_Details[[#This Row],[r0]]</f>
        <v>#N/A</v>
      </c>
      <c r="AN48" s="26" t="e">
        <f>IF(NOT(Table_Process_Details[[#This Row],[Display As]]="None"),Table_Process_Details[[#This Row],[X Start Prefilter]],NA())</f>
        <v>#N/A</v>
      </c>
      <c r="AO48" s="26" t="e">
        <f>IF(NOT(Table_Process_Details[[#This Row],[Display As]]="None"),Table_Process_Details[[#This Row],[X Guide Prefilter]],NA())</f>
        <v>#N/A</v>
      </c>
      <c r="AP48" s="26" t="e">
        <f>IF(NOT(Table_Process_Details[[#This Row],[Display As]]="None"),Table_Process_Details[[#This Row],[X End (to Stop Radius) Prefilter]],NA())</f>
        <v>#N/A</v>
      </c>
      <c r="AQ48" s="26" t="e">
        <f>NA()</f>
        <v>#N/A</v>
      </c>
      <c r="AR48" s="26" t="e" cm="1">
        <f t="array" ref="AR48">INDEX(Table_Process_Details[Y Mover],MATCH(1,INDEX((Table_Process_Details[Step Name]=Table_Process_Details[[#This Row],[LCA Data Source Subclass]])*(Table_Process_Details[Input or Output]="Output"),0)*(Table_Process_Details[[#This Row],[Input or Output]]="Input"),0))</f>
        <v>#N/A</v>
      </c>
      <c r="AS48" s="26" cm="1">
        <f t="array" aca="1" ref="AS48" ca="1">INDEX(Table_Process_Details[Y Mover],MATCH(1,INDEX(((Table_Process_Details[Table Row]=Table_Process_Details[[#This Row],[Table Row]])*(1)),0)*(Table_Process_Details[[#This Row],[Input or Output]]="Input"),0))</f>
        <v>12.672582214691767</v>
      </c>
      <c r="AT48" s="26" t="e" cm="1">
        <f t="array" aca="1" ref="AT48" ca="1">(Table_Process_Details[[#This Row],[Y Guide]]*Arrow_Offset-Table_Process_Details[[#This Row],[Y End (to Node Center)]]*Arrow_Offset+Table_Process_Details[[#This Row],[Y End (to Node Center)]]*Table_Process_Details[[#This Row],[r0]])/Table_Process_Details[[#This Row],[r0]]</f>
        <v>#N/A</v>
      </c>
      <c r="AU48" s="26" t="e">
        <f>IF(NOT(Table_Process_Details[[#This Row],[Display As]]="None"),Table_Process_Details[[#This Row],[Y Start Prefilter]],NA())</f>
        <v>#N/A</v>
      </c>
      <c r="AV48" s="26" t="e">
        <f>IF(NOT(Table_Process_Details[[#This Row],[Display As]]="None"),Table_Process_Details[[#This Row],[Y Guide Prefilter]],NA())</f>
        <v>#N/A</v>
      </c>
      <c r="AW48" s="26" t="e">
        <f>IF(NOT(Table_Process_Details[[#This Row],[Display As]]="None"),Table_Process_Details[[#This Row],[Y End (to Stop Radius) Prefilter]],NA())</f>
        <v>#N/A</v>
      </c>
      <c r="AX48" s="26" t="e">
        <f>NA()</f>
        <v>#N/A</v>
      </c>
      <c r="AY48" s="26" t="e">
        <f>IF(Table_Process_Details[[#This Row],[Display As]]="Real Step",Table_Process_Details[[#This Row],[X Mover]],NA())</f>
        <v>#N/A</v>
      </c>
      <c r="AZ48" s="26" t="e">
        <f>IF(Table_Process_Details[[#This Row],[Display As]]="Real Step",Table_Process_Details[[#This Row],[Y Mover]],NA())</f>
        <v>#N/A</v>
      </c>
      <c r="BA48" s="26" t="e">
        <f>IF(Table_Process_Details[[#This Row],[Display As]]="Raw Material",Table_Process_Details[[#This Row],[X Mover]],NA())</f>
        <v>#N/A</v>
      </c>
      <c r="BB48" s="26" t="e">
        <f>IF(Table_Process_Details[[#This Row],[Display As]]="Raw Material",Table_Process_Details[[#This Row],[Y Mover]],NA())</f>
        <v>#N/A</v>
      </c>
      <c r="BC48" s="26" t="e">
        <f>IF(OR(Table_Process_Details[[#This Row],[Display As]]="Real Step",Table_Process_Details[[#This Row],[Display As]]="Raw Material"),Table_Process_Details[[#This Row],[X Mover]],NA())</f>
        <v>#N/A</v>
      </c>
      <c r="BD48" s="26" t="e">
        <f>IF(OR(Table_Process_Details[[#This Row],[Display As]]="Real Step",Table_Process_Details[[#This Row],[Display As]]="Raw Material"),Table_Process_Details[[#This Row],[Y Mover]],NA())</f>
        <v>#N/A</v>
      </c>
      <c r="BE48" s="22">
        <f>ROW()-ROW(Table_Process_Details[[#Headers],[Table Row]])</f>
        <v>44</v>
      </c>
      <c r="BF48" s="23" t="str" cm="1">
        <f t="array" aca="1" ref="BF48" ca="1">INDEX(Table_Process_Details[Display Name],MATCH(0,IF(Table_Process_Details[Input or Output]="Input",INDEX(COUNTIF(OFFSET(Table_Process_Details[[#Headers],[Unique Process Inputs]],0,0,Table_Process_Details[[#This Row],[Table Row]],1),Table_Process_Details[Display Name]),),""),0))</f>
        <v>20 wt% reagent J (inorganic) in water</v>
      </c>
      <c r="BG48" s="23">
        <f ca="1">Table_Process_Details[[#This Row],[Physical Mass (kg)]]*Table_Process_Details[[#This Row],[Step Scale Factor for 1kg Packaged API]]</f>
        <v>4.1751939167964442</v>
      </c>
      <c r="BH4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8" s="23">
        <f ca="1">MATCH(Table_Process_Details[[#This Row],[LCA Data Source Class]],INDIRECT(Table_Process_Details[[#This Row],[Input or Output]]),0)</f>
        <v>2</v>
      </c>
      <c r="BJ48" s="23">
        <f ca="1">MATCH(Table_Process_Details[[#This Row],[LCA Data Source Subclass]],INDIRECT(Table_Process_Details[[#This Row],[LCA Data Source Class]]&amp;"[Name]"),0)</f>
        <v>64</v>
      </c>
      <c r="BK48" s="23">
        <f ca="1">IFERROR(INDEX(INDIRECT(Table_Process_Details[[#This Row],[LCA Data Source Class]]&amp;"[Mass Net (kg)]"),MATCH(Table_Process_Details[[#This Row],[LCA Data Source Subclass]],INDIRECT(Table_Process_Details[[#This Row],[LCA Data Source Class]]&amp;"[Name]"),0)),0)</f>
        <v>1.5302652999999999E-3</v>
      </c>
      <c r="BL48" s="23">
        <f ca="1">IFERROR(INDEX(INDIRECT(Table_Process_Details[[#This Row],[LCA Data Source Class]]&amp;"[Energy (MJ)]"),MATCH(Table_Process_Details[[#This Row],[LCA Data Source Subclass]],INDIRECT(Table_Process_Details[[#This Row],[LCA Data Source Class]]&amp;"[Name]"),0)),0)</f>
        <v>1.9058192000000002E-2</v>
      </c>
      <c r="BM48" s="23">
        <f ca="1">IFERROR(INDEX(INDIRECT(Table_Process_Details[[#This Row],[LCA Data Source Class]]&amp;"[GWP (kg CO2 equiv.)]"),MATCH(Table_Process_Details[[#This Row],[LCA Data Source Subclass]],INDIRECT(Table_Process_Details[[#This Row],[LCA Data Source Class]]&amp;"[Name]"),0)),0)</f>
        <v>1.015742E-3</v>
      </c>
      <c r="BN48" s="23">
        <f ca="1">IFERROR(INDEX(INDIRECT(Table_Process_Details[[#This Row],[LCA Data Source Class]]&amp;"[Acidification (kg SO2 equiv.)]"),MATCH(Table_Process_Details[[#This Row],[LCA Data Source Subclass]],INDIRECT(Table_Process_Details[[#This Row],[LCA Data Source Class]]&amp;"[Name]"),0)),0)</f>
        <v>3.8914349999999996E-6</v>
      </c>
      <c r="BO48" s="23">
        <f ca="1">IFERROR(INDEX(INDIRECT(Table_Process_Details[[#This Row],[LCA Data Source Class]]&amp;"[Eutrophication (kg posphate equiv.)]"),MATCH(Table_Process_Details[[#This Row],[LCA Data Source Subclass]],INDIRECT(Table_Process_Details[[#This Row],[LCA Data Source Class]]&amp;"[Name]"),0)),0)</f>
        <v>2.3181694000000001E-6</v>
      </c>
      <c r="BP48" s="23">
        <f ca="1">IFERROR(INDEX(INDIRECT(Table_Process_Details[[#This Row],[LCA Data Source Class]]&amp;"[Water (kg)]"),MATCH(Table_Process_Details[[#This Row],[LCA Data Source Subclass]],INDIRECT(Table_Process_Details[[#This Row],[LCA Data Source Class]]&amp;"[Name]"),0)),0)</f>
        <v>1.2633490999999999</v>
      </c>
      <c r="BQ48" s="27">
        <f ca="1">(Table_Process_Details[[#This Row],[Input or Output]]="Input")*(Table_Process_Details[[#This Row],[LCA Data Source Class]]&lt;&gt;"Process_Steps")*Table_Process_Details[[#This Row],[Scaled Physical Mass per kg API for All Inputs &amp; Outputs]]</f>
        <v>4.1751939167964442</v>
      </c>
      <c r="BR48" s="27">
        <f ca="1">(Table_Process_Details[[#This Row],[Material Class]]="REAGENT")*Table_Process_Details[[#This Row],[Physical Mass per kg API]]</f>
        <v>0</v>
      </c>
      <c r="BS48" s="27">
        <f ca="1">(Table_Process_Details[[#This Row],[Material Class]]="METAL")*Table_Process_Details[[#This Row],[Physical Mass per kg API]]</f>
        <v>0</v>
      </c>
      <c r="BT48" s="27">
        <f ca="1">(Table_Process_Details[[#This Row],[Material Class]]="SOLVENT")*Table_Process_Details[[#This Row],[Physical Mass per kg API]]</f>
        <v>0</v>
      </c>
      <c r="BU48" s="27">
        <f ca="1">(Table_Process_Details[[#This Row],[Material Class]]="WATER")*Table_Process_Details[[#This Row],[Physical Mass per kg API]]</f>
        <v>4.1751939167964442</v>
      </c>
      <c r="BV48" s="27">
        <f ca="1">(Table_Process_Details[[#This Row],[Material Class]]="ENZ&amp;PLNT")*Table_Process_Details[[#This Row],[Physical Mass per kg API]]</f>
        <v>0</v>
      </c>
      <c r="BW48" s="27">
        <f ca="1">(Table_Process_Details[[#This Row],[Material Class]]="OTHER")*Table_Process_Details[[#This Row],[Physical Mass per kg API]]</f>
        <v>0</v>
      </c>
      <c r="BX4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8" s="1">
        <f ca="1">SUMIFS(Table_Process_Details[RV Physical Mass per kg API],Table_Process_Details[Display Name],Table_Process_Details[[#This Row],[Unique Process Inputs]],Table_Process_Details[Input or Output],"Input")</f>
        <v>4.4044778858506186</v>
      </c>
      <c r="CF48" s="1">
        <f ca="1">SUMIFS(Table_Process_Details[RV Physical Mass per kg API (REAGENT)],Table_Process_Details[Display Name],Table_Process_Details[[#This Row],[Unique Process Inputs]],Table_Process_Details[Input or Output],"Input")</f>
        <v>0.9574951925762214</v>
      </c>
      <c r="CG48" s="1">
        <f ca="1">SUMIFS(Table_Process_Details[RV Physical Mass per kg API (METAL)],Table_Process_Details[Display Name],Table_Process_Details[[#This Row],[Unique Process Inputs]],Table_Process_Details[Input or Output],"Input")</f>
        <v>0</v>
      </c>
      <c r="CH48" s="1">
        <f ca="1">SUMIFS(Table_Process_Details[RV Physical Mass per kg API (SOLVENT)],Table_Process_Details[Display Name],Table_Process_Details[[#This Row],[Unique Process Inputs]],Table_Process_Details[Input or Output],"Input")</f>
        <v>0</v>
      </c>
      <c r="CI48" s="1">
        <f ca="1">SUMIFS(Table_Process_Details[RV Physical Mass per kg API (WATER)],Table_Process_Details[Display Name],Table_Process_Details[[#This Row],[Unique Process Inputs]],Table_Process_Details[Input or Output],"Input")</f>
        <v>3.4469826932743972</v>
      </c>
      <c r="CJ48" s="1">
        <f ca="1">SUMIFS(Table_Process_Details[RV Physical Mass per kg API (ENZ&amp;PLNT)],Table_Process_Details[Display Name],Table_Process_Details[[#This Row],[Unique Process Inputs]],Table_Process_Details[Input or Output],"Input")</f>
        <v>0</v>
      </c>
      <c r="CK48" s="1">
        <f ca="1">SUMIFS(Table_Process_Details[RV Physical Mass per kg API (OTHER)],Table_Process_Details[Display Name],Table_Process_Details[[#This Row],[Unique Process Inputs]],Table_Process_Details[Input or Output],"Input")</f>
        <v>0</v>
      </c>
      <c r="CL48" s="22" t="e">
        <f ca="1">INDEX(Table_Process_Details[Unique Process Inputs],MATCH(Table_Process_Details[[#This Row],['[Physical Mass per kg API'] of Unique Inputs Sorted by '[Physical Mass per kg API']]],Table_Process_Details[Total '[Physical Mass per kg API'] of Unique Inputs],0))</f>
        <v>#N/A</v>
      </c>
      <c r="CM48" s="22" t="e">
        <f ca="1">IF(LARGE(Table_Process_Details[Total '[Physical Mass per kg API'] of Unique Inputs],Table_Process_Details[[#This Row],[Table Row]])=0,NA(),LARGE(Table_Process_Details[Total '[Physical Mass per kg API'] of Unique Inputs],Table_Process_Details[[#This Row],[Table Row]]))</f>
        <v>#N/A</v>
      </c>
      <c r="CN48" s="22" t="e">
        <f ca="1">SUM(OFFSET(Table_Process_Details['[Physical Mass per kg API'] of Unique Inputs Sorted by '[Physical Mass per kg API']],0,0,Table_Process_Details[[#This Row],[Table Row]]))</f>
        <v>#N/A</v>
      </c>
      <c r="CO48" s="22" t="e">
        <f ca="1">"("&amp;TEXT(Table_Process_Details[[#This Row],['[Physical Mass per kg API'] of Unique Inputs Sorted by '[Physical Mass per kg API']]]/SUMIF(Table_Process_Details['[Physical Mass per kg API'] of Unique Inputs Sorted by '[Physical Mass per kg API']],"&lt;&gt;#N/A"),"0%")&amp;")"</f>
        <v>#N/A</v>
      </c>
      <c r="CP48" s="22" t="e">
        <f ca="1">INDEX(Table_Process_Details[Total '[Physical Mass per kg API'] of Unique Inputs (REAGENT)],MATCH(Table_Process_Details[[#This Row],[Unique Inputs Sorted by '[Physical Mass per kg API']]],Table_Process_Details[Unique Process Inputs],0))</f>
        <v>#N/A</v>
      </c>
      <c r="CQ48" s="22" t="e">
        <f ca="1">INDEX(Table_Process_Details[Total '[Physical Mass per kg API'] of Unique Inputs (METAL)],MATCH(Table_Process_Details[[#This Row],[Unique Inputs Sorted by '[Physical Mass per kg API']]],Table_Process_Details[Unique Process Inputs],0))</f>
        <v>#N/A</v>
      </c>
      <c r="CR48" s="22" t="e">
        <f ca="1">INDEX(Table_Process_Details[Total '[Physical Mass per kg API'] of Unique Inputs (SOLVENT)],MATCH(Table_Process_Details[[#This Row],[Unique Inputs Sorted by '[Physical Mass per kg API']]],Table_Process_Details[Unique Process Inputs],0))</f>
        <v>#N/A</v>
      </c>
      <c r="CS48" s="22" t="e">
        <f ca="1">INDEX(Table_Process_Details[Total '[Physical Mass per kg API'] of Unique Inputs (WATER)],MATCH(Table_Process_Details[[#This Row],[Unique Inputs Sorted by '[Physical Mass per kg API']]],Table_Process_Details[Unique Process Inputs],0))</f>
        <v>#N/A</v>
      </c>
      <c r="CT48" s="22" t="e">
        <f ca="1">INDEX(Table_Process_Details[Total '[Physical Mass per kg API'] of Unique Inputs (ENZ&amp;PLNT)],MATCH(Table_Process_Details[[#This Row],[Unique Inputs Sorted by '[Physical Mass per kg API']]],Table_Process_Details[Unique Process Inputs],0))</f>
        <v>#N/A</v>
      </c>
      <c r="CU48" s="22" t="e">
        <f ca="1">INDEX(Table_Process_Details[Total '[Physical Mass per kg API'] of Unique Inputs (OTHER)],MATCH(Table_Process_Details[[#This Row],[Unique Inputs Sorted by '[Physical Mass per kg API']]],Table_Process_Details[Unique Process Inputs],0))</f>
        <v>#N/A</v>
      </c>
      <c r="CV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8" s="22">
        <f ca="1">SUMIFS(Table_Process_Details[RV Mass Net (kg) per kg API],Table_Process_Details[Display Name],Table_Process_Details[[#This Row],[Unique Process Inputs]],Table_Process_Details[Input or Output],"Input")</f>
        <v>1.2883183560573552</v>
      </c>
      <c r="DD48" s="22">
        <f ca="1">SUMIFS(Table_Process_Details[RV Mass Net (kg) per kg API (REAGENT)],Table_Process_Details[Display Name],Table_Process_Details[[#This Row],[Unique Process Inputs]],Table_Process_Details[Input or Output],"Input")</f>
        <v>1.2830435580521369</v>
      </c>
      <c r="DE48" s="22">
        <f ca="1">SUMIFS(Table_Process_Details[RV Mass Net (kg) per kg API (METAL)],Table_Process_Details[Display Name],Table_Process_Details[[#This Row],[Unique Process Inputs]],Table_Process_Details[Input or Output],"Input")</f>
        <v>0</v>
      </c>
      <c r="DF48" s="22">
        <f ca="1">SUMIFS(Table_Process_Details[RV Mass Net (kg) per kg API (SOLVENT)],Table_Process_Details[Display Name],Table_Process_Details[[#This Row],[Unique Process Inputs]],Table_Process_Details[Input or Output],"Input")</f>
        <v>0</v>
      </c>
      <c r="DG48" s="22">
        <f ca="1">SUMIFS(Table_Process_Details[RV Mass Net (kg) per kg API (WATER)],Table_Process_Details[Display Name],Table_Process_Details[[#This Row],[Unique Process Inputs]],Table_Process_Details[Input or Output],"Input")</f>
        <v>5.2747980052183533E-3</v>
      </c>
      <c r="DH48" s="22">
        <f ca="1">SUMIFS(Table_Process_Details[RV Mass Net (kg) per kg API (ENZ&amp;PLNT)],Table_Process_Details[Display Name],Table_Process_Details[[#This Row],[Unique Process Inputs]],Table_Process_Details[Input or Output],"Input")</f>
        <v>0</v>
      </c>
      <c r="DI48" s="22">
        <f ca="1">SUMIFS(Table_Process_Details[RV Mass Net (kg) per kg API (OTHER)],Table_Process_Details[Display Name],Table_Process_Details[[#This Row],[Unique Process Inputs]],Table_Process_Details[Input or Output],"Input")</f>
        <v>0</v>
      </c>
      <c r="DJ48" s="22" t="e">
        <f ca="1">INDEX(Table_Process_Details[Unique Process Inputs],MATCH(Table_Process_Details[[#This Row],['[Mass Net (kg) per kg API'] of Unique Inputs Sorted by '[Mass Net (kg) per kg API']]],Table_Process_Details[Total '[Mass Net (kg) per kg API'] of Unique Inputs],0))</f>
        <v>#N/A</v>
      </c>
      <c r="DK48" s="22" t="e">
        <f ca="1">IF(LARGE(Table_Process_Details[Total '[Mass Net (kg) per kg API'] of Unique Inputs],Table_Process_Details[[#This Row],[Table Row]])=0,NA(),LARGE(Table_Process_Details[Total '[Mass Net (kg) per kg API'] of Unique Inputs],Table_Process_Details[[#This Row],[Table Row]]))</f>
        <v>#N/A</v>
      </c>
      <c r="DL48" s="22" t="e">
        <f ca="1">SUM(OFFSET(Table_Process_Details['[Mass Net (kg) per kg API'] of Unique Inputs Sorted by '[Mass Net (kg) per kg API']],0,0,Table_Process_Details[[#This Row],[Table Row]]))</f>
        <v>#N/A</v>
      </c>
      <c r="DM48" s="22" t="e">
        <f ca="1">"("&amp;TEXT(Table_Process_Details[[#This Row],['[Mass Net (kg) per kg API'] of Unique Inputs Sorted by '[Mass Net (kg) per kg API']]]/SUMIF(Table_Process_Details['[Mass Net (kg) per kg API'] of Unique Inputs Sorted by '[Mass Net (kg) per kg API']],"&lt;&gt;#N/A"),"0%")&amp;")"</f>
        <v>#N/A</v>
      </c>
      <c r="DN48" s="22" t="e">
        <f ca="1">INDEX(Table_Process_Details[Total '[Mass Net (kg) per kg API'] of Unique Inputs (REAGENT)], MATCH(Table_Process_Details[[#This Row],[Unique Inputs Sorted by '[Mass Net (kg) per kg API']]],Table_Process_Details[Unique Process Inputs],0))</f>
        <v>#N/A</v>
      </c>
      <c r="DO48" s="22" t="e">
        <f ca="1">INDEX(Table_Process_Details[Total '[Mass Net (kg) per kg API'] of Unique Inputs (METAL)], MATCH(Table_Process_Details[[#This Row],[Unique Inputs Sorted by '[Mass Net (kg) per kg API']]],Table_Process_Details[Unique Process Inputs],0))</f>
        <v>#N/A</v>
      </c>
      <c r="DP48" s="22" t="e">
        <f ca="1">INDEX(Table_Process_Details[Total '[Mass Net (kg) per kg API'] of Unique Inputs (SOLVENT)], MATCH(Table_Process_Details[[#This Row],[Unique Inputs Sorted by '[Mass Net (kg) per kg API']]],Table_Process_Details[Unique Process Inputs],0))</f>
        <v>#N/A</v>
      </c>
      <c r="DQ48" s="22" t="e">
        <f ca="1">INDEX(Table_Process_Details[Total '[Mass Net (kg) per kg API'] of Unique Inputs (WATER)], MATCH(Table_Process_Details[[#This Row],[Unique Inputs Sorted by '[Mass Net (kg) per kg API']]],Table_Process_Details[Unique Process Inputs],0))</f>
        <v>#N/A</v>
      </c>
      <c r="DR48" s="22" t="e">
        <f ca="1">INDEX(Table_Process_Details[Total '[Mass Net (kg) per kg API'] of Unique Inputs (ENZ&amp;PLNT)], MATCH(Table_Process_Details[[#This Row],[Unique Inputs Sorted by '[Mass Net (kg) per kg API']]],Table_Process_Details[Unique Process Inputs],0))</f>
        <v>#N/A</v>
      </c>
      <c r="DS48" s="22" t="e">
        <f ca="1">INDEX(Table_Process_Details[Total '[Mass Net (kg) per kg API'] of Unique Inputs (OTHER)], MATCH(Table_Process_Details[[#This Row],[Unique Inputs Sorted by '[Mass Net (kg) per kg API']]],Table_Process_Details[Unique Process Inputs],0))</f>
        <v>#N/A</v>
      </c>
      <c r="DT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8" s="1">
        <f ca="1">SUMIFS(Table_Process_Details[RV Energy (MJ) per kg API],Table_Process_Details[Display Name],Table_Process_Details[[#This Row],[Unique Process Inputs]],Table_Process_Details[Input or Output],"Input")</f>
        <v>10.243867155074335</v>
      </c>
      <c r="EB48" s="1">
        <f ca="1">SUMIFS(Table_Process_Details[RV Energy (MJ) per kg API (REAGENT)],Table_Process_Details[Display Name],Table_Process_Details[[#This Row],[Unique Process Inputs]],Table_Process_Details[Input or Output],"Input")</f>
        <v>10.178173897085234</v>
      </c>
      <c r="EC48" s="1">
        <f ca="1">SUMIFS(Table_Process_Details[RV Energy (MJ) per kg API (METAL)],Table_Process_Details[Display Name],Table_Process_Details[[#This Row],[Unique Process Inputs]],Table_Process_Details[Input or Output],"Input")</f>
        <v>0</v>
      </c>
      <c r="ED48" s="1">
        <f ca="1">SUMIFS(Table_Process_Details[RV Energy (MJ) per kg API (SOLVENT)],Table_Process_Details[Display Name],Table_Process_Details[[#This Row],[Unique Process Inputs]],Table_Process_Details[Input or Output],"Input")</f>
        <v>0</v>
      </c>
      <c r="EE48" s="1">
        <f ca="1">SUMIFS(Table_Process_Details[RV Energy (MJ) per kg API (WATER)],Table_Process_Details[Display Name],Table_Process_Details[[#This Row],[Unique Process Inputs]],Table_Process_Details[Input or Output],"Input")</f>
        <v>6.5693257989100584E-2</v>
      </c>
      <c r="EF48" s="1">
        <f ca="1">SUMIFS(Table_Process_Details[RV Energy (MJ) per kg API (ENZ&amp;PLNT)],Table_Process_Details[Display Name],Table_Process_Details[[#This Row],[Unique Process Inputs]],Table_Process_Details[Input or Output],"Input")</f>
        <v>0</v>
      </c>
      <c r="EG48" s="1">
        <f ca="1">SUMIFS(Table_Process_Details[RV Energy (MJ) per kg API (OTHER)],Table_Process_Details[Display Name],Table_Process_Details[[#This Row],[Unique Process Inputs]],Table_Process_Details[Input or Output],"Input")</f>
        <v>0</v>
      </c>
      <c r="EH48" s="1" t="e">
        <f ca="1">INDEX(Table_Process_Details[Unique Process Inputs],MATCH(Table_Process_Details[[#This Row],['[Energy (MJ) per kg API'] of Unique Inputs Sorted by '[Energy (MJ) per kg API']]],Table_Process_Details[Total '[Energy (MJ) per kg API'] of Unique Inputs],0))</f>
        <v>#N/A</v>
      </c>
      <c r="EI48" s="22" t="e">
        <f ca="1">IF(LARGE(Table_Process_Details[Total '[Energy (MJ) per kg API'] of Unique Inputs],Table_Process_Details[[#This Row],[Table Row]])=0,NA(),LARGE(Table_Process_Details[Total '[Energy (MJ) per kg API'] of Unique Inputs],Table_Process_Details[[#This Row],[Table Row]]))</f>
        <v>#N/A</v>
      </c>
      <c r="EJ48" s="22" t="e">
        <f ca="1">SUM(OFFSET(Table_Process_Details['[Energy (MJ) per kg API'] of Unique Inputs Sorted by '[Energy (MJ) per kg API']],0,0,Table_Process_Details[[#This Row],[Table Row]]))</f>
        <v>#N/A</v>
      </c>
      <c r="EK48" s="22" t="e">
        <f ca="1">"("&amp;TEXT(Table_Process_Details[[#This Row],['[Energy (MJ) per kg API'] of Unique Inputs Sorted by '[Energy (MJ) per kg API']]]/SUMIF(Table_Process_Details['[Energy (MJ) per kg API'] of Unique Inputs Sorted by '[Energy (MJ) per kg API']],"&lt;&gt;#N/A"),"0%")&amp;")"</f>
        <v>#N/A</v>
      </c>
      <c r="EL48" s="22" t="e">
        <f ca="1">INDEX(Table_Process_Details[Total '[Energy (MJ) per kg API'] of Unique Inputs (REAGENT)], MATCH(Table_Process_Details[[#This Row],[Unique Inputs Sorted by '[Energy (MJ) per kg API']]],Table_Process_Details[Unique Process Inputs],0))</f>
        <v>#N/A</v>
      </c>
      <c r="EM48" s="22" t="e">
        <f ca="1">INDEX(Table_Process_Details[Total '[Energy (MJ) per kg API'] of Unique Inputs (METAL)], MATCH(Table_Process_Details[[#This Row],[Unique Inputs Sorted by '[Energy (MJ) per kg API']]],Table_Process_Details[Unique Process Inputs],0))</f>
        <v>#N/A</v>
      </c>
      <c r="EN48" s="22" t="e">
        <f ca="1">INDEX(Table_Process_Details[Total '[Energy (MJ) per kg API'] of Unique Inputs (SOLVENT)], MATCH(Table_Process_Details[[#This Row],[Unique Inputs Sorted by '[Energy (MJ) per kg API']]],Table_Process_Details[Unique Process Inputs],0))</f>
        <v>#N/A</v>
      </c>
      <c r="EO48" s="22" t="e">
        <f ca="1">INDEX(Table_Process_Details[Total '[Energy (MJ) per kg API'] of Unique Inputs (WATER)], MATCH(Table_Process_Details[[#This Row],[Unique Inputs Sorted by '[Energy (MJ) per kg API']]],Table_Process_Details[Unique Process Inputs],0))</f>
        <v>#N/A</v>
      </c>
      <c r="EP48" s="22" t="e">
        <f ca="1">INDEX(Table_Process_Details[Total '[Energy (MJ) per kg API'] of Unique Inputs (ENZ&amp;PLNT)], MATCH(Table_Process_Details[[#This Row],[Unique Inputs Sorted by '[Energy (MJ) per kg API']]],Table_Process_Details[Unique Process Inputs],0))</f>
        <v>#N/A</v>
      </c>
      <c r="EQ48" s="22" t="e">
        <f ca="1">INDEX(Table_Process_Details[Total '[Energy (MJ) per kg API'] of Unique Inputs (OTHER)], MATCH(Table_Process_Details[[#This Row],[Unique Inputs Sorted by '[Energy (MJ) per kg API']]],Table_Process_Details[Unique Process Inputs],0))</f>
        <v>#N/A</v>
      </c>
      <c r="ER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8" s="22">
        <f ca="1">SUMIFS(Table_Process_Details[RV GWP (kg CO2 equiv.) per kg API],Table_Process_Details[Display Name],Table_Process_Details[[#This Row],[Unique Process Inputs]],Table_Process_Details[Input or Output],"Input")</f>
        <v>1.330015084889929</v>
      </c>
      <c r="EZ48" s="1">
        <f ca="1">SUMIFS(Table_Process_Details[RV GWP (kg CO2 equiv.) per kg API (REAGENT)],Table_Process_Details[Display Name],Table_Process_Details[[#This Row],[Unique Process Inputs]],Table_Process_Details[Input or Output],"Input")</f>
        <v>1.3265138397950973</v>
      </c>
      <c r="FA48" s="1">
        <f ca="1">SUMIFS(Table_Process_Details[RV GWP (kg CO2 equiv.) per kg API (METAL)],Table_Process_Details[Display Name],Table_Process_Details[[#This Row],[Unique Process Inputs]],Table_Process_Details[Input or Output],"Input")</f>
        <v>0</v>
      </c>
      <c r="FB48" s="1">
        <f ca="1">SUMIFS(Table_Process_Details[RV GWP (kg CO2 equiv.) per kg API (SOLVENT)],Table_Process_Details[Display Name],Table_Process_Details[[#This Row],[Unique Process Inputs]],Table_Process_Details[Input or Output],"Input")</f>
        <v>0</v>
      </c>
      <c r="FC48" s="1">
        <f ca="1">SUMIFS(Table_Process_Details[RV GWP (kg CO2 equiv.) per kg API (WATER)],Table_Process_Details[Display Name],Table_Process_Details[[#This Row],[Unique Process Inputs]],Table_Process_Details[Input or Output],"Input")</f>
        <v>3.5012450948319227E-3</v>
      </c>
      <c r="FD48" s="1">
        <f ca="1">SUMIFS(Table_Process_Details[RV GWP (kg CO2 equiv.) per kg API (ENZ&amp;PLNT)],Table_Process_Details[Display Name],Table_Process_Details[[#This Row],[Unique Process Inputs]],Table_Process_Details[Input or Output],"Input")</f>
        <v>0</v>
      </c>
      <c r="FE48" s="1">
        <f ca="1">SUMIFS(Table_Process_Details[RV GWP (kg CO2 equiv.) per kg API (OTHER)],Table_Process_Details[Display Name],Table_Process_Details[[#This Row],[Unique Process Inputs]],Table_Process_Details[Input or Output],"Input")</f>
        <v>0</v>
      </c>
      <c r="FF48" s="22" t="e">
        <f ca="1">INDEX(Table_Process_Details[Unique Process Inputs],MATCH(Table_Process_Details[[#This Row],['[GWP (kg CO2 equiv.) per kg API'] of Unique Inputs Sorted by '[GWP (kg CO2 equiv.) per kg API']]],Table_Process_Details[Total '[GWP (kg CO2 equiv.) per kg API'] of Unique Inputs],0))</f>
        <v>#N/A</v>
      </c>
      <c r="FG48" s="22" t="e">
        <f ca="1">IF(LARGE(Table_Process_Details[Total '[GWP (kg CO2 equiv.) per kg API'] of Unique Inputs],Table_Process_Details[[#This Row],[Table Row]])=0,NA(),LARGE(Table_Process_Details[Total '[GWP (kg CO2 equiv.) per kg API'] of Unique Inputs],Table_Process_Details[[#This Row],[Table Row]]))</f>
        <v>#N/A</v>
      </c>
      <c r="FH48" s="22" t="e">
        <f ca="1">SUM(OFFSET(Table_Process_Details['[GWP (kg CO2 equiv.) per kg API'] of Unique Inputs Sorted by '[GWP (kg CO2 equiv.) per kg API']],0,0,Table_Process_Details[[#This Row],[Table Row]]))</f>
        <v>#N/A</v>
      </c>
      <c r="FI48" s="22" t="e">
        <f ca="1">"("&amp;TEXT(Table_Process_Details[[#This Row],['[GWP (kg CO2 equiv.) per kg API'] of Unique Inputs Sorted by '[GWP (kg CO2 equiv.) per kg API']]]/SUMIF(Table_Process_Details['[GWP (kg CO2 equiv.) per kg API'] of Unique Inputs Sorted by '[GWP (kg CO2 equiv.) per kg API']],"&lt;&gt;#N/A"),"0%")&amp;")"</f>
        <v>#N/A</v>
      </c>
      <c r="FJ48" s="22" t="e">
        <f ca="1">INDEX(Table_Process_Details[Total '[GWP (kg CO2 equiv.) per kg API'] of Unique Inputs (REAGENT)], MATCH(Table_Process_Details[[#This Row],[Unique Inputs Sorted by '[GWP (kg CO2 equiv.) per kg API']]],Table_Process_Details[Unique Process Inputs],0))</f>
        <v>#N/A</v>
      </c>
      <c r="FK48" s="22" t="e">
        <f ca="1">INDEX(Table_Process_Details[Total '[GWP (kg CO2 equiv.) per kg API'] of Unique Inputs (METAL)], MATCH(Table_Process_Details[[#This Row],[Unique Inputs Sorted by '[GWP (kg CO2 equiv.) per kg API']]],Table_Process_Details[Unique Process Inputs],0))</f>
        <v>#N/A</v>
      </c>
      <c r="FL48" s="22" t="e">
        <f ca="1">INDEX(Table_Process_Details[Total '[GWP (kg CO2 equiv.) per kg API'] of Unique Inputs (SOLVENT)], MATCH(Table_Process_Details[[#This Row],[Unique Inputs Sorted by '[GWP (kg CO2 equiv.) per kg API']]],Table_Process_Details[Unique Process Inputs],0))</f>
        <v>#N/A</v>
      </c>
      <c r="FM48" s="22" t="e">
        <f ca="1">INDEX(Table_Process_Details[Total '[GWP (kg CO2 equiv.) per kg API'] of Unique Inputs (WATER)], MATCH(Table_Process_Details[[#This Row],[Unique Inputs Sorted by '[GWP (kg CO2 equiv.) per kg API']]],Table_Process_Details[Unique Process Inputs],0))</f>
        <v>#N/A</v>
      </c>
      <c r="FN48" s="22" t="e">
        <f ca="1">INDEX(Table_Process_Details[Total '[GWP (kg CO2 equiv.) per kg API'] of Unique Inputs (ENZ&amp;PLNT)], MATCH(Table_Process_Details[[#This Row],[Unique Inputs Sorted by '[GWP (kg CO2 equiv.) per kg API']]],Table_Process_Details[Unique Process Inputs],0))</f>
        <v>#N/A</v>
      </c>
      <c r="FO48" s="22" t="e">
        <f ca="1">INDEX(Table_Process_Details[Total '[GWP (kg CO2 equiv.) per kg API'] of Unique Inputs (OTHER)], MATCH(Table_Process_Details[[#This Row],[Unique Inputs Sorted by '[GWP (kg CO2 equiv.) per kg API']]],Table_Process_Details[Unique Process Inputs],0))</f>
        <v>#N/A</v>
      </c>
      <c r="FP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8" s="22">
        <f ca="1">SUMIFS(Table_Process_Details[RV Acidification (kg SO2 equiv.) per kg API],Table_Process_Details[Display Name],Table_Process_Details[[#This Row],[Unique Process Inputs]],Table_Process_Details[Input or Output],"Input")</f>
        <v>1.3322596885906479E-2</v>
      </c>
      <c r="FX48" s="1">
        <f ca="1">SUMIFS(Table_Process_Details[RV Acidification (kg SO2 equiv.) per kg API (REAGENT)],Table_Process_Details[Display Name],Table_Process_Details[[#This Row],[Unique Process Inputs]],Table_Process_Details[Input or Output],"Input")</f>
        <v>1.3309183176809477E-2</v>
      </c>
      <c r="FY48" s="1">
        <f ca="1">SUMIFS(Table_Process_Details[RV Acidification (kg SO2 equiv.) per kg API (METAL)],Table_Process_Details[Display Name],Table_Process_Details[[#This Row],[Unique Process Inputs]],Table_Process_Details[Input or Output],"Input")</f>
        <v>0</v>
      </c>
      <c r="FZ48" s="1">
        <f ca="1">SUMIFS(Table_Process_Details[RV Acidification (kg SO2 equiv.) per kg API (SOLVENT)],Table_Process_Details[Display Name],Table_Process_Details[[#This Row],[Unique Process Inputs]],Table_Process_Details[Input or Output],"Input")</f>
        <v>0</v>
      </c>
      <c r="GA48" s="1">
        <f ca="1">SUMIFS(Table_Process_Details[RV Acidification (kg SO2 equiv.) per kg API (WATER)],Table_Process_Details[Display Name],Table_Process_Details[[#This Row],[Unique Process Inputs]],Table_Process_Details[Input or Output],"Input")</f>
        <v>1.3413709097002253E-5</v>
      </c>
      <c r="GB48" s="1">
        <f ca="1">SUMIFS(Table_Process_Details[RV Acidification (kg SO2 equiv.) per kg API (ENZ&amp;PLNT)],Table_Process_Details[Display Name],Table_Process_Details[[#This Row],[Unique Process Inputs]],Table_Process_Details[Input or Output],"Input")</f>
        <v>0</v>
      </c>
      <c r="GC48" s="1">
        <f ca="1">SUMIFS(Table_Process_Details[RV Acidification (kg SO2 equiv.) per kg API (OTHER)],Table_Process_Details[Display Name],Table_Process_Details[[#This Row],[Unique Process Inputs]],Table_Process_Details[Input or Output],"Input")</f>
        <v>0</v>
      </c>
      <c r="GD4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48" s="22" t="e">
        <f ca="1">SUM(OFFSET(Table_Process_Details['[Acidification (kg SO2 equiv.) per kg API'] of Unique Inputs Sorted by '[Acidification (kg SO2 equiv.) per kg API']],0,0,Table_Process_Details[[#This Row],[Table Row]]))</f>
        <v>#N/A</v>
      </c>
      <c r="GG4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8" s="22" t="e">
        <f ca="1">INDEX(Table_Process_Details[Total '[Acidification (kg SO2 equiv.) per kg API'] of Unique Inputs (REAGENT)], MATCH(Table_Process_Details[[#This Row],[Unique Inputs Sorted by '[Acidification (kg SO2 equiv.) per kg API']]],Table_Process_Details[Unique Process Inputs],0))</f>
        <v>#N/A</v>
      </c>
      <c r="GI48" s="22" t="e">
        <f ca="1">INDEX(Table_Process_Details[Total '[Acidification (kg SO2 equiv.) per kg API'] of Unique Inputs (METAL)], MATCH(Table_Process_Details[[#This Row],[Unique Inputs Sorted by '[Acidification (kg SO2 equiv.) per kg API']]],Table_Process_Details[Unique Process Inputs],0))</f>
        <v>#N/A</v>
      </c>
      <c r="GJ48" s="22" t="e">
        <f ca="1">INDEX(Table_Process_Details[Total '[Acidification (kg SO2 equiv.) per kg API'] of Unique Inputs (SOLVENT)], MATCH(Table_Process_Details[[#This Row],[Unique Inputs Sorted by '[Acidification (kg SO2 equiv.) per kg API']]],Table_Process_Details[Unique Process Inputs],0))</f>
        <v>#N/A</v>
      </c>
      <c r="GK48" s="22" t="e">
        <f ca="1">INDEX(Table_Process_Details[Total '[Acidification (kg SO2 equiv.) per kg API'] of Unique Inputs (WATER)], MATCH(Table_Process_Details[[#This Row],[Unique Inputs Sorted by '[Acidification (kg SO2 equiv.) per kg API']]],Table_Process_Details[Unique Process Inputs],0))</f>
        <v>#N/A</v>
      </c>
      <c r="GL48" s="22" t="e">
        <f ca="1">INDEX(Table_Process_Details[Total '[Acidification (kg SO2 equiv.) per kg API'] of Unique Inputs (ENZ&amp;PLNT)], MATCH(Table_Process_Details[[#This Row],[Unique Inputs Sorted by '[Acidification (kg SO2 equiv.) per kg API']]],Table_Process_Details[Unique Process Inputs],0))</f>
        <v>#N/A</v>
      </c>
      <c r="GM48" s="22" t="e">
        <f ca="1">INDEX(Table_Process_Details[Total '[Acidification (kg SO2 equiv.) per kg API'] of Unique Inputs (OTHER)], MATCH(Table_Process_Details[[#This Row],[Unique Inputs Sorted by '[Acidification (kg SO2 equiv.) per kg API']]],Table_Process_Details[Unique Process Inputs],0))</f>
        <v>#N/A</v>
      </c>
      <c r="GN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8" s="22">
        <f ca="1">SUMIFS(Table_Process_Details[RV Eutrophication (kg phosphate equiv.) per kg API],Table_Process_Details[Display Name],Table_Process_Details[[#This Row],[Unique Process Inputs]],Table_Process_Details[Input or Output],"Input")</f>
        <v>6.7823732460523325E-4</v>
      </c>
      <c r="GV48" s="1">
        <f ca="1">SUMIFS(Table_Process_Details[RV Eutrophication (kg phosphate equiv.) per kg API (REAGENT)],Table_Process_Details[Display Name],Table_Process_Details[[#This Row],[Unique Process Inputs]],Table_Process_Details[Input or Output],"Input")</f>
        <v>6.7024663480335495E-4</v>
      </c>
      <c r="GW48" s="1">
        <f ca="1">SUMIFS(Table_Process_Details[RV Eutrophication (kg phosphate equiv.) per kg API (METAL)],Table_Process_Details[Display Name],Table_Process_Details[[#This Row],[Unique Process Inputs]],Table_Process_Details[Input or Output],"Input")</f>
        <v>0</v>
      </c>
      <c r="GX48" s="1">
        <f ca="1">SUMIFS(Table_Process_Details[RV Eutrophication (kg phosphate equiv.) per kg API (SOLVENT)],Table_Process_Details[Display Name],Table_Process_Details[[#This Row],[Unique Process Inputs]],Table_Process_Details[Input or Output],"Input")</f>
        <v>0</v>
      </c>
      <c r="GY48" s="1">
        <f ca="1">SUMIFS(Table_Process_Details[RV Eutrophication (kg phosphate equiv.) per kg API (WATER)],Table_Process_Details[Display Name],Table_Process_Details[[#This Row],[Unique Process Inputs]],Table_Process_Details[Input or Output],"Input")</f>
        <v>7.9906898018782946E-6</v>
      </c>
      <c r="GZ48" s="1">
        <f ca="1">SUMIFS(Table_Process_Details[RV Eutrophication (kg phosphate equiv.) per kg API (ENZ&amp;PLNT)],Table_Process_Details[Display Name],Table_Process_Details[[#This Row],[Unique Process Inputs]],Table_Process_Details[Input or Output],"Input")</f>
        <v>0</v>
      </c>
      <c r="HA48" s="1">
        <f ca="1">SUMIFS(Table_Process_Details[RV Eutrophication (kg phosphate equiv.) per kg API (OTHER)],Table_Process_Details[Display Name],Table_Process_Details[[#This Row],[Unique Process Inputs]],Table_Process_Details[Input or Output],"Input")</f>
        <v>0</v>
      </c>
      <c r="HB4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8" s="22" t="e">
        <f ca="1">SUM(OFFSET(Table_Process_Details['[Eutrophication (kg posphate equiv.) per kg API'] of Unique Inputs Sorted by '[Eutrophication (kg posphate equiv.) per kg API']],0,0,Table_Process_Details[[#This Row],[Table Row]]))</f>
        <v>#N/A</v>
      </c>
      <c r="HE4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8" s="1" t="e">
        <f ca="1">INDEX(Table_Process_Details[Total '[Eutrophication (kg posphate equiv.) per kg API'] of Unique Inputs (REAGENT)], MATCH(Table_Process_Details[[#This Row],[Unique Inputs Sorted by '[Eutrophication (kg posphate equiv.) per kg API']]],Table_Process_Details[Unique Process Inputs],0))</f>
        <v>#N/A</v>
      </c>
      <c r="HG48" s="1" t="e">
        <f ca="1">INDEX(Table_Process_Details[Total '[Eutrophication (kg posphate equiv.) per kg API'] of Unique Inputs (METAL)], MATCH(Table_Process_Details[[#This Row],[Unique Inputs Sorted by '[Eutrophication (kg posphate equiv.) per kg API']]],Table_Process_Details[Unique Process Inputs],0))</f>
        <v>#N/A</v>
      </c>
      <c r="HH48" s="1" t="e">
        <f ca="1">INDEX(Table_Process_Details[Total '[Eutrophication (kg posphate equiv.) per kg API'] of Unique Inputs (SOLVENT)], MATCH(Table_Process_Details[[#This Row],[Unique Inputs Sorted by '[Eutrophication (kg posphate equiv.) per kg API']]],Table_Process_Details[Unique Process Inputs],0))</f>
        <v>#N/A</v>
      </c>
      <c r="HI48" s="1" t="e">
        <f ca="1">INDEX(Table_Process_Details[Total '[Eutrophication (kg posphate equiv.) per kg API'] of Unique Inputs (WATER)], MATCH(Table_Process_Details[[#This Row],[Unique Inputs Sorted by '[Eutrophication (kg posphate equiv.) per kg API']]],Table_Process_Details[Unique Process Inputs],0))</f>
        <v>#N/A</v>
      </c>
      <c r="HJ48" s="1" t="e">
        <f ca="1">INDEX(Table_Process_Details[Total '[Eutrophication (kg posphate equiv.) per kg API'] of Unique Inputs (ENZ&amp;PLNT)], MATCH(Table_Process_Details[[#This Row],[Unique Inputs Sorted by '[Eutrophication (kg posphate equiv.) per kg API']]],Table_Process_Details[Unique Process Inputs],0))</f>
        <v>#N/A</v>
      </c>
      <c r="HK48" s="1" t="e">
        <f ca="1">INDEX(Table_Process_Details[Total '[Eutrophication (kg posphate equiv.) per kg API'] of Unique Inputs (OTHER)], MATCH(Table_Process_Details[[#This Row],[Unique Inputs Sorted by '[Eutrophication (kg posphate equiv.) per kg API']]],Table_Process_Details[Unique Process Inputs],0))</f>
        <v>#N/A</v>
      </c>
      <c r="HL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8" s="1">
        <f ca="1">SUMIFS(Table_Process_Details[RV Water (kg) per kg API],Table_Process_Details[Display Name],Table_Process_Details[[#This Row],[Unique Process Inputs]],Table_Process_Details[Input or Output],"Input")</f>
        <v>5.0165918852282481</v>
      </c>
      <c r="HT48" s="1">
        <f ca="1">SUMIFS(Table_Process_Details[RV Water (kg) per kg API (REAGENT)],Table_Process_Details[Display Name],Table_Process_Details[[#This Row],[Unique Process Inputs]],Table_Process_Details[Input or Output],"Input")</f>
        <v>0.66184940196446163</v>
      </c>
      <c r="HU48" s="1">
        <f ca="1">SUMIFS(Table_Process_Details[RV Water (kg) per kg API (METAL)],Table_Process_Details[Display Name],Table_Process_Details[[#This Row],[Unique Process Inputs]],Table_Process_Details[Input or Output],"Input")</f>
        <v>0</v>
      </c>
      <c r="HV48" s="1">
        <f ca="1">SUMIFS(Table_Process_Details[RV Water (kg) per kg API (SOLVENT)],Table_Process_Details[Display Name],Table_Process_Details[[#This Row],[Unique Process Inputs]],Table_Process_Details[Input or Output],"Input")</f>
        <v>0</v>
      </c>
      <c r="HW48" s="1">
        <f ca="1">SUMIFS(Table_Process_Details[RV Water (kg) per kg API (WATER)],Table_Process_Details[Display Name],Table_Process_Details[[#This Row],[Unique Process Inputs]],Table_Process_Details[Input or Output],"Input")</f>
        <v>4.3547424832637853</v>
      </c>
      <c r="HX48" s="1">
        <f ca="1">SUMIFS(Table_Process_Details[RV Water (kg) per kg API (ENZ&amp;PLNT)],Table_Process_Details[Display Name],Table_Process_Details[[#This Row],[Unique Process Inputs]],Table_Process_Details[Input or Output],"Input")</f>
        <v>0</v>
      </c>
      <c r="HY48" s="1">
        <f ca="1">SUMIFS(Table_Process_Details[RV Water (kg) per kg API (OTHER)],Table_Process_Details[Display Name],Table_Process_Details[[#This Row],[Unique Process Inputs]],Table_Process_Details[Input or Output],"Input")</f>
        <v>0</v>
      </c>
      <c r="HZ48" s="22" t="e">
        <f ca="1">INDEX(Table_Process_Details[Unique Process Inputs],MATCH(Table_Process_Details[[#This Row],['[Water (kg) per kg API'] of Unique Inputs Sorted by '[Water (kg) per kg API']]],Table_Process_Details[Total '[Water (kg) per kg API'] of Unique Inputs],0))</f>
        <v>#N/A</v>
      </c>
      <c r="IA48" s="22" t="e">
        <f ca="1">IF(LARGE(Table_Process_Details[Total '[Water (kg) per kg API'] of Unique Inputs],Table_Process_Details[[#This Row],[Table Row]])=0,NA(),LARGE(Table_Process_Details[Total '[Water (kg) per kg API'] of Unique Inputs],Table_Process_Details[[#This Row],[Table Row]]))</f>
        <v>#N/A</v>
      </c>
      <c r="IB48" s="1" t="e">
        <f ca="1">SUM(OFFSET(Table_Process_Details['[Water (kg) per kg API'] of Unique Inputs Sorted by '[Water (kg) per kg API']],0,0,Table_Process_Details[[#This Row],[Table Row]]))</f>
        <v>#N/A</v>
      </c>
      <c r="IC48" s="1" t="e">
        <f ca="1">"("&amp;TEXT(Table_Process_Details[[#This Row],['[Water (kg) per kg API'] of Unique Inputs Sorted by '[Water (kg) per kg API']]]/SUMIF(Table_Process_Details['[Water (kg) per kg API'] of Unique Inputs Sorted by '[Water (kg) per kg API']],"&lt;&gt;#N/A"),"0%")&amp;")"</f>
        <v>#N/A</v>
      </c>
      <c r="ID48" s="1" t="e">
        <f ca="1">INDEX(Table_Process_Details[Total '[Water (kg) per kg API'] of Unique Inputs (REAGENT)], MATCH(Table_Process_Details[[#This Row],[Unique Inputs Sorted by '[Water (kg) per kg API']]],Table_Process_Details[Unique Process Inputs],0))</f>
        <v>#N/A</v>
      </c>
      <c r="IE48" s="1" t="e">
        <f ca="1">INDEX(Table_Process_Details[Total '[Water (kg) per kg API'] of Unique Inputs (METAL)], MATCH(Table_Process_Details[[#This Row],[Unique Inputs Sorted by '[Water (kg) per kg API']]],Table_Process_Details[Unique Process Inputs],0))</f>
        <v>#N/A</v>
      </c>
      <c r="IF48" s="1" t="e">
        <f ca="1">INDEX(Table_Process_Details[Total '[Water (kg) per kg API'] of Unique Inputs (SOLVENT)], MATCH(Table_Process_Details[[#This Row],[Unique Inputs Sorted by '[Water (kg) per kg API']]],Table_Process_Details[Unique Process Inputs],0))</f>
        <v>#N/A</v>
      </c>
      <c r="IG48" s="1" t="e">
        <f ca="1">INDEX(Table_Process_Details[Total '[Water (kg) per kg API'] of Unique Inputs (WATER)], MATCH(Table_Process_Details[[#This Row],[Unique Inputs Sorted by '[Water (kg) per kg API']]],Table_Process_Details[Unique Process Inputs],0))</f>
        <v>#N/A</v>
      </c>
      <c r="IH48" s="1" t="e">
        <f ca="1">INDEX(Table_Process_Details[Total '[Water (kg) per kg API'] of Unique Inputs (ENZ&amp;PLNT)], MATCH(Table_Process_Details[[#This Row],[Unique Inputs Sorted by '[Water (kg) per kg API']]],Table_Process_Details[Unique Process Inputs],0))</f>
        <v>#N/A</v>
      </c>
      <c r="II48" s="1" t="e">
        <f ca="1">INDEX(Table_Process_Details[Total '[Water (kg) per kg API'] of Unique Inputs (OTHER)], MATCH(Table_Process_Details[[#This Row],[Unique Inputs Sorted by '[Water (kg) per kg API']]],Table_Process_Details[Unique Process Inputs],0))</f>
        <v>#N/A</v>
      </c>
    </row>
    <row r="49" spans="1:243" s="119" customFormat="1" x14ac:dyDescent="0.25">
      <c r="A49" s="126" t="str">
        <f>A48</f>
        <v>2c) Virtual solution prep for (2): 0.1 M reagent G (inorganic) in water</v>
      </c>
      <c r="B49" s="127" t="s">
        <v>5</v>
      </c>
      <c r="C49" s="127" t="s">
        <v>155</v>
      </c>
      <c r="D49" s="126" t="s">
        <v>155</v>
      </c>
      <c r="E49" s="126" t="str">
        <f>'1. Define Process Steps'!C16</f>
        <v>0.1 M reagent G (inorganic) in water</v>
      </c>
      <c r="F49" s="165">
        <f>F48+F47</f>
        <v>1000.3</v>
      </c>
      <c r="G49" s="128"/>
      <c r="H49" s="128"/>
      <c r="I49" s="128"/>
      <c r="J49" s="128" t="str">
        <f>INDEX(Process_Steps[Reference],MATCH(Table_Process_Details[[#This Row],[Step Name]],Process_Steps[Name],0))</f>
        <v>Reference Document for Step 2</v>
      </c>
      <c r="K49" s="129" t="str">
        <f>INDEX(Process_Steps[Real or Virtual?],MATCH(Table_Process_Details[[#This Row],[Step Name]],Process_Steps[Name],0))</f>
        <v>Virtual</v>
      </c>
      <c r="L49"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49"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49" s="128">
        <f>INDEX(Table_Process_Details[Physical Mass (kg)],MATCH(1,INDEX(((Table_Process_Details[Step Name]=Table_Process_Details[[#This Row],[Step Name]])*(Table_Process_Details[Input or Output]="Output")),0),0))</f>
        <v>1000.3</v>
      </c>
      <c r="O49" s="130">
        <f ca="1">INDEX(Process_Steps[Step Scale Factor for 1kg Packaged API],MATCH(Table_Process_Details[[#This Row],[Step Name]],Process_Steps[Name],0))</f>
        <v>4.1928036923041222E-3</v>
      </c>
      <c r="P49"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v>
      </c>
      <c r="Q49"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v>
      </c>
      <c r="R49" s="128">
        <f ca="1">_xlfn.SWITCH(Run_Reset_PNG,"Reset",Table_Process_Details[[#This Row],[X Init]],"Run",Table_Process_Details[[#This Row],[X Moved]],"Freeze",Table_Process_Details[[#This Row],[X Mover]])</f>
        <v>7.4720348390499867</v>
      </c>
      <c r="S49" s="128">
        <f ca="1">_xlfn.SWITCH(Run_Reset_PNG,"Reset",Table_Process_Details[[#This Row],[Y Init]],"Run",Table_Process_Details[[#This Row],[Y Moved]],"Freeze",Table_Process_Details[[#This Row],[Y Mover]])</f>
        <v>13.041884212556132</v>
      </c>
      <c r="T49" s="128" cm="1">
        <f t="array" aca="1" ref="T4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-0.20914071846424198</v>
      </c>
      <c r="U49" s="128" cm="1">
        <f t="array" aca="1" ref="U4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0.69823863674630104</v>
      </c>
      <c r="V49" s="128" cm="1">
        <f t="array" aca="1" ref="V49" ca="1">SUM(--(SQRT((Table_Process_Details[[#This Row],[X Mover]]-Table_Process_Details[X Mover])^2+(Table_Process_Details[[#This Row],[Y Mover]]-Table_Process_Details[Y Mover])^2)&lt;Collision_Distance))</f>
        <v>20</v>
      </c>
      <c r="W49" s="128" cm="1">
        <f t="array" aca="1" ref="W4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-8.2715979338235796E-2</v>
      </c>
      <c r="X49" s="128" cm="1">
        <f t="array" aca="1" ref="X4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-5.623463481912358E-2</v>
      </c>
      <c r="Y49" s="128" cm="1">
        <f t="array" aca="1" ref="Y4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49" s="128">
        <f>0</f>
        <v>0</v>
      </c>
      <c r="AA49" s="128">
        <f>0</f>
        <v>0</v>
      </c>
      <c r="AB49"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-3.7360174195249933</v>
      </c>
      <c r="AC49" s="128" cm="1">
        <f t="array" aca="1" ref="AC4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-6.5209421062780661</v>
      </c>
      <c r="AD49" s="128">
        <f>MIN(1,COUNTA(Table_Process_Details[[#This Row],[target x]]),COUNTA(Table_Process_Details[[#This Row],[target y]]))*COUNTA(Table_Process_Details[Step Name])</f>
        <v>98</v>
      </c>
      <c r="AE49"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7.3958831832841829</v>
      </c>
      <c r="AF49"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12.99151104054614</v>
      </c>
      <c r="AG49"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49" s="128" t="e" cm="1">
        <f t="array" ref="AH49">INDEX(Table_Process_Details[X Mover],MATCH(1,INDEX((Table_Process_Details[Input or Output]="Output")*(Table_Process_Details[Step Name]=Table_Process_Details[[#This Row],[Step Name]])*(Table_Process_Details[[#This Row],[Input or Output]]="Input"),0),0))</f>
        <v>#N/A</v>
      </c>
      <c r="AI49" s="128" t="e" cm="1">
        <f t="array" ref="AI49">INDEX(Table_Process_Details[Y Mover],MATCH(1,INDEX((Table_Process_Details[Input or Output]="Output")*(Table_Process_Details[Step Name]=Table_Process_Details[[#This Row],[Step Name]])*(Table_Process_Details[[#This Row],[Input or Output]]="Input"),0),0))</f>
        <v>#N/A</v>
      </c>
      <c r="AJ49" s="128" t="e">
        <f>SQRT((Table_Process_Details[[#This Row],[X End (To Node Center)]]-Table_Process_Details[[#This Row],[X Guide]])^2+(Table_Process_Details[[#This Row],[Y End (to Node Center)]]-Table_Process_Details[[#This Row],[Y Guide]])^2)</f>
        <v>#N/A</v>
      </c>
      <c r="AK49" s="128" t="e" cm="1">
        <f t="array" ref="AK49">INDEX(Table_Process_Details[X Mover],MATCH(1,INDEX((Table_Process_Details[Step Name]=Table_Process_Details[[#This Row],[LCA Data Source Subclass]])*(Table_Process_Details[Input or Output]="Output"),0)*(Table_Process_Details[[#This Row],[Input or Output]]="Input"),0))</f>
        <v>#N/A</v>
      </c>
      <c r="AL49" s="128" t="e" cm="1">
        <f t="array" ref="AL49">INDEX(Table_Process_Details[X Mover],MATCH(1,INDEX(((Table_Process_Details[Table Row]=Table_Process_Details[[#This Row],[Table Row]])*(1)),0)*(Table_Process_Details[[#This Row],[Input or Output]]="Input"),0))</f>
        <v>#N/A</v>
      </c>
      <c r="AM49" s="128" t="e" cm="1">
        <f t="array" ref="AM49">(Table_Process_Details[[#This Row],[X End (To Node Center)]]*Table_Process_Details[[#This Row],[r0]]-Table_Process_Details[[#This Row],[X End (To Node Center)]]*Arrow_Offset+Table_Process_Details[[#This Row],[X Guide]]*Arrow_Offset)/Table_Process_Details[[#This Row],[r0]]</f>
        <v>#N/A</v>
      </c>
      <c r="AN49" s="128" t="e">
        <f>IF(NOT(Table_Process_Details[[#This Row],[Display As]]="None"),Table_Process_Details[[#This Row],[X Start Prefilter]],NA())</f>
        <v>#N/A</v>
      </c>
      <c r="AO49" s="128" t="e">
        <f>IF(NOT(Table_Process_Details[[#This Row],[Display As]]="None"),Table_Process_Details[[#This Row],[X Guide Prefilter]],NA())</f>
        <v>#N/A</v>
      </c>
      <c r="AP49" s="128" t="e">
        <f>IF(NOT(Table_Process_Details[[#This Row],[Display As]]="None"),Table_Process_Details[[#This Row],[X End (to Stop Radius) Prefilter]],NA())</f>
        <v>#N/A</v>
      </c>
      <c r="AQ49" s="128" t="e">
        <f>NA()</f>
        <v>#N/A</v>
      </c>
      <c r="AR49" s="128" t="e" cm="1">
        <f t="array" ref="AR49">INDEX(Table_Process_Details[Y Mover],MATCH(1,INDEX((Table_Process_Details[Step Name]=Table_Process_Details[[#This Row],[LCA Data Source Subclass]])*(Table_Process_Details[Input or Output]="Output"),0)*(Table_Process_Details[[#This Row],[Input or Output]]="Input"),0))</f>
        <v>#N/A</v>
      </c>
      <c r="AS49" s="128" t="e" cm="1">
        <f t="array" ref="AS49">INDEX(Table_Process_Details[Y Mover],MATCH(1,INDEX(((Table_Process_Details[Table Row]=Table_Process_Details[[#This Row],[Table Row]])*(1)),0)*(Table_Process_Details[[#This Row],[Input or Output]]="Input"),0))</f>
        <v>#N/A</v>
      </c>
      <c r="AT49" s="128" t="e" cm="1">
        <f t="array" ref="AT49">(Table_Process_Details[[#This Row],[Y Guide]]*Arrow_Offset-Table_Process_Details[[#This Row],[Y End (to Node Center)]]*Arrow_Offset+Table_Process_Details[[#This Row],[Y End (to Node Center)]]*Table_Process_Details[[#This Row],[r0]])/Table_Process_Details[[#This Row],[r0]]</f>
        <v>#N/A</v>
      </c>
      <c r="AU49" s="128" t="e">
        <f>IF(NOT(Table_Process_Details[[#This Row],[Display As]]="None"),Table_Process_Details[[#This Row],[Y Start Prefilter]],NA())</f>
        <v>#N/A</v>
      </c>
      <c r="AV49" s="128" t="e">
        <f>IF(NOT(Table_Process_Details[[#This Row],[Display As]]="None"),Table_Process_Details[[#This Row],[Y Guide Prefilter]],NA())</f>
        <v>#N/A</v>
      </c>
      <c r="AW49" s="128" t="e">
        <f>IF(NOT(Table_Process_Details[[#This Row],[Display As]]="None"),Table_Process_Details[[#This Row],[Y End (to Stop Radius) Prefilter]],NA())</f>
        <v>#N/A</v>
      </c>
      <c r="AX49" s="128" t="e">
        <f>NA()</f>
        <v>#N/A</v>
      </c>
      <c r="AY49" s="128" t="e">
        <f>IF(Table_Process_Details[[#This Row],[Display As]]="Real Step",Table_Process_Details[[#This Row],[X Mover]],NA())</f>
        <v>#N/A</v>
      </c>
      <c r="AZ49" s="128" t="e">
        <f>IF(Table_Process_Details[[#This Row],[Display As]]="Real Step",Table_Process_Details[[#This Row],[Y Mover]],NA())</f>
        <v>#N/A</v>
      </c>
      <c r="BA49" s="128">
        <f ca="1">IF(Table_Process_Details[[#This Row],[Display As]]="Raw Material",Table_Process_Details[[#This Row],[X Mover]],NA())</f>
        <v>7.4720348390499867</v>
      </c>
      <c r="BB49" s="128">
        <f ca="1">IF(Table_Process_Details[[#This Row],[Display As]]="Raw Material",Table_Process_Details[[#This Row],[Y Mover]],NA())</f>
        <v>13.041884212556132</v>
      </c>
      <c r="BC49" s="128">
        <f ca="1">IF(OR(Table_Process_Details[[#This Row],[Display As]]="Real Step",Table_Process_Details[[#This Row],[Display As]]="Raw Material"),Table_Process_Details[[#This Row],[X Mover]],NA())</f>
        <v>7.4720348390499867</v>
      </c>
      <c r="BD49" s="128">
        <f ca="1">IF(OR(Table_Process_Details[[#This Row],[Display As]]="Real Step",Table_Process_Details[[#This Row],[Display As]]="Raw Material"),Table_Process_Details[[#This Row],[Y Mover]],NA())</f>
        <v>13.041884212556132</v>
      </c>
      <c r="BE49" s="126">
        <f>ROW()-ROW(Table_Process_Details[[#Headers],[Table Row]])</f>
        <v>45</v>
      </c>
      <c r="BF49" s="122" t="str" cm="1">
        <f t="array" aca="1" ref="BF49" ca="1">INDEX(Table_Process_Details[Display Name],MATCH(0,IF(Table_Process_Details[Input or Output]="Input",INDEX(COUNTIF(OFFSET(Table_Process_Details[[#Headers],[Unique Process Inputs]],0,0,Table_Process_Details[[#This Row],[Table Row]],1),Table_Process_Details[Display Name]),),""),0))</f>
        <v>15 wt% reagent K (inorganic) in water</v>
      </c>
      <c r="BG49" s="122">
        <f ca="1">Table_Process_Details[[#This Row],[Physical Mass (kg)]]*Table_Process_Details[[#This Row],[Step Scale Factor for 1kg Packaged API]]</f>
        <v>4.194061533411813</v>
      </c>
      <c r="BH49"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49" s="122">
        <f ca="1">MATCH(Table_Process_Details[[#This Row],[LCA Data Source Class]],INDIRECT(Table_Process_Details[[#This Row],[Input or Output]]),0)</f>
        <v>1</v>
      </c>
      <c r="BJ49" s="122">
        <f ca="1">MATCH(Table_Process_Details[[#This Row],[LCA Data Source Subclass]],INDIRECT(Table_Process_Details[[#This Row],[LCA Data Source Class]]&amp;"[Name]"),0)</f>
        <v>1</v>
      </c>
      <c r="BK49" s="122">
        <f ca="1">IFERROR(INDEX(INDIRECT(Table_Process_Details[[#This Row],[LCA Data Source Class]]&amp;"[Mass Net (kg)]"),MATCH(Table_Process_Details[[#This Row],[LCA Data Source Subclass]],INDIRECT(Table_Process_Details[[#This Row],[LCA Data Source Class]]&amp;"[Name]"),0)),0)</f>
        <v>0</v>
      </c>
      <c r="BL49" s="122">
        <f ca="1">IFERROR(INDEX(INDIRECT(Table_Process_Details[[#This Row],[LCA Data Source Class]]&amp;"[Energy (MJ)]"),MATCH(Table_Process_Details[[#This Row],[LCA Data Source Subclass]],INDIRECT(Table_Process_Details[[#This Row],[LCA Data Source Class]]&amp;"[Name]"),0)),0)</f>
        <v>0</v>
      </c>
      <c r="BM49" s="122">
        <f ca="1">IFERROR(INDEX(INDIRECT(Table_Process_Details[[#This Row],[LCA Data Source Class]]&amp;"[GWP (kg CO2 equiv.)]"),MATCH(Table_Process_Details[[#This Row],[LCA Data Source Subclass]],INDIRECT(Table_Process_Details[[#This Row],[LCA Data Source Class]]&amp;"[Name]"),0)),0)</f>
        <v>0</v>
      </c>
      <c r="BN49" s="122">
        <f ca="1">IFERROR(INDEX(INDIRECT(Table_Process_Details[[#This Row],[LCA Data Source Class]]&amp;"[Acidification (kg SO2 equiv.)]"),MATCH(Table_Process_Details[[#This Row],[LCA Data Source Subclass]],INDIRECT(Table_Process_Details[[#This Row],[LCA Data Source Class]]&amp;"[Name]"),0)),0)</f>
        <v>0</v>
      </c>
      <c r="BO49" s="122">
        <f ca="1">IFERROR(INDEX(INDIRECT(Table_Process_Details[[#This Row],[LCA Data Source Class]]&amp;"[Eutrophication (kg posphate equiv.)]"),MATCH(Table_Process_Details[[#This Row],[LCA Data Source Subclass]],INDIRECT(Table_Process_Details[[#This Row],[LCA Data Source Class]]&amp;"[Name]"),0)),0)</f>
        <v>0</v>
      </c>
      <c r="BP49" s="122">
        <f ca="1">IFERROR(INDEX(INDIRECT(Table_Process_Details[[#This Row],[LCA Data Source Class]]&amp;"[Water (kg)]"),MATCH(Table_Process_Details[[#This Row],[LCA Data Source Subclass]],INDIRECT(Table_Process_Details[[#This Row],[LCA Data Source Class]]&amp;"[Name]"),0)),0)</f>
        <v>0</v>
      </c>
      <c r="BQ49" s="129">
        <f ca="1">(Table_Process_Details[[#This Row],[Input or Output]]="Input")*(Table_Process_Details[[#This Row],[LCA Data Source Class]]&lt;&gt;"Process_Steps")*Table_Process_Details[[#This Row],[Scaled Physical Mass per kg API for All Inputs &amp; Outputs]]</f>
        <v>0</v>
      </c>
      <c r="BR49" s="129">
        <f ca="1">(Table_Process_Details[[#This Row],[Material Class]]="REAGENT")*Table_Process_Details[[#This Row],[Physical Mass per kg API]]</f>
        <v>0</v>
      </c>
      <c r="BS49" s="129">
        <f ca="1">(Table_Process_Details[[#This Row],[Material Class]]="METAL")*Table_Process_Details[[#This Row],[Physical Mass per kg API]]</f>
        <v>0</v>
      </c>
      <c r="BT49" s="129">
        <f ca="1">(Table_Process_Details[[#This Row],[Material Class]]="SOLVENT")*Table_Process_Details[[#This Row],[Physical Mass per kg API]]</f>
        <v>0</v>
      </c>
      <c r="BU49" s="129">
        <f ca="1">(Table_Process_Details[[#This Row],[Material Class]]="WATER")*Table_Process_Details[[#This Row],[Physical Mass per kg API]]</f>
        <v>0</v>
      </c>
      <c r="BV49" s="129">
        <f ca="1">(Table_Process_Details[[#This Row],[Material Class]]="ENZ&amp;PLNT")*Table_Process_Details[[#This Row],[Physical Mass per kg API]]</f>
        <v>0</v>
      </c>
      <c r="BW49" s="129">
        <f ca="1">(Table_Process_Details[[#This Row],[Material Class]]="OTHER")*Table_Process_Details[[#This Row],[Physical Mass per kg API]]</f>
        <v>0</v>
      </c>
      <c r="BX49"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49"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49"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49"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49"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49"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49"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49" s="131">
        <f ca="1">SUMIFS(Table_Process_Details[RV Physical Mass per kg API],Table_Process_Details[Display Name],Table_Process_Details[[#This Row],[Unique Process Inputs]],Table_Process_Details[Input or Output],"Input")</f>
        <v>5.505597357313273</v>
      </c>
      <c r="CF49" s="131">
        <f ca="1">SUMIFS(Table_Process_Details[RV Physical Mass per kg API (REAGENT)],Table_Process_Details[Display Name],Table_Process_Details[[#This Row],[Unique Process Inputs]],Table_Process_Details[Input or Output],"Input")</f>
        <v>0.82583960359699093</v>
      </c>
      <c r="CG49" s="131">
        <f ca="1">SUMIFS(Table_Process_Details[RV Physical Mass per kg API (METAL)],Table_Process_Details[Display Name],Table_Process_Details[[#This Row],[Unique Process Inputs]],Table_Process_Details[Input or Output],"Input")</f>
        <v>0</v>
      </c>
      <c r="CH49" s="131">
        <f ca="1">SUMIFS(Table_Process_Details[RV Physical Mass per kg API (SOLVENT)],Table_Process_Details[Display Name],Table_Process_Details[[#This Row],[Unique Process Inputs]],Table_Process_Details[Input or Output],"Input")</f>
        <v>0</v>
      </c>
      <c r="CI49" s="131">
        <f ca="1">SUMIFS(Table_Process_Details[RV Physical Mass per kg API (WATER)],Table_Process_Details[Display Name],Table_Process_Details[[#This Row],[Unique Process Inputs]],Table_Process_Details[Input or Output],"Input")</f>
        <v>4.6797577537162818</v>
      </c>
      <c r="CJ49" s="131">
        <f ca="1">SUMIFS(Table_Process_Details[RV Physical Mass per kg API (ENZ&amp;PLNT)],Table_Process_Details[Display Name],Table_Process_Details[[#This Row],[Unique Process Inputs]],Table_Process_Details[Input or Output],"Input")</f>
        <v>0</v>
      </c>
      <c r="CK49" s="131">
        <f ca="1">SUMIFS(Table_Process_Details[RV Physical Mass per kg API (OTHER)],Table_Process_Details[Display Name],Table_Process_Details[[#This Row],[Unique Process Inputs]],Table_Process_Details[Input or Output],"Input")</f>
        <v>0</v>
      </c>
      <c r="CL49" s="126" t="e">
        <f ca="1">INDEX(Table_Process_Details[Unique Process Inputs],MATCH(Table_Process_Details[[#This Row],['[Physical Mass per kg API'] of Unique Inputs Sorted by '[Physical Mass per kg API']]],Table_Process_Details[Total '[Physical Mass per kg API'] of Unique Inputs],0))</f>
        <v>#N/A</v>
      </c>
      <c r="CM49" s="126" t="e">
        <f ca="1">IF(LARGE(Table_Process_Details[Total '[Physical Mass per kg API'] of Unique Inputs],Table_Process_Details[[#This Row],[Table Row]])=0,NA(),LARGE(Table_Process_Details[Total '[Physical Mass per kg API'] of Unique Inputs],Table_Process_Details[[#This Row],[Table Row]]))</f>
        <v>#N/A</v>
      </c>
      <c r="CN49" s="126" t="e">
        <f ca="1">SUM(OFFSET(Table_Process_Details['[Physical Mass per kg API'] of Unique Inputs Sorted by '[Physical Mass per kg API']],0,0,Table_Process_Details[[#This Row],[Table Row]]))</f>
        <v>#N/A</v>
      </c>
      <c r="CO49" s="126" t="e">
        <f ca="1">"("&amp;TEXT(Table_Process_Details[[#This Row],['[Physical Mass per kg API'] of Unique Inputs Sorted by '[Physical Mass per kg API']]]/SUMIF(Table_Process_Details['[Physical Mass per kg API'] of Unique Inputs Sorted by '[Physical Mass per kg API']],"&lt;&gt;#N/A"),"0%")&amp;")"</f>
        <v>#N/A</v>
      </c>
      <c r="CP49" s="126" t="e">
        <f ca="1">INDEX(Table_Process_Details[Total '[Physical Mass per kg API'] of Unique Inputs (REAGENT)],MATCH(Table_Process_Details[[#This Row],[Unique Inputs Sorted by '[Physical Mass per kg API']]],Table_Process_Details[Unique Process Inputs],0))</f>
        <v>#N/A</v>
      </c>
      <c r="CQ49" s="126" t="e">
        <f ca="1">INDEX(Table_Process_Details[Total '[Physical Mass per kg API'] of Unique Inputs (METAL)],MATCH(Table_Process_Details[[#This Row],[Unique Inputs Sorted by '[Physical Mass per kg API']]],Table_Process_Details[Unique Process Inputs],0))</f>
        <v>#N/A</v>
      </c>
      <c r="CR49" s="126" t="e">
        <f ca="1">INDEX(Table_Process_Details[Total '[Physical Mass per kg API'] of Unique Inputs (SOLVENT)],MATCH(Table_Process_Details[[#This Row],[Unique Inputs Sorted by '[Physical Mass per kg API']]],Table_Process_Details[Unique Process Inputs],0))</f>
        <v>#N/A</v>
      </c>
      <c r="CS49" s="126" t="e">
        <f ca="1">INDEX(Table_Process_Details[Total '[Physical Mass per kg API'] of Unique Inputs (WATER)],MATCH(Table_Process_Details[[#This Row],[Unique Inputs Sorted by '[Physical Mass per kg API']]],Table_Process_Details[Unique Process Inputs],0))</f>
        <v>#N/A</v>
      </c>
      <c r="CT49" s="126" t="e">
        <f ca="1">INDEX(Table_Process_Details[Total '[Physical Mass per kg API'] of Unique Inputs (ENZ&amp;PLNT)],MATCH(Table_Process_Details[[#This Row],[Unique Inputs Sorted by '[Physical Mass per kg API']]],Table_Process_Details[Unique Process Inputs],0))</f>
        <v>#N/A</v>
      </c>
      <c r="CU49" s="126" t="e">
        <f ca="1">INDEX(Table_Process_Details[Total '[Physical Mass per kg API'] of Unique Inputs (OTHER)],MATCH(Table_Process_Details[[#This Row],[Unique Inputs Sorted by '[Physical Mass per kg API']]],Table_Process_Details[Unique Process Inputs],0))</f>
        <v>#N/A</v>
      </c>
      <c r="CV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4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49" s="126">
        <f ca="1">SUMIFS(Table_Process_Details[RV Mass Net (kg) per kg API],Table_Process_Details[Display Name],Table_Process_Details[[#This Row],[Unique Process Inputs]],Table_Process_Details[Input or Output],"Input")</f>
        <v>1.1137863397228862</v>
      </c>
      <c r="DD49" s="126">
        <f ca="1">SUMIFS(Table_Process_Details[RV Mass Net (kg) per kg API (REAGENT)],Table_Process_Details[Display Name],Table_Process_Details[[#This Row],[Unique Process Inputs]],Table_Process_Details[Input or Output],"Input")</f>
        <v>1.1066250688199681</v>
      </c>
      <c r="DE49" s="126">
        <f ca="1">SUMIFS(Table_Process_Details[RV Mass Net (kg) per kg API (METAL)],Table_Process_Details[Display Name],Table_Process_Details[[#This Row],[Unique Process Inputs]],Table_Process_Details[Input or Output],"Input")</f>
        <v>0</v>
      </c>
      <c r="DF49" s="126">
        <f ca="1">SUMIFS(Table_Process_Details[RV Mass Net (kg) per kg API (SOLVENT)],Table_Process_Details[Display Name],Table_Process_Details[[#This Row],[Unique Process Inputs]],Table_Process_Details[Input or Output],"Input")</f>
        <v>0</v>
      </c>
      <c r="DG49" s="126">
        <f ca="1">SUMIFS(Table_Process_Details[RV Mass Net (kg) per kg API (WATER)],Table_Process_Details[Display Name],Table_Process_Details[[#This Row],[Unique Process Inputs]],Table_Process_Details[Input or Output],"Input")</f>
        <v>7.1612709029179713E-3</v>
      </c>
      <c r="DH49" s="126">
        <f ca="1">SUMIFS(Table_Process_Details[RV Mass Net (kg) per kg API (ENZ&amp;PLNT)],Table_Process_Details[Display Name],Table_Process_Details[[#This Row],[Unique Process Inputs]],Table_Process_Details[Input or Output],"Input")</f>
        <v>0</v>
      </c>
      <c r="DI49" s="126">
        <f ca="1">SUMIFS(Table_Process_Details[RV Mass Net (kg) per kg API (OTHER)],Table_Process_Details[Display Name],Table_Process_Details[[#This Row],[Unique Process Inputs]],Table_Process_Details[Input or Output],"Input")</f>
        <v>0</v>
      </c>
      <c r="DJ49" s="126" t="e">
        <f ca="1">INDEX(Table_Process_Details[Unique Process Inputs],MATCH(Table_Process_Details[[#This Row],['[Mass Net (kg) per kg API'] of Unique Inputs Sorted by '[Mass Net (kg) per kg API']]],Table_Process_Details[Total '[Mass Net (kg) per kg API'] of Unique Inputs],0))</f>
        <v>#N/A</v>
      </c>
      <c r="DK49" s="126" t="e">
        <f ca="1">IF(LARGE(Table_Process_Details[Total '[Mass Net (kg) per kg API'] of Unique Inputs],Table_Process_Details[[#This Row],[Table Row]])=0,NA(),LARGE(Table_Process_Details[Total '[Mass Net (kg) per kg API'] of Unique Inputs],Table_Process_Details[[#This Row],[Table Row]]))</f>
        <v>#N/A</v>
      </c>
      <c r="DL49" s="126" t="e">
        <f ca="1">SUM(OFFSET(Table_Process_Details['[Mass Net (kg) per kg API'] of Unique Inputs Sorted by '[Mass Net (kg) per kg API']],0,0,Table_Process_Details[[#This Row],[Table Row]]))</f>
        <v>#N/A</v>
      </c>
      <c r="DM49" s="126" t="e">
        <f ca="1">"("&amp;TEXT(Table_Process_Details[[#This Row],['[Mass Net (kg) per kg API'] of Unique Inputs Sorted by '[Mass Net (kg) per kg API']]]/SUMIF(Table_Process_Details['[Mass Net (kg) per kg API'] of Unique Inputs Sorted by '[Mass Net (kg) per kg API']],"&lt;&gt;#N/A"),"0%")&amp;")"</f>
        <v>#N/A</v>
      </c>
      <c r="DN49" s="126" t="e">
        <f ca="1">INDEX(Table_Process_Details[Total '[Mass Net (kg) per kg API'] of Unique Inputs (REAGENT)], MATCH(Table_Process_Details[[#This Row],[Unique Inputs Sorted by '[Mass Net (kg) per kg API']]],Table_Process_Details[Unique Process Inputs],0))</f>
        <v>#N/A</v>
      </c>
      <c r="DO49" s="126" t="e">
        <f ca="1">INDEX(Table_Process_Details[Total '[Mass Net (kg) per kg API'] of Unique Inputs (METAL)], MATCH(Table_Process_Details[[#This Row],[Unique Inputs Sorted by '[Mass Net (kg) per kg API']]],Table_Process_Details[Unique Process Inputs],0))</f>
        <v>#N/A</v>
      </c>
      <c r="DP49" s="126" t="e">
        <f ca="1">INDEX(Table_Process_Details[Total '[Mass Net (kg) per kg API'] of Unique Inputs (SOLVENT)], MATCH(Table_Process_Details[[#This Row],[Unique Inputs Sorted by '[Mass Net (kg) per kg API']]],Table_Process_Details[Unique Process Inputs],0))</f>
        <v>#N/A</v>
      </c>
      <c r="DQ49" s="126" t="e">
        <f ca="1">INDEX(Table_Process_Details[Total '[Mass Net (kg) per kg API'] of Unique Inputs (WATER)], MATCH(Table_Process_Details[[#This Row],[Unique Inputs Sorted by '[Mass Net (kg) per kg API']]],Table_Process_Details[Unique Process Inputs],0))</f>
        <v>#N/A</v>
      </c>
      <c r="DR49" s="126" t="e">
        <f ca="1">INDEX(Table_Process_Details[Total '[Mass Net (kg) per kg API'] of Unique Inputs (ENZ&amp;PLNT)], MATCH(Table_Process_Details[[#This Row],[Unique Inputs Sorted by '[Mass Net (kg) per kg API']]],Table_Process_Details[Unique Process Inputs],0))</f>
        <v>#N/A</v>
      </c>
      <c r="DS49" s="126" t="e">
        <f ca="1">INDEX(Table_Process_Details[Total '[Mass Net (kg) per kg API'] of Unique Inputs (OTHER)], MATCH(Table_Process_Details[[#This Row],[Unique Inputs Sorted by '[Mass Net (kg) per kg API']]],Table_Process_Details[Unique Process Inputs],0))</f>
        <v>#N/A</v>
      </c>
      <c r="DT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4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49" s="131">
        <f ca="1">SUMIFS(Table_Process_Details[RV Energy (MJ) per kg API],Table_Process_Details[Display Name],Table_Process_Details[[#This Row],[Unique Process Inputs]],Table_Process_Details[Input or Output],"Input")</f>
        <v>8.8678627080198282</v>
      </c>
      <c r="EB49" s="131">
        <f ca="1">SUMIFS(Table_Process_Details[RV Energy (MJ) per kg API (REAGENT)],Table_Process_Details[Display Name],Table_Process_Details[[#This Row],[Unique Process Inputs]],Table_Process_Details[Input or Output],"Input")</f>
        <v>8.7786749862360143</v>
      </c>
      <c r="EC49" s="131">
        <f ca="1">SUMIFS(Table_Process_Details[RV Energy (MJ) per kg API (METAL)],Table_Process_Details[Display Name],Table_Process_Details[[#This Row],[Unique Process Inputs]],Table_Process_Details[Input or Output],"Input")</f>
        <v>0</v>
      </c>
      <c r="ED49" s="131">
        <f ca="1">SUMIFS(Table_Process_Details[RV Energy (MJ) per kg API (SOLVENT)],Table_Process_Details[Display Name],Table_Process_Details[[#This Row],[Unique Process Inputs]],Table_Process_Details[Input or Output],"Input")</f>
        <v>0</v>
      </c>
      <c r="EE49" s="131">
        <f ca="1">SUMIFS(Table_Process_Details[RV Energy (MJ) per kg API (WATER)],Table_Process_Details[Display Name],Table_Process_Details[[#This Row],[Unique Process Inputs]],Table_Process_Details[Input or Output],"Input")</f>
        <v>8.9187721783813609E-2</v>
      </c>
      <c r="EF49" s="131">
        <f ca="1">SUMIFS(Table_Process_Details[RV Energy (MJ) per kg API (ENZ&amp;PLNT)],Table_Process_Details[Display Name],Table_Process_Details[[#This Row],[Unique Process Inputs]],Table_Process_Details[Input or Output],"Input")</f>
        <v>0</v>
      </c>
      <c r="EG49" s="131">
        <f ca="1">SUMIFS(Table_Process_Details[RV Energy (MJ) per kg API (OTHER)],Table_Process_Details[Display Name],Table_Process_Details[[#This Row],[Unique Process Inputs]],Table_Process_Details[Input or Output],"Input")</f>
        <v>0</v>
      </c>
      <c r="EH49" s="131" t="e">
        <f ca="1">INDEX(Table_Process_Details[Unique Process Inputs],MATCH(Table_Process_Details[[#This Row],['[Energy (MJ) per kg API'] of Unique Inputs Sorted by '[Energy (MJ) per kg API']]],Table_Process_Details[Total '[Energy (MJ) per kg API'] of Unique Inputs],0))</f>
        <v>#N/A</v>
      </c>
      <c r="EI49" s="126" t="e">
        <f ca="1">IF(LARGE(Table_Process_Details[Total '[Energy (MJ) per kg API'] of Unique Inputs],Table_Process_Details[[#This Row],[Table Row]])=0,NA(),LARGE(Table_Process_Details[Total '[Energy (MJ) per kg API'] of Unique Inputs],Table_Process_Details[[#This Row],[Table Row]]))</f>
        <v>#N/A</v>
      </c>
      <c r="EJ49" s="126" t="e">
        <f ca="1">SUM(OFFSET(Table_Process_Details['[Energy (MJ) per kg API'] of Unique Inputs Sorted by '[Energy (MJ) per kg API']],0,0,Table_Process_Details[[#This Row],[Table Row]]))</f>
        <v>#N/A</v>
      </c>
      <c r="EK49" s="126" t="e">
        <f ca="1">"("&amp;TEXT(Table_Process_Details[[#This Row],['[Energy (MJ) per kg API'] of Unique Inputs Sorted by '[Energy (MJ) per kg API']]]/SUMIF(Table_Process_Details['[Energy (MJ) per kg API'] of Unique Inputs Sorted by '[Energy (MJ) per kg API']],"&lt;&gt;#N/A"),"0%")&amp;")"</f>
        <v>#N/A</v>
      </c>
      <c r="EL49" s="126" t="e">
        <f ca="1">INDEX(Table_Process_Details[Total '[Energy (MJ) per kg API'] of Unique Inputs (REAGENT)], MATCH(Table_Process_Details[[#This Row],[Unique Inputs Sorted by '[Energy (MJ) per kg API']]],Table_Process_Details[Unique Process Inputs],0))</f>
        <v>#N/A</v>
      </c>
      <c r="EM49" s="126" t="e">
        <f ca="1">INDEX(Table_Process_Details[Total '[Energy (MJ) per kg API'] of Unique Inputs (METAL)], MATCH(Table_Process_Details[[#This Row],[Unique Inputs Sorted by '[Energy (MJ) per kg API']]],Table_Process_Details[Unique Process Inputs],0))</f>
        <v>#N/A</v>
      </c>
      <c r="EN49" s="126" t="e">
        <f ca="1">INDEX(Table_Process_Details[Total '[Energy (MJ) per kg API'] of Unique Inputs (SOLVENT)], MATCH(Table_Process_Details[[#This Row],[Unique Inputs Sorted by '[Energy (MJ) per kg API']]],Table_Process_Details[Unique Process Inputs],0))</f>
        <v>#N/A</v>
      </c>
      <c r="EO49" s="126" t="e">
        <f ca="1">INDEX(Table_Process_Details[Total '[Energy (MJ) per kg API'] of Unique Inputs (WATER)], MATCH(Table_Process_Details[[#This Row],[Unique Inputs Sorted by '[Energy (MJ) per kg API']]],Table_Process_Details[Unique Process Inputs],0))</f>
        <v>#N/A</v>
      </c>
      <c r="EP49" s="126" t="e">
        <f ca="1">INDEX(Table_Process_Details[Total '[Energy (MJ) per kg API'] of Unique Inputs (ENZ&amp;PLNT)], MATCH(Table_Process_Details[[#This Row],[Unique Inputs Sorted by '[Energy (MJ) per kg API']]],Table_Process_Details[Unique Process Inputs],0))</f>
        <v>#N/A</v>
      </c>
      <c r="EQ49" s="126" t="e">
        <f ca="1">INDEX(Table_Process_Details[Total '[Energy (MJ) per kg API'] of Unique Inputs (OTHER)], MATCH(Table_Process_Details[[#This Row],[Unique Inputs Sorted by '[Energy (MJ) per kg API']]],Table_Process_Details[Unique Process Inputs],0))</f>
        <v>#N/A</v>
      </c>
      <c r="ER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4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49" s="126">
        <f ca="1">SUMIFS(Table_Process_Details[RV GWP (kg CO2 equiv.) per kg API],Table_Process_Details[Display Name],Table_Process_Details[[#This Row],[Unique Process Inputs]],Table_Process_Details[Input or Output],"Input")</f>
        <v>1.1488716133235466</v>
      </c>
      <c r="EZ49" s="131">
        <f ca="1">SUMIFS(Table_Process_Details[RV GWP (kg CO2 equiv.) per kg API (REAGENT)],Table_Process_Details[Display Name],Table_Process_Details[[#This Row],[Unique Process Inputs]],Table_Process_Details[Input or Output],"Input")</f>
        <v>1.1441181868232713</v>
      </c>
      <c r="FA49" s="131">
        <f ca="1">SUMIFS(Table_Process_Details[RV GWP (kg CO2 equiv.) per kg API (METAL)],Table_Process_Details[Display Name],Table_Process_Details[[#This Row],[Unique Process Inputs]],Table_Process_Details[Input or Output],"Input")</f>
        <v>0</v>
      </c>
      <c r="FB49" s="131">
        <f ca="1">SUMIFS(Table_Process_Details[RV GWP (kg CO2 equiv.) per kg API (SOLVENT)],Table_Process_Details[Display Name],Table_Process_Details[[#This Row],[Unique Process Inputs]],Table_Process_Details[Input or Output],"Input")</f>
        <v>0</v>
      </c>
      <c r="FC49" s="131">
        <f ca="1">SUMIFS(Table_Process_Details[RV GWP (kg CO2 equiv.) per kg API (WATER)],Table_Process_Details[Display Name],Table_Process_Details[[#This Row],[Unique Process Inputs]],Table_Process_Details[Input or Output],"Input")</f>
        <v>4.7534265002752828E-3</v>
      </c>
      <c r="FD49" s="131">
        <f ca="1">SUMIFS(Table_Process_Details[RV GWP (kg CO2 equiv.) per kg API (ENZ&amp;PLNT)],Table_Process_Details[Display Name],Table_Process_Details[[#This Row],[Unique Process Inputs]],Table_Process_Details[Input or Output],"Input")</f>
        <v>0</v>
      </c>
      <c r="FE49" s="131">
        <f ca="1">SUMIFS(Table_Process_Details[RV GWP (kg CO2 equiv.) per kg API (OTHER)],Table_Process_Details[Display Name],Table_Process_Details[[#This Row],[Unique Process Inputs]],Table_Process_Details[Input or Output],"Input")</f>
        <v>0</v>
      </c>
      <c r="FF49" s="126" t="e">
        <f ca="1">INDEX(Table_Process_Details[Unique Process Inputs],MATCH(Table_Process_Details[[#This Row],['[GWP (kg CO2 equiv.) per kg API'] of Unique Inputs Sorted by '[GWP (kg CO2 equiv.) per kg API']]],Table_Process_Details[Total '[GWP (kg CO2 equiv.) per kg API'] of Unique Inputs],0))</f>
        <v>#N/A</v>
      </c>
      <c r="FG49" s="126" t="e">
        <f ca="1">IF(LARGE(Table_Process_Details[Total '[GWP (kg CO2 equiv.) per kg API'] of Unique Inputs],Table_Process_Details[[#This Row],[Table Row]])=0,NA(),LARGE(Table_Process_Details[Total '[GWP (kg CO2 equiv.) per kg API'] of Unique Inputs],Table_Process_Details[[#This Row],[Table Row]]))</f>
        <v>#N/A</v>
      </c>
      <c r="FH49" s="126" t="e">
        <f ca="1">SUM(OFFSET(Table_Process_Details['[GWP (kg CO2 equiv.) per kg API'] of Unique Inputs Sorted by '[GWP (kg CO2 equiv.) per kg API']],0,0,Table_Process_Details[[#This Row],[Table Row]]))</f>
        <v>#N/A</v>
      </c>
      <c r="FI49" s="126" t="e">
        <f ca="1">"("&amp;TEXT(Table_Process_Details[[#This Row],['[GWP (kg CO2 equiv.) per kg API'] of Unique Inputs Sorted by '[GWP (kg CO2 equiv.) per kg API']]]/SUMIF(Table_Process_Details['[GWP (kg CO2 equiv.) per kg API'] of Unique Inputs Sorted by '[GWP (kg CO2 equiv.) per kg API']],"&lt;&gt;#N/A"),"0%")&amp;")"</f>
        <v>#N/A</v>
      </c>
      <c r="FJ49" s="126" t="e">
        <f ca="1">INDEX(Table_Process_Details[Total '[GWP (kg CO2 equiv.) per kg API'] of Unique Inputs (REAGENT)], MATCH(Table_Process_Details[[#This Row],[Unique Inputs Sorted by '[GWP (kg CO2 equiv.) per kg API']]],Table_Process_Details[Unique Process Inputs],0))</f>
        <v>#N/A</v>
      </c>
      <c r="FK49" s="126" t="e">
        <f ca="1">INDEX(Table_Process_Details[Total '[GWP (kg CO2 equiv.) per kg API'] of Unique Inputs (METAL)], MATCH(Table_Process_Details[[#This Row],[Unique Inputs Sorted by '[GWP (kg CO2 equiv.) per kg API']]],Table_Process_Details[Unique Process Inputs],0))</f>
        <v>#N/A</v>
      </c>
      <c r="FL49" s="126" t="e">
        <f ca="1">INDEX(Table_Process_Details[Total '[GWP (kg CO2 equiv.) per kg API'] of Unique Inputs (SOLVENT)], MATCH(Table_Process_Details[[#This Row],[Unique Inputs Sorted by '[GWP (kg CO2 equiv.) per kg API']]],Table_Process_Details[Unique Process Inputs],0))</f>
        <v>#N/A</v>
      </c>
      <c r="FM49" s="126" t="e">
        <f ca="1">INDEX(Table_Process_Details[Total '[GWP (kg CO2 equiv.) per kg API'] of Unique Inputs (WATER)], MATCH(Table_Process_Details[[#This Row],[Unique Inputs Sorted by '[GWP (kg CO2 equiv.) per kg API']]],Table_Process_Details[Unique Process Inputs],0))</f>
        <v>#N/A</v>
      </c>
      <c r="FN49" s="126" t="e">
        <f ca="1">INDEX(Table_Process_Details[Total '[GWP (kg CO2 equiv.) per kg API'] of Unique Inputs (ENZ&amp;PLNT)], MATCH(Table_Process_Details[[#This Row],[Unique Inputs Sorted by '[GWP (kg CO2 equiv.) per kg API']]],Table_Process_Details[Unique Process Inputs],0))</f>
        <v>#N/A</v>
      </c>
      <c r="FO49" s="126" t="e">
        <f ca="1">INDEX(Table_Process_Details[Total '[GWP (kg CO2 equiv.) per kg API'] of Unique Inputs (OTHER)], MATCH(Table_Process_Details[[#This Row],[Unique Inputs Sorted by '[GWP (kg CO2 equiv.) per kg API']]],Table_Process_Details[Unique Process Inputs],0))</f>
        <v>#N/A</v>
      </c>
      <c r="FP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4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49" s="126">
        <f ca="1">SUMIFS(Table_Process_Details[RV Acidification (kg SO2 equiv.) per kg API],Table_Process_Details[Display Name],Table_Process_Details[[#This Row],[Unique Process Inputs]],Table_Process_Details[Input or Output],"Input")</f>
        <v>1.1497381463112508E-2</v>
      </c>
      <c r="FX49" s="131">
        <f ca="1">SUMIFS(Table_Process_Details[RV Acidification (kg SO2 equiv.) per kg API (REAGENT)],Table_Process_Details[Display Name],Table_Process_Details[[#This Row],[Unique Process Inputs]],Table_Process_Details[Input or Output],"Input")</f>
        <v>1.1479170489998174E-2</v>
      </c>
      <c r="FY49" s="131">
        <f ca="1">SUMIFS(Table_Process_Details[RV Acidification (kg SO2 equiv.) per kg API (METAL)],Table_Process_Details[Display Name],Table_Process_Details[[#This Row],[Unique Process Inputs]],Table_Process_Details[Input or Output],"Input")</f>
        <v>0</v>
      </c>
      <c r="FZ49" s="131">
        <f ca="1">SUMIFS(Table_Process_Details[RV Acidification (kg SO2 equiv.) per kg API (SOLVENT)],Table_Process_Details[Display Name],Table_Process_Details[[#This Row],[Unique Process Inputs]],Table_Process_Details[Input or Output],"Input")</f>
        <v>0</v>
      </c>
      <c r="GA49" s="131">
        <f ca="1">SUMIFS(Table_Process_Details[RV Acidification (kg SO2 equiv.) per kg API (WATER)],Table_Process_Details[Display Name],Table_Process_Details[[#This Row],[Unique Process Inputs]],Table_Process_Details[Input or Output],"Input")</f>
        <v>1.8210973114332916E-5</v>
      </c>
      <c r="GB49" s="131">
        <f ca="1">SUMIFS(Table_Process_Details[RV Acidification (kg SO2 equiv.) per kg API (ENZ&amp;PLNT)],Table_Process_Details[Display Name],Table_Process_Details[[#This Row],[Unique Process Inputs]],Table_Process_Details[Input or Output],"Input")</f>
        <v>0</v>
      </c>
      <c r="GC49" s="131">
        <f ca="1">SUMIFS(Table_Process_Details[RV Acidification (kg SO2 equiv.) per kg API (OTHER)],Table_Process_Details[Display Name],Table_Process_Details[[#This Row],[Unique Process Inputs]],Table_Process_Details[Input or Output],"Input")</f>
        <v>0</v>
      </c>
      <c r="GD49"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49"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49" s="126" t="e">
        <f ca="1">SUM(OFFSET(Table_Process_Details['[Acidification (kg SO2 equiv.) per kg API'] of Unique Inputs Sorted by '[Acidification (kg SO2 equiv.) per kg API']],0,0,Table_Process_Details[[#This Row],[Table Row]]))</f>
        <v>#N/A</v>
      </c>
      <c r="GG49"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49" s="126" t="e">
        <f ca="1">INDEX(Table_Process_Details[Total '[Acidification (kg SO2 equiv.) per kg API'] of Unique Inputs (REAGENT)], MATCH(Table_Process_Details[[#This Row],[Unique Inputs Sorted by '[Acidification (kg SO2 equiv.) per kg API']]],Table_Process_Details[Unique Process Inputs],0))</f>
        <v>#N/A</v>
      </c>
      <c r="GI49" s="126" t="e">
        <f ca="1">INDEX(Table_Process_Details[Total '[Acidification (kg SO2 equiv.) per kg API'] of Unique Inputs (METAL)], MATCH(Table_Process_Details[[#This Row],[Unique Inputs Sorted by '[Acidification (kg SO2 equiv.) per kg API']]],Table_Process_Details[Unique Process Inputs],0))</f>
        <v>#N/A</v>
      </c>
      <c r="GJ49" s="126" t="e">
        <f ca="1">INDEX(Table_Process_Details[Total '[Acidification (kg SO2 equiv.) per kg API'] of Unique Inputs (SOLVENT)], MATCH(Table_Process_Details[[#This Row],[Unique Inputs Sorted by '[Acidification (kg SO2 equiv.) per kg API']]],Table_Process_Details[Unique Process Inputs],0))</f>
        <v>#N/A</v>
      </c>
      <c r="GK49" s="126" t="e">
        <f ca="1">INDEX(Table_Process_Details[Total '[Acidification (kg SO2 equiv.) per kg API'] of Unique Inputs (WATER)], MATCH(Table_Process_Details[[#This Row],[Unique Inputs Sorted by '[Acidification (kg SO2 equiv.) per kg API']]],Table_Process_Details[Unique Process Inputs],0))</f>
        <v>#N/A</v>
      </c>
      <c r="GL49" s="126" t="e">
        <f ca="1">INDEX(Table_Process_Details[Total '[Acidification (kg SO2 equiv.) per kg API'] of Unique Inputs (ENZ&amp;PLNT)], MATCH(Table_Process_Details[[#This Row],[Unique Inputs Sorted by '[Acidification (kg SO2 equiv.) per kg API']]],Table_Process_Details[Unique Process Inputs],0))</f>
        <v>#N/A</v>
      </c>
      <c r="GM49" s="126" t="e">
        <f ca="1">INDEX(Table_Process_Details[Total '[Acidification (kg SO2 equiv.) per kg API'] of Unique Inputs (OTHER)], MATCH(Table_Process_Details[[#This Row],[Unique Inputs Sorted by '[Acidification (kg SO2 equiv.) per kg API']]],Table_Process_Details[Unique Process Inputs],0))</f>
        <v>#N/A</v>
      </c>
      <c r="GN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4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49" s="126">
        <f ca="1">SUMIFS(Table_Process_Details[RV Eutrophication (kg phosphate equiv.) per kg API],Table_Process_Details[Display Name],Table_Process_Details[[#This Row],[Unique Process Inputs]],Table_Process_Details[Input or Output],"Input")</f>
        <v>5.8893619374197155E-4</v>
      </c>
      <c r="GV49" s="131">
        <f ca="1">SUMIFS(Table_Process_Details[RV Eutrophication (kg phosphate equiv.) per kg API (REAGENT)],Table_Process_Details[Display Name],Table_Process_Details[[#This Row],[Unique Process Inputs]],Table_Process_Details[Input or Output],"Input")</f>
        <v>5.7808772251789363E-4</v>
      </c>
      <c r="GW49" s="131">
        <f ca="1">SUMIFS(Table_Process_Details[RV Eutrophication (kg phosphate equiv.) per kg API (METAL)],Table_Process_Details[Display Name],Table_Process_Details[[#This Row],[Unique Process Inputs]],Table_Process_Details[Input or Output],"Input")</f>
        <v>0</v>
      </c>
      <c r="GX49" s="131">
        <f ca="1">SUMIFS(Table_Process_Details[RV Eutrophication (kg phosphate equiv.) per kg API (SOLVENT)],Table_Process_Details[Display Name],Table_Process_Details[[#This Row],[Unique Process Inputs]],Table_Process_Details[Input or Output],"Input")</f>
        <v>0</v>
      </c>
      <c r="GY49" s="131">
        <f ca="1">SUMIFS(Table_Process_Details[RV Eutrophication (kg phosphate equiv.) per kg API (WATER)],Table_Process_Details[Display Name],Table_Process_Details[[#This Row],[Unique Process Inputs]],Table_Process_Details[Input or Output],"Input")</f>
        <v>1.084847122407782E-5</v>
      </c>
      <c r="GZ49" s="131">
        <f ca="1">SUMIFS(Table_Process_Details[RV Eutrophication (kg phosphate equiv.) per kg API (ENZ&amp;PLNT)],Table_Process_Details[Display Name],Table_Process_Details[[#This Row],[Unique Process Inputs]],Table_Process_Details[Input or Output],"Input")</f>
        <v>0</v>
      </c>
      <c r="HA49" s="131">
        <f ca="1">SUMIFS(Table_Process_Details[RV Eutrophication (kg phosphate equiv.) per kg API (OTHER)],Table_Process_Details[Display Name],Table_Process_Details[[#This Row],[Unique Process Inputs]],Table_Process_Details[Input or Output],"Input")</f>
        <v>0</v>
      </c>
      <c r="HB49"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49"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49" s="126" t="e">
        <f ca="1">SUM(OFFSET(Table_Process_Details['[Eutrophication (kg posphate equiv.) per kg API'] of Unique Inputs Sorted by '[Eutrophication (kg posphate equiv.) per kg API']],0,0,Table_Process_Details[[#This Row],[Table Row]]))</f>
        <v>#N/A</v>
      </c>
      <c r="HE49"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49" s="131" t="e">
        <f ca="1">INDEX(Table_Process_Details[Total '[Eutrophication (kg posphate equiv.) per kg API'] of Unique Inputs (REAGENT)], MATCH(Table_Process_Details[[#This Row],[Unique Inputs Sorted by '[Eutrophication (kg posphate equiv.) per kg API']]],Table_Process_Details[Unique Process Inputs],0))</f>
        <v>#N/A</v>
      </c>
      <c r="HG49" s="131" t="e">
        <f ca="1">INDEX(Table_Process_Details[Total '[Eutrophication (kg posphate equiv.) per kg API'] of Unique Inputs (METAL)], MATCH(Table_Process_Details[[#This Row],[Unique Inputs Sorted by '[Eutrophication (kg posphate equiv.) per kg API']]],Table_Process_Details[Unique Process Inputs],0))</f>
        <v>#N/A</v>
      </c>
      <c r="HH49" s="131" t="e">
        <f ca="1">INDEX(Table_Process_Details[Total '[Eutrophication (kg posphate equiv.) per kg API'] of Unique Inputs (SOLVENT)], MATCH(Table_Process_Details[[#This Row],[Unique Inputs Sorted by '[Eutrophication (kg posphate equiv.) per kg API']]],Table_Process_Details[Unique Process Inputs],0))</f>
        <v>#N/A</v>
      </c>
      <c r="HI49" s="131" t="e">
        <f ca="1">INDEX(Table_Process_Details[Total '[Eutrophication (kg posphate equiv.) per kg API'] of Unique Inputs (WATER)], MATCH(Table_Process_Details[[#This Row],[Unique Inputs Sorted by '[Eutrophication (kg posphate equiv.) per kg API']]],Table_Process_Details[Unique Process Inputs],0))</f>
        <v>#N/A</v>
      </c>
      <c r="HJ49" s="131" t="e">
        <f ca="1">INDEX(Table_Process_Details[Total '[Eutrophication (kg posphate equiv.) per kg API'] of Unique Inputs (ENZ&amp;PLNT)], MATCH(Table_Process_Details[[#This Row],[Unique Inputs Sorted by '[Eutrophication (kg posphate equiv.) per kg API']]],Table_Process_Details[Unique Process Inputs],0))</f>
        <v>#N/A</v>
      </c>
      <c r="HK49" s="131" t="e">
        <f ca="1">INDEX(Table_Process_Details[Total '[Eutrophication (kg posphate equiv.) per kg API'] of Unique Inputs (OTHER)], MATCH(Table_Process_Details[[#This Row],[Unique Inputs Sorted by '[Eutrophication (kg posphate equiv.) per kg API']]],Table_Process_Details[Unique Process Inputs],0))</f>
        <v>#N/A</v>
      </c>
      <c r="HL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4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49" s="131">
        <f ca="1">SUMIFS(Table_Process_Details[RV Water (kg) per kg API],Table_Process_Details[Display Name],Table_Process_Details[[#This Row],[Unique Process Inputs]],Table_Process_Details[Input or Output],"Input")</f>
        <v>6.4830128555698332</v>
      </c>
      <c r="HT49" s="131">
        <f ca="1">SUMIFS(Table_Process_Details[RV Water (kg) per kg API (REAGENT)],Table_Process_Details[Display Name],Table_Process_Details[[#This Row],[Unique Process Inputs]],Table_Process_Details[Input or Output],"Input")</f>
        <v>0.57084510919434817</v>
      </c>
      <c r="HU49" s="131">
        <f ca="1">SUMIFS(Table_Process_Details[RV Water (kg) per kg API (METAL)],Table_Process_Details[Display Name],Table_Process_Details[[#This Row],[Unique Process Inputs]],Table_Process_Details[Input or Output],"Input")</f>
        <v>0</v>
      </c>
      <c r="HV49" s="131">
        <f ca="1">SUMIFS(Table_Process_Details[RV Water (kg) per kg API (SOLVENT)],Table_Process_Details[Display Name],Table_Process_Details[[#This Row],[Unique Process Inputs]],Table_Process_Details[Input or Output],"Input")</f>
        <v>0</v>
      </c>
      <c r="HW49" s="131">
        <f ca="1">SUMIFS(Table_Process_Details[RV Water (kg) per kg API (WATER)],Table_Process_Details[Display Name],Table_Process_Details[[#This Row],[Unique Process Inputs]],Table_Process_Details[Input or Output],"Input")</f>
        <v>5.912167746375486</v>
      </c>
      <c r="HX49" s="131">
        <f ca="1">SUMIFS(Table_Process_Details[RV Water (kg) per kg API (ENZ&amp;PLNT)],Table_Process_Details[Display Name],Table_Process_Details[[#This Row],[Unique Process Inputs]],Table_Process_Details[Input or Output],"Input")</f>
        <v>0</v>
      </c>
      <c r="HY49" s="131">
        <f ca="1">SUMIFS(Table_Process_Details[RV Water (kg) per kg API (OTHER)],Table_Process_Details[Display Name],Table_Process_Details[[#This Row],[Unique Process Inputs]],Table_Process_Details[Input or Output],"Input")</f>
        <v>0</v>
      </c>
      <c r="HZ49" s="126" t="e">
        <f ca="1">INDEX(Table_Process_Details[Unique Process Inputs],MATCH(Table_Process_Details[[#This Row],['[Water (kg) per kg API'] of Unique Inputs Sorted by '[Water (kg) per kg API']]],Table_Process_Details[Total '[Water (kg) per kg API'] of Unique Inputs],0))</f>
        <v>#N/A</v>
      </c>
      <c r="IA49" s="126" t="e">
        <f ca="1">IF(LARGE(Table_Process_Details[Total '[Water (kg) per kg API'] of Unique Inputs],Table_Process_Details[[#This Row],[Table Row]])=0,NA(),LARGE(Table_Process_Details[Total '[Water (kg) per kg API'] of Unique Inputs],Table_Process_Details[[#This Row],[Table Row]]))</f>
        <v>#N/A</v>
      </c>
      <c r="IB49" s="131" t="e">
        <f ca="1">SUM(OFFSET(Table_Process_Details['[Water (kg) per kg API'] of Unique Inputs Sorted by '[Water (kg) per kg API']],0,0,Table_Process_Details[[#This Row],[Table Row]]))</f>
        <v>#N/A</v>
      </c>
      <c r="IC49" s="131" t="e">
        <f ca="1">"("&amp;TEXT(Table_Process_Details[[#This Row],['[Water (kg) per kg API'] of Unique Inputs Sorted by '[Water (kg) per kg API']]]/SUMIF(Table_Process_Details['[Water (kg) per kg API'] of Unique Inputs Sorted by '[Water (kg) per kg API']],"&lt;&gt;#N/A"),"0%")&amp;")"</f>
        <v>#N/A</v>
      </c>
      <c r="ID49" s="131" t="e">
        <f ca="1">INDEX(Table_Process_Details[Total '[Water (kg) per kg API'] of Unique Inputs (REAGENT)], MATCH(Table_Process_Details[[#This Row],[Unique Inputs Sorted by '[Water (kg) per kg API']]],Table_Process_Details[Unique Process Inputs],0))</f>
        <v>#N/A</v>
      </c>
      <c r="IE49" s="131" t="e">
        <f ca="1">INDEX(Table_Process_Details[Total '[Water (kg) per kg API'] of Unique Inputs (METAL)], MATCH(Table_Process_Details[[#This Row],[Unique Inputs Sorted by '[Water (kg) per kg API']]],Table_Process_Details[Unique Process Inputs],0))</f>
        <v>#N/A</v>
      </c>
      <c r="IF49" s="131" t="e">
        <f ca="1">INDEX(Table_Process_Details[Total '[Water (kg) per kg API'] of Unique Inputs (SOLVENT)], MATCH(Table_Process_Details[[#This Row],[Unique Inputs Sorted by '[Water (kg) per kg API']]],Table_Process_Details[Unique Process Inputs],0))</f>
        <v>#N/A</v>
      </c>
      <c r="IG49" s="131" t="e">
        <f ca="1">INDEX(Table_Process_Details[Total '[Water (kg) per kg API'] of Unique Inputs (WATER)], MATCH(Table_Process_Details[[#This Row],[Unique Inputs Sorted by '[Water (kg) per kg API']]],Table_Process_Details[Unique Process Inputs],0))</f>
        <v>#N/A</v>
      </c>
      <c r="IH49" s="131" t="e">
        <f ca="1">INDEX(Table_Process_Details[Total '[Water (kg) per kg API'] of Unique Inputs (ENZ&amp;PLNT)], MATCH(Table_Process_Details[[#This Row],[Unique Inputs Sorted by '[Water (kg) per kg API']]],Table_Process_Details[Unique Process Inputs],0))</f>
        <v>#N/A</v>
      </c>
      <c r="II49" s="131" t="e">
        <f ca="1">INDEX(Table_Process_Details[Total '[Water (kg) per kg API'] of Unique Inputs (OTHER)], MATCH(Table_Process_Details[[#This Row],[Unique Inputs Sorted by '[Water (kg) per kg API']]],Table_Process_Details[Unique Process Inputs],0))</f>
        <v>#N/A</v>
      </c>
    </row>
    <row r="50" spans="1:243" customFormat="1" x14ac:dyDescent="0.25">
      <c r="A50" s="22" t="str">
        <f>'1. Define Process Steps'!A17</f>
        <v>2d) Virtual solution prep for (2): 0.2 M reagent H (inorganic) in water</v>
      </c>
      <c r="B50" s="21" t="s">
        <v>4</v>
      </c>
      <c r="C50" s="21" t="s">
        <v>7</v>
      </c>
      <c r="D50" s="22" t="s">
        <v>158</v>
      </c>
      <c r="E50" s="22" t="s">
        <v>829</v>
      </c>
      <c r="F50" s="26">
        <v>2</v>
      </c>
      <c r="G50" s="26"/>
      <c r="H50" s="26"/>
      <c r="I50" s="26"/>
      <c r="J50" s="26" t="str">
        <f>INDEX(Process_Steps[Reference],MATCH(Table_Process_Details[[#This Row],[Step Name]],Process_Steps[Name],0))</f>
        <v>Reference Document for Step 2</v>
      </c>
      <c r="K50" s="27" t="str">
        <f>INDEX(Process_Steps[Real or Virtual?],MATCH(Table_Process_Details[[#This Row],[Step Name]],Process_Steps[Name],0))</f>
        <v>Virtual</v>
      </c>
      <c r="L5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5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50" s="26">
        <f>INDEX(Table_Process_Details[Physical Mass (kg)],MATCH(1,INDEX(((Table_Process_Details[Step Name]=Table_Process_Details[[#This Row],[Step Name]])*(Table_Process_Details[Input or Output]="Output")),0),0))</f>
        <v>1000</v>
      </c>
      <c r="O50" s="29">
        <f ca="1">INDEX(Process_Steps[Step Scale Factor for 1kg Packaged API],MATCH(Table_Process_Details[[#This Row],[Step Name]],Process_Steps[Name],0))</f>
        <v>6.9901025556863539E-4</v>
      </c>
      <c r="P5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10.333333333333334</v>
      </c>
      <c r="Q5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9.3333333333333339</v>
      </c>
      <c r="R50" s="26">
        <f ca="1">_xlfn.SWITCH(Run_Reset_PNG,"Reset",Table_Process_Details[[#This Row],[X Init]],"Run",Table_Process_Details[[#This Row],[X Moved]],"Freeze",Table_Process_Details[[#This Row],[X Mover]])</f>
        <v>1.7175669340134425</v>
      </c>
      <c r="S50" s="26">
        <f ca="1">_xlfn.SWITCH(Run_Reset_PNG,"Reset",Table_Process_Details[[#This Row],[Y Init]],"Run",Table_Process_Details[[#This Row],[Y Moved]],"Freeze",Table_Process_Details[[#This Row],[Y Mover]])</f>
        <v>-5.3797976174898068</v>
      </c>
      <c r="T50" s="26" cm="1">
        <f t="array" aca="1" ref="T5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-1.5819973160836243</v>
      </c>
      <c r="U50" s="26" cm="1">
        <f t="array" aca="1" ref="U5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-6.2117951547851584</v>
      </c>
      <c r="V50" s="26" cm="1">
        <f t="array" aca="1" ref="V50" ca="1">SUM(--(SQRT((Table_Process_Details[[#This Row],[X Mover]]-Table_Process_Details[X Mover])^2+(Table_Process_Details[[#This Row],[Y Mover]]-Table_Process_Details[Y Mover])^2)&lt;Collision_Distance))</f>
        <v>12</v>
      </c>
      <c r="W50" s="26" cm="1">
        <f t="array" aca="1" ref="W5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8.9488596885654303E-2</v>
      </c>
      <c r="X50" s="26" cm="1">
        <f t="array" aca="1" ref="X5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0.42544955981481714</v>
      </c>
      <c r="Y50" s="26" cm="1">
        <f t="array" aca="1" ref="Y5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0" s="26">
        <f>0</f>
        <v>0</v>
      </c>
      <c r="AA50" s="26">
        <f>0</f>
        <v>0</v>
      </c>
      <c r="AB5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-0.85878346700672126</v>
      </c>
      <c r="AC50" s="26" cm="1">
        <f t="array" aca="1" ref="AC5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2.6898988087449034</v>
      </c>
      <c r="AD50" s="26">
        <f>MIN(1,COUNTA(Table_Process_Details[[#This Row],[target x]]),COUNTA(Table_Process_Details[[#This Row],[target y]]))*COUNTA(Table_Process_Details[Step Name])</f>
        <v>98</v>
      </c>
      <c r="AE5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1.6664593246233519</v>
      </c>
      <c r="AF5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-5.4445497068790765</v>
      </c>
      <c r="AG5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50" s="26" cm="1">
        <f t="array" aca="1" ref="AH50" ca="1">INDEX(Table_Process_Details[X Mover],MATCH(1,INDEX((Table_Process_Details[Input or Output]="Output")*(Table_Process_Details[Step Name]=Table_Process_Details[[#This Row],[Step Name]])*(Table_Process_Details[[#This Row],[Input or Output]]="Input"),0),0))</f>
        <v>2.5140487336853532</v>
      </c>
      <c r="AI50" s="26" cm="1">
        <f t="array" aca="1" ref="AI50" ca="1">INDEX(Table_Process_Details[Y Mover],MATCH(1,INDEX((Table_Process_Details[Input or Output]="Output")*(Table_Process_Details[Step Name]=Table_Process_Details[[#This Row],[Step Name]])*(Table_Process_Details[[#This Row],[Input or Output]]="Input"),0),0))</f>
        <v>-1.5931382791618636</v>
      </c>
      <c r="AJ50" s="26" t="e">
        <f ca="1">SQRT((Table_Process_Details[[#This Row],[X End (To Node Center)]]-Table_Process_Details[[#This Row],[X Guide]])^2+(Table_Process_Details[[#This Row],[Y End (to Node Center)]]-Table_Process_Details[[#This Row],[Y Guide]])^2)</f>
        <v>#N/A</v>
      </c>
      <c r="AK50" s="26" t="e" cm="1">
        <f t="array" ref="AK50">INDEX(Table_Process_Details[X Mover],MATCH(1,INDEX((Table_Process_Details[Step Name]=Table_Process_Details[[#This Row],[LCA Data Source Subclass]])*(Table_Process_Details[Input or Output]="Output"),0)*(Table_Process_Details[[#This Row],[Input or Output]]="Input"),0))</f>
        <v>#N/A</v>
      </c>
      <c r="AL50" s="26" cm="1">
        <f t="array" aca="1" ref="AL50" ca="1">INDEX(Table_Process_Details[X Mover],MATCH(1,INDEX(((Table_Process_Details[Table Row]=Table_Process_Details[[#This Row],[Table Row]])*(1)),0)*(Table_Process_Details[[#This Row],[Input or Output]]="Input"),0))</f>
        <v>1.7175669340134425</v>
      </c>
      <c r="AM50" s="26" t="e" cm="1">
        <f t="array" aca="1" ref="AM50" ca="1">(Table_Process_Details[[#This Row],[X End (To Node Center)]]*Table_Process_Details[[#This Row],[r0]]-Table_Process_Details[[#This Row],[X End (To Node Center)]]*Arrow_Offset+Table_Process_Details[[#This Row],[X Guide]]*Arrow_Offset)/Table_Process_Details[[#This Row],[r0]]</f>
        <v>#N/A</v>
      </c>
      <c r="AN50" s="26" t="e">
        <f>IF(NOT(Table_Process_Details[[#This Row],[Display As]]="None"),Table_Process_Details[[#This Row],[X Start Prefilter]],NA())</f>
        <v>#N/A</v>
      </c>
      <c r="AO50" s="26" t="e">
        <f>IF(NOT(Table_Process_Details[[#This Row],[Display As]]="None"),Table_Process_Details[[#This Row],[X Guide Prefilter]],NA())</f>
        <v>#N/A</v>
      </c>
      <c r="AP50" s="26" t="e">
        <f>IF(NOT(Table_Process_Details[[#This Row],[Display As]]="None"),Table_Process_Details[[#This Row],[X End (to Stop Radius) Prefilter]],NA())</f>
        <v>#N/A</v>
      </c>
      <c r="AQ50" s="26" t="e">
        <f>NA()</f>
        <v>#N/A</v>
      </c>
      <c r="AR50" s="26" t="e" cm="1">
        <f t="array" ref="AR50">INDEX(Table_Process_Details[Y Mover],MATCH(1,INDEX((Table_Process_Details[Step Name]=Table_Process_Details[[#This Row],[LCA Data Source Subclass]])*(Table_Process_Details[Input or Output]="Output"),0)*(Table_Process_Details[[#This Row],[Input or Output]]="Input"),0))</f>
        <v>#N/A</v>
      </c>
      <c r="AS50" s="26" cm="1">
        <f t="array" aca="1" ref="AS50" ca="1">INDEX(Table_Process_Details[Y Mover],MATCH(1,INDEX(((Table_Process_Details[Table Row]=Table_Process_Details[[#This Row],[Table Row]])*(1)),0)*(Table_Process_Details[[#This Row],[Input or Output]]="Input"),0))</f>
        <v>-5.3797976174898068</v>
      </c>
      <c r="AT50" s="26" t="e" cm="1">
        <f t="array" aca="1" ref="AT50" ca="1">(Table_Process_Details[[#This Row],[Y Guide]]*Arrow_Offset-Table_Process_Details[[#This Row],[Y End (to Node Center)]]*Arrow_Offset+Table_Process_Details[[#This Row],[Y End (to Node Center)]]*Table_Process_Details[[#This Row],[r0]])/Table_Process_Details[[#This Row],[r0]]</f>
        <v>#N/A</v>
      </c>
      <c r="AU50" s="26" t="e">
        <f>IF(NOT(Table_Process_Details[[#This Row],[Display As]]="None"),Table_Process_Details[[#This Row],[Y Start Prefilter]],NA())</f>
        <v>#N/A</v>
      </c>
      <c r="AV50" s="26" t="e">
        <f>IF(NOT(Table_Process_Details[[#This Row],[Display As]]="None"),Table_Process_Details[[#This Row],[Y Guide Prefilter]],NA())</f>
        <v>#N/A</v>
      </c>
      <c r="AW50" s="26" t="e">
        <f>IF(NOT(Table_Process_Details[[#This Row],[Display As]]="None"),Table_Process_Details[[#This Row],[Y End (to Stop Radius) Prefilter]],NA())</f>
        <v>#N/A</v>
      </c>
      <c r="AX50" s="26" t="e">
        <f>NA()</f>
        <v>#N/A</v>
      </c>
      <c r="AY50" s="26" t="e">
        <f>IF(Table_Process_Details[[#This Row],[Display As]]="Real Step",Table_Process_Details[[#This Row],[X Mover]],NA())</f>
        <v>#N/A</v>
      </c>
      <c r="AZ50" s="26" t="e">
        <f>IF(Table_Process_Details[[#This Row],[Display As]]="Real Step",Table_Process_Details[[#This Row],[Y Mover]],NA())</f>
        <v>#N/A</v>
      </c>
      <c r="BA50" s="26" t="e">
        <f>IF(Table_Process_Details[[#This Row],[Display As]]="Raw Material",Table_Process_Details[[#This Row],[X Mover]],NA())</f>
        <v>#N/A</v>
      </c>
      <c r="BB50" s="26" t="e">
        <f>IF(Table_Process_Details[[#This Row],[Display As]]="Raw Material",Table_Process_Details[[#This Row],[Y Mover]],NA())</f>
        <v>#N/A</v>
      </c>
      <c r="BC50" s="26" t="e">
        <f>IF(OR(Table_Process_Details[[#This Row],[Display As]]="Real Step",Table_Process_Details[[#This Row],[Display As]]="Raw Material"),Table_Process_Details[[#This Row],[X Mover]],NA())</f>
        <v>#N/A</v>
      </c>
      <c r="BD50" s="26" t="e">
        <f>IF(OR(Table_Process_Details[[#This Row],[Display As]]="Real Step",Table_Process_Details[[#This Row],[Display As]]="Raw Material"),Table_Process_Details[[#This Row],[Y Mover]],NA())</f>
        <v>#N/A</v>
      </c>
      <c r="BE50" s="22">
        <f>ROW()-ROW(Table_Process_Details[[#Headers],[Table Row]])</f>
        <v>46</v>
      </c>
      <c r="BF50" s="23" t="str" cm="1">
        <f t="array" aca="1" ref="BF50" ca="1">INDEX(Table_Process_Details[Display Name],MATCH(0,IF(Table_Process_Details[Input or Output]="Input",INDEX(COUNTIF(OFFSET(Table_Process_Details[[#Headers],[Unique Process Inputs]],0,0,Table_Process_Details[[#This Row],[Table Row]],1),Table_Process_Details[Display Name]),),""),0))</f>
        <v>0.3 M reagent L (organic) in water</v>
      </c>
      <c r="BG50" s="23">
        <f ca="1">Table_Process_Details[[#This Row],[Physical Mass (kg)]]*Table_Process_Details[[#This Row],[Step Scale Factor for 1kg Packaged API]]</f>
        <v>1.3980205111372708E-3</v>
      </c>
      <c r="BH5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0" s="23">
        <f ca="1">MATCH(Table_Process_Details[[#This Row],[LCA Data Source Class]],INDIRECT(Table_Process_Details[[#This Row],[Input or Output]]),0)</f>
        <v>6</v>
      </c>
      <c r="BJ50" s="23">
        <f ca="1">MATCH(Table_Process_Details[[#This Row],[LCA Data Source Subclass]],INDIRECT(Table_Process_Details[[#This Row],[LCA Data Source Class]]&amp;"[Name]"),0)</f>
        <v>1</v>
      </c>
      <c r="BK50" s="23">
        <f ca="1">IFERROR(INDEX(INDIRECT(Table_Process_Details[[#This Row],[LCA Data Source Class]]&amp;"[Mass Net (kg)]"),MATCH(Table_Process_Details[[#This Row],[LCA Data Source Subclass]],INDIRECT(Table_Process_Details[[#This Row],[LCA Data Source Class]]&amp;"[Name]"),0)),0)</f>
        <v>1.34</v>
      </c>
      <c r="BL50" s="23">
        <f ca="1">IFERROR(INDEX(INDIRECT(Table_Process_Details[[#This Row],[LCA Data Source Class]]&amp;"[Energy (MJ)]"),MATCH(Table_Process_Details[[#This Row],[LCA Data Source Subclass]],INDIRECT(Table_Process_Details[[#This Row],[LCA Data Source Class]]&amp;"[Name]"),0)),0)</f>
        <v>10.63</v>
      </c>
      <c r="BM50" s="23">
        <f ca="1">IFERROR(INDEX(INDIRECT(Table_Process_Details[[#This Row],[LCA Data Source Class]]&amp;"[GWP (kg CO2 equiv.)]"),MATCH(Table_Process_Details[[#This Row],[LCA Data Source Subclass]],INDIRECT(Table_Process_Details[[#This Row],[LCA Data Source Class]]&amp;"[Name]"),0)),0)</f>
        <v>1.3854</v>
      </c>
      <c r="BN50" s="23">
        <f ca="1">IFERROR(INDEX(INDIRECT(Table_Process_Details[[#This Row],[LCA Data Source Class]]&amp;"[Acidification (kg SO2 equiv.)]"),MATCH(Table_Process_Details[[#This Row],[LCA Data Source Subclass]],INDIRECT(Table_Process_Details[[#This Row],[LCA Data Source Class]]&amp;"[Name]"),0)),0)</f>
        <v>1.3899999999999999E-2</v>
      </c>
      <c r="BO50" s="23">
        <f ca="1">IFERROR(INDEX(INDIRECT(Table_Process_Details[[#This Row],[LCA Data Source Class]]&amp;"[Eutrophication (kg posphate equiv.)]"),MATCH(Table_Process_Details[[#This Row],[LCA Data Source Subclass]],INDIRECT(Table_Process_Details[[#This Row],[LCA Data Source Class]]&amp;"[Name]"),0)),0)</f>
        <v>6.9999999999999999E-4</v>
      </c>
      <c r="BP50" s="23">
        <f ca="1">IFERROR(INDEX(INDIRECT(Table_Process_Details[[#This Row],[LCA Data Source Class]]&amp;"[Water (kg)]"),MATCH(Table_Process_Details[[#This Row],[LCA Data Source Subclass]],INDIRECT(Table_Process_Details[[#This Row],[LCA Data Source Class]]&amp;"[Name]"),0)),0)</f>
        <v>0.69123000000000001</v>
      </c>
      <c r="BQ50" s="27">
        <f ca="1">(Table_Process_Details[[#This Row],[Input or Output]]="Input")*(Table_Process_Details[[#This Row],[LCA Data Source Class]]&lt;&gt;"Process_Steps")*Table_Process_Details[[#This Row],[Scaled Physical Mass per kg API for All Inputs &amp; Outputs]]</f>
        <v>1.3980205111372708E-3</v>
      </c>
      <c r="BR50" s="27">
        <f ca="1">(Table_Process_Details[[#This Row],[Material Class]]="REAGENT")*Table_Process_Details[[#This Row],[Physical Mass per kg API]]</f>
        <v>1.3980205111372708E-3</v>
      </c>
      <c r="BS50" s="27">
        <f ca="1">(Table_Process_Details[[#This Row],[Material Class]]="METAL")*Table_Process_Details[[#This Row],[Physical Mass per kg API]]</f>
        <v>0</v>
      </c>
      <c r="BT50" s="27">
        <f ca="1">(Table_Process_Details[[#This Row],[Material Class]]="SOLVENT")*Table_Process_Details[[#This Row],[Physical Mass per kg API]]</f>
        <v>0</v>
      </c>
      <c r="BU50" s="27">
        <f ca="1">(Table_Process_Details[[#This Row],[Material Class]]="WATER")*Table_Process_Details[[#This Row],[Physical Mass per kg API]]</f>
        <v>0</v>
      </c>
      <c r="BV50" s="27">
        <f ca="1">(Table_Process_Details[[#This Row],[Material Class]]="ENZ&amp;PLNT")*Table_Process_Details[[#This Row],[Physical Mass per kg API]]</f>
        <v>0</v>
      </c>
      <c r="BW50" s="27">
        <f ca="1">(Table_Process_Details[[#This Row],[Material Class]]="OTHER")*Table_Process_Details[[#This Row],[Physical Mass per kg API]]</f>
        <v>0</v>
      </c>
      <c r="BX5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5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0" s="1">
        <f ca="1">SUMIFS(Table_Process_Details[RV Physical Mass per kg API],Table_Process_Details[Display Name],Table_Process_Details[[#This Row],[Unique Process Inputs]],Table_Process_Details[Input or Output],"Input")</f>
        <v>3.853918150119291</v>
      </c>
      <c r="CF50" s="1">
        <f ca="1">SUMIFS(Table_Process_Details[RV Physical Mass per kg API (REAGENT)],Table_Process_Details[Display Name],Table_Process_Details[[#This Row],[Unique Process Inputs]],Table_Process_Details[Input or Output],"Input")</f>
        <v>1.1011194714626547</v>
      </c>
      <c r="CG50" s="1">
        <f ca="1">SUMIFS(Table_Process_Details[RV Physical Mass per kg API (METAL)],Table_Process_Details[Display Name],Table_Process_Details[[#This Row],[Unique Process Inputs]],Table_Process_Details[Input or Output],"Input")</f>
        <v>0</v>
      </c>
      <c r="CH50" s="1">
        <f ca="1">SUMIFS(Table_Process_Details[RV Physical Mass per kg API (SOLVENT)],Table_Process_Details[Display Name],Table_Process_Details[[#This Row],[Unique Process Inputs]],Table_Process_Details[Input or Output],"Input")</f>
        <v>0</v>
      </c>
      <c r="CI50" s="1">
        <f ca="1">SUMIFS(Table_Process_Details[RV Physical Mass per kg API (WATER)],Table_Process_Details[Display Name],Table_Process_Details[[#This Row],[Unique Process Inputs]],Table_Process_Details[Input or Output],"Input")</f>
        <v>2.7527986786566365</v>
      </c>
      <c r="CJ50" s="1">
        <f ca="1">SUMIFS(Table_Process_Details[RV Physical Mass per kg API (ENZ&amp;PLNT)],Table_Process_Details[Display Name],Table_Process_Details[[#This Row],[Unique Process Inputs]],Table_Process_Details[Input or Output],"Input")</f>
        <v>0</v>
      </c>
      <c r="CK50" s="1">
        <f ca="1">SUMIFS(Table_Process_Details[RV Physical Mass per kg API (OTHER)],Table_Process_Details[Display Name],Table_Process_Details[[#This Row],[Unique Process Inputs]],Table_Process_Details[Input or Output],"Input")</f>
        <v>0</v>
      </c>
      <c r="CL50" s="22" t="e">
        <f ca="1">INDEX(Table_Process_Details[Unique Process Inputs],MATCH(Table_Process_Details[[#This Row],['[Physical Mass per kg API'] of Unique Inputs Sorted by '[Physical Mass per kg API']]],Table_Process_Details[Total '[Physical Mass per kg API'] of Unique Inputs],0))</f>
        <v>#N/A</v>
      </c>
      <c r="CM50" s="22" t="e">
        <f ca="1">IF(LARGE(Table_Process_Details[Total '[Physical Mass per kg API'] of Unique Inputs],Table_Process_Details[[#This Row],[Table Row]])=0,NA(),LARGE(Table_Process_Details[Total '[Physical Mass per kg API'] of Unique Inputs],Table_Process_Details[[#This Row],[Table Row]]))</f>
        <v>#N/A</v>
      </c>
      <c r="CN50" s="22" t="e">
        <f ca="1">SUM(OFFSET(Table_Process_Details['[Physical Mass per kg API'] of Unique Inputs Sorted by '[Physical Mass per kg API']],0,0,Table_Process_Details[[#This Row],[Table Row]]))</f>
        <v>#N/A</v>
      </c>
      <c r="CO50" s="22" t="e">
        <f ca="1">"("&amp;TEXT(Table_Process_Details[[#This Row],['[Physical Mass per kg API'] of Unique Inputs Sorted by '[Physical Mass per kg API']]]/SUMIF(Table_Process_Details['[Physical Mass per kg API'] of Unique Inputs Sorted by '[Physical Mass per kg API']],"&lt;&gt;#N/A"),"0%")&amp;")"</f>
        <v>#N/A</v>
      </c>
      <c r="CP50" s="22" t="e">
        <f ca="1">INDEX(Table_Process_Details[Total '[Physical Mass per kg API'] of Unique Inputs (REAGENT)],MATCH(Table_Process_Details[[#This Row],[Unique Inputs Sorted by '[Physical Mass per kg API']]],Table_Process_Details[Unique Process Inputs],0))</f>
        <v>#N/A</v>
      </c>
      <c r="CQ50" s="22" t="e">
        <f ca="1">INDEX(Table_Process_Details[Total '[Physical Mass per kg API'] of Unique Inputs (METAL)],MATCH(Table_Process_Details[[#This Row],[Unique Inputs Sorted by '[Physical Mass per kg API']]],Table_Process_Details[Unique Process Inputs],0))</f>
        <v>#N/A</v>
      </c>
      <c r="CR50" s="22" t="e">
        <f ca="1">INDEX(Table_Process_Details[Total '[Physical Mass per kg API'] of Unique Inputs (SOLVENT)],MATCH(Table_Process_Details[[#This Row],[Unique Inputs Sorted by '[Physical Mass per kg API']]],Table_Process_Details[Unique Process Inputs],0))</f>
        <v>#N/A</v>
      </c>
      <c r="CS50" s="22" t="e">
        <f ca="1">INDEX(Table_Process_Details[Total '[Physical Mass per kg API'] of Unique Inputs (WATER)],MATCH(Table_Process_Details[[#This Row],[Unique Inputs Sorted by '[Physical Mass per kg API']]],Table_Process_Details[Unique Process Inputs],0))</f>
        <v>#N/A</v>
      </c>
      <c r="CT50" s="22" t="e">
        <f ca="1">INDEX(Table_Process_Details[Total '[Physical Mass per kg API'] of Unique Inputs (ENZ&amp;PLNT)],MATCH(Table_Process_Details[[#This Row],[Unique Inputs Sorted by '[Physical Mass per kg API']]],Table_Process_Details[Unique Process Inputs],0))</f>
        <v>#N/A</v>
      </c>
      <c r="CU50" s="22" t="e">
        <f ca="1">INDEX(Table_Process_Details[Total '[Physical Mass per kg API'] of Unique Inputs (OTHER)],MATCH(Table_Process_Details[[#This Row],[Unique Inputs Sorted by '[Physical Mass per kg API']]],Table_Process_Details[Unique Process Inputs],0))</f>
        <v>#N/A</v>
      </c>
      <c r="CV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0" s="22">
        <f ca="1">SUMIFS(Table_Process_Details[RV Mass Net (kg) per kg API],Table_Process_Details[Display Name],Table_Process_Details[[#This Row],[Unique Process Inputs]],Table_Process_Details[Input or Output],"Input")</f>
        <v>2.3012807641798747</v>
      </c>
      <c r="DD50" s="22">
        <f ca="1">SUMIFS(Table_Process_Details[RV Mass Net (kg) per kg API (REAGENT)],Table_Process_Details[Display Name],Table_Process_Details[[#This Row],[Unique Process Inputs]],Table_Process_Details[Input or Output],"Input")</f>
        <v>2.2970682518840406</v>
      </c>
      <c r="DE50" s="22">
        <f ca="1">SUMIFS(Table_Process_Details[RV Mass Net (kg) per kg API (METAL)],Table_Process_Details[Display Name],Table_Process_Details[[#This Row],[Unique Process Inputs]],Table_Process_Details[Input or Output],"Input")</f>
        <v>0</v>
      </c>
      <c r="DF50" s="22">
        <f ca="1">SUMIFS(Table_Process_Details[RV Mass Net (kg) per kg API (SOLVENT)],Table_Process_Details[Display Name],Table_Process_Details[[#This Row],[Unique Process Inputs]],Table_Process_Details[Input or Output],"Input")</f>
        <v>0</v>
      </c>
      <c r="DG50" s="22">
        <f ca="1">SUMIFS(Table_Process_Details[RV Mass Net (kg) per kg API (WATER)],Table_Process_Details[Display Name],Table_Process_Details[[#This Row],[Unique Process Inputs]],Table_Process_Details[Input or Output],"Input")</f>
        <v>4.212512295834101E-3</v>
      </c>
      <c r="DH50" s="22">
        <f ca="1">SUMIFS(Table_Process_Details[RV Mass Net (kg) per kg API (ENZ&amp;PLNT)],Table_Process_Details[Display Name],Table_Process_Details[[#This Row],[Unique Process Inputs]],Table_Process_Details[Input or Output],"Input")</f>
        <v>0</v>
      </c>
      <c r="DI50" s="22">
        <f ca="1">SUMIFS(Table_Process_Details[RV Mass Net (kg) per kg API (OTHER)],Table_Process_Details[Display Name],Table_Process_Details[[#This Row],[Unique Process Inputs]],Table_Process_Details[Input or Output],"Input")</f>
        <v>0</v>
      </c>
      <c r="DJ50" s="22" t="e">
        <f ca="1">INDEX(Table_Process_Details[Unique Process Inputs],MATCH(Table_Process_Details[[#This Row],['[Mass Net (kg) per kg API'] of Unique Inputs Sorted by '[Mass Net (kg) per kg API']]],Table_Process_Details[Total '[Mass Net (kg) per kg API'] of Unique Inputs],0))</f>
        <v>#N/A</v>
      </c>
      <c r="DK50" s="22" t="e">
        <f ca="1">IF(LARGE(Table_Process_Details[Total '[Mass Net (kg) per kg API'] of Unique Inputs],Table_Process_Details[[#This Row],[Table Row]])=0,NA(),LARGE(Table_Process_Details[Total '[Mass Net (kg) per kg API'] of Unique Inputs],Table_Process_Details[[#This Row],[Table Row]]))</f>
        <v>#N/A</v>
      </c>
      <c r="DL50" s="22" t="e">
        <f ca="1">SUM(OFFSET(Table_Process_Details['[Mass Net (kg) per kg API'] of Unique Inputs Sorted by '[Mass Net (kg) per kg API']],0,0,Table_Process_Details[[#This Row],[Table Row]]))</f>
        <v>#N/A</v>
      </c>
      <c r="DM50" s="22" t="e">
        <f ca="1">"("&amp;TEXT(Table_Process_Details[[#This Row],['[Mass Net (kg) per kg API'] of Unique Inputs Sorted by '[Mass Net (kg) per kg API']]]/SUMIF(Table_Process_Details['[Mass Net (kg) per kg API'] of Unique Inputs Sorted by '[Mass Net (kg) per kg API']],"&lt;&gt;#N/A"),"0%")&amp;")"</f>
        <v>#N/A</v>
      </c>
      <c r="DN50" s="22" t="e">
        <f ca="1">INDEX(Table_Process_Details[Total '[Mass Net (kg) per kg API'] of Unique Inputs (REAGENT)], MATCH(Table_Process_Details[[#This Row],[Unique Inputs Sorted by '[Mass Net (kg) per kg API']]],Table_Process_Details[Unique Process Inputs],0))</f>
        <v>#N/A</v>
      </c>
      <c r="DO50" s="22" t="e">
        <f ca="1">INDEX(Table_Process_Details[Total '[Mass Net (kg) per kg API'] of Unique Inputs (METAL)], MATCH(Table_Process_Details[[#This Row],[Unique Inputs Sorted by '[Mass Net (kg) per kg API']]],Table_Process_Details[Unique Process Inputs],0))</f>
        <v>#N/A</v>
      </c>
      <c r="DP50" s="22" t="e">
        <f ca="1">INDEX(Table_Process_Details[Total '[Mass Net (kg) per kg API'] of Unique Inputs (SOLVENT)], MATCH(Table_Process_Details[[#This Row],[Unique Inputs Sorted by '[Mass Net (kg) per kg API']]],Table_Process_Details[Unique Process Inputs],0))</f>
        <v>#N/A</v>
      </c>
      <c r="DQ50" s="22" t="e">
        <f ca="1">INDEX(Table_Process_Details[Total '[Mass Net (kg) per kg API'] of Unique Inputs (WATER)], MATCH(Table_Process_Details[[#This Row],[Unique Inputs Sorted by '[Mass Net (kg) per kg API']]],Table_Process_Details[Unique Process Inputs],0))</f>
        <v>#N/A</v>
      </c>
      <c r="DR50" s="22" t="e">
        <f ca="1">INDEX(Table_Process_Details[Total '[Mass Net (kg) per kg API'] of Unique Inputs (ENZ&amp;PLNT)], MATCH(Table_Process_Details[[#This Row],[Unique Inputs Sorted by '[Mass Net (kg) per kg API']]],Table_Process_Details[Unique Process Inputs],0))</f>
        <v>#N/A</v>
      </c>
      <c r="DS50" s="22" t="e">
        <f ca="1">INDEX(Table_Process_Details[Total '[Mass Net (kg) per kg API'] of Unique Inputs (OTHER)], MATCH(Table_Process_Details[[#This Row],[Unique Inputs Sorted by '[Mass Net (kg) per kg API']]],Table_Process_Details[Unique Process Inputs],0))</f>
        <v>#N/A</v>
      </c>
      <c r="DT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0" s="1">
        <f ca="1">SUMIFS(Table_Process_Details[RV Energy (MJ) per kg API],Table_Process_Details[Display Name],Table_Process_Details[[#This Row],[Unique Process Inputs]],Table_Process_Details[Input or Output],"Input")</f>
        <v>82.490292633037214</v>
      </c>
      <c r="EB50" s="1">
        <f ca="1">SUMIFS(Table_Process_Details[RV Energy (MJ) per kg API (REAGENT)],Table_Process_Details[Display Name],Table_Process_Details[[#This Row],[Unique Process Inputs]],Table_Process_Details[Input or Output],"Input")</f>
        <v>82.437829267282027</v>
      </c>
      <c r="EC50" s="1">
        <f ca="1">SUMIFS(Table_Process_Details[RV Energy (MJ) per kg API (METAL)],Table_Process_Details[Display Name],Table_Process_Details[[#This Row],[Unique Process Inputs]],Table_Process_Details[Input or Output],"Input")</f>
        <v>0</v>
      </c>
      <c r="ED50" s="1">
        <f ca="1">SUMIFS(Table_Process_Details[RV Energy (MJ) per kg API (SOLVENT)],Table_Process_Details[Display Name],Table_Process_Details[[#This Row],[Unique Process Inputs]],Table_Process_Details[Input or Output],"Input")</f>
        <v>0</v>
      </c>
      <c r="EE50" s="1">
        <f ca="1">SUMIFS(Table_Process_Details[RV Energy (MJ) per kg API (WATER)],Table_Process_Details[Display Name],Table_Process_Details[[#This Row],[Unique Process Inputs]],Table_Process_Details[Input or Output],"Input")</f>
        <v>5.2463365755184482E-2</v>
      </c>
      <c r="EF50" s="1">
        <f ca="1">SUMIFS(Table_Process_Details[RV Energy (MJ) per kg API (ENZ&amp;PLNT)],Table_Process_Details[Display Name],Table_Process_Details[[#This Row],[Unique Process Inputs]],Table_Process_Details[Input or Output],"Input")</f>
        <v>0</v>
      </c>
      <c r="EG50" s="1">
        <f ca="1">SUMIFS(Table_Process_Details[RV Energy (MJ) per kg API (OTHER)],Table_Process_Details[Display Name],Table_Process_Details[[#This Row],[Unique Process Inputs]],Table_Process_Details[Input or Output],"Input")</f>
        <v>0</v>
      </c>
      <c r="EH50" s="1" t="e">
        <f ca="1">INDEX(Table_Process_Details[Unique Process Inputs],MATCH(Table_Process_Details[[#This Row],['[Energy (MJ) per kg API'] of Unique Inputs Sorted by '[Energy (MJ) per kg API']]],Table_Process_Details[Total '[Energy (MJ) per kg API'] of Unique Inputs],0))</f>
        <v>#N/A</v>
      </c>
      <c r="EI50" s="22" t="e">
        <f ca="1">IF(LARGE(Table_Process_Details[Total '[Energy (MJ) per kg API'] of Unique Inputs],Table_Process_Details[[#This Row],[Table Row]])=0,NA(),LARGE(Table_Process_Details[Total '[Energy (MJ) per kg API'] of Unique Inputs],Table_Process_Details[[#This Row],[Table Row]]))</f>
        <v>#N/A</v>
      </c>
      <c r="EJ50" s="22" t="e">
        <f ca="1">SUM(OFFSET(Table_Process_Details['[Energy (MJ) per kg API'] of Unique Inputs Sorted by '[Energy (MJ) per kg API']],0,0,Table_Process_Details[[#This Row],[Table Row]]))</f>
        <v>#N/A</v>
      </c>
      <c r="EK50" s="22" t="e">
        <f ca="1">"("&amp;TEXT(Table_Process_Details[[#This Row],['[Energy (MJ) per kg API'] of Unique Inputs Sorted by '[Energy (MJ) per kg API']]]/SUMIF(Table_Process_Details['[Energy (MJ) per kg API'] of Unique Inputs Sorted by '[Energy (MJ) per kg API']],"&lt;&gt;#N/A"),"0%")&amp;")"</f>
        <v>#N/A</v>
      </c>
      <c r="EL50" s="22" t="e">
        <f ca="1">INDEX(Table_Process_Details[Total '[Energy (MJ) per kg API'] of Unique Inputs (REAGENT)], MATCH(Table_Process_Details[[#This Row],[Unique Inputs Sorted by '[Energy (MJ) per kg API']]],Table_Process_Details[Unique Process Inputs],0))</f>
        <v>#N/A</v>
      </c>
      <c r="EM50" s="22" t="e">
        <f ca="1">INDEX(Table_Process_Details[Total '[Energy (MJ) per kg API'] of Unique Inputs (METAL)], MATCH(Table_Process_Details[[#This Row],[Unique Inputs Sorted by '[Energy (MJ) per kg API']]],Table_Process_Details[Unique Process Inputs],0))</f>
        <v>#N/A</v>
      </c>
      <c r="EN50" s="22" t="e">
        <f ca="1">INDEX(Table_Process_Details[Total '[Energy (MJ) per kg API'] of Unique Inputs (SOLVENT)], MATCH(Table_Process_Details[[#This Row],[Unique Inputs Sorted by '[Energy (MJ) per kg API']]],Table_Process_Details[Unique Process Inputs],0))</f>
        <v>#N/A</v>
      </c>
      <c r="EO50" s="22" t="e">
        <f ca="1">INDEX(Table_Process_Details[Total '[Energy (MJ) per kg API'] of Unique Inputs (WATER)], MATCH(Table_Process_Details[[#This Row],[Unique Inputs Sorted by '[Energy (MJ) per kg API']]],Table_Process_Details[Unique Process Inputs],0))</f>
        <v>#N/A</v>
      </c>
      <c r="EP50" s="22" t="e">
        <f ca="1">INDEX(Table_Process_Details[Total '[Energy (MJ) per kg API'] of Unique Inputs (ENZ&amp;PLNT)], MATCH(Table_Process_Details[[#This Row],[Unique Inputs Sorted by '[Energy (MJ) per kg API']]],Table_Process_Details[Unique Process Inputs],0))</f>
        <v>#N/A</v>
      </c>
      <c r="EQ50" s="22" t="e">
        <f ca="1">INDEX(Table_Process_Details[Total '[Energy (MJ) per kg API'] of Unique Inputs (OTHER)], MATCH(Table_Process_Details[[#This Row],[Unique Inputs Sorted by '[Energy (MJ) per kg API']]],Table_Process_Details[Unique Process Inputs],0))</f>
        <v>#N/A</v>
      </c>
      <c r="ER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0" s="22">
        <f ca="1">SUMIFS(Table_Process_Details[RV GWP (kg CO2 equiv.) per kg API],Table_Process_Details[Display Name],Table_Process_Details[[#This Row],[Unique Process Inputs]],Table_Process_Details[Input or Output],"Input")</f>
        <v>2.8925779895097667</v>
      </c>
      <c r="EZ50" s="1">
        <f ca="1">SUMIFS(Table_Process_Details[RV GWP (kg CO2 equiv.) per kg API (REAGENT)],Table_Process_Details[Display Name],Table_Process_Details[[#This Row],[Unique Process Inputs]],Table_Process_Details[Input or Output],"Input")</f>
        <v>2.8897818562743107</v>
      </c>
      <c r="FA50" s="1">
        <f ca="1">SUMIFS(Table_Process_Details[RV GWP (kg CO2 equiv.) per kg API (METAL)],Table_Process_Details[Display Name],Table_Process_Details[[#This Row],[Unique Process Inputs]],Table_Process_Details[Input or Output],"Input")</f>
        <v>0</v>
      </c>
      <c r="FB50" s="1">
        <f ca="1">SUMIFS(Table_Process_Details[RV GWP (kg CO2 equiv.) per kg API (SOLVENT)],Table_Process_Details[Display Name],Table_Process_Details[[#This Row],[Unique Process Inputs]],Table_Process_Details[Input or Output],"Input")</f>
        <v>0</v>
      </c>
      <c r="FC50" s="1">
        <f ca="1">SUMIFS(Table_Process_Details[RV GWP (kg CO2 equiv.) per kg API (WATER)],Table_Process_Details[Display Name],Table_Process_Details[[#This Row],[Unique Process Inputs]],Table_Process_Details[Input or Output],"Input")</f>
        <v>2.7961332354560497E-3</v>
      </c>
      <c r="FD50" s="1">
        <f ca="1">SUMIFS(Table_Process_Details[RV GWP (kg CO2 equiv.) per kg API (ENZ&amp;PLNT)],Table_Process_Details[Display Name],Table_Process_Details[[#This Row],[Unique Process Inputs]],Table_Process_Details[Input or Output],"Input")</f>
        <v>0</v>
      </c>
      <c r="FE50" s="1">
        <f ca="1">SUMIFS(Table_Process_Details[RV GWP (kg CO2 equiv.) per kg API (OTHER)],Table_Process_Details[Display Name],Table_Process_Details[[#This Row],[Unique Process Inputs]],Table_Process_Details[Input or Output],"Input")</f>
        <v>0</v>
      </c>
      <c r="FF50" s="22" t="e">
        <f ca="1">INDEX(Table_Process_Details[Unique Process Inputs],MATCH(Table_Process_Details[[#This Row],['[GWP (kg CO2 equiv.) per kg API'] of Unique Inputs Sorted by '[GWP (kg CO2 equiv.) per kg API']]],Table_Process_Details[Total '[GWP (kg CO2 equiv.) per kg API'] of Unique Inputs],0))</f>
        <v>#N/A</v>
      </c>
      <c r="FG50" s="22" t="e">
        <f ca="1">IF(LARGE(Table_Process_Details[Total '[GWP (kg CO2 equiv.) per kg API'] of Unique Inputs],Table_Process_Details[[#This Row],[Table Row]])=0,NA(),LARGE(Table_Process_Details[Total '[GWP (kg CO2 equiv.) per kg API'] of Unique Inputs],Table_Process_Details[[#This Row],[Table Row]]))</f>
        <v>#N/A</v>
      </c>
      <c r="FH50" s="22" t="e">
        <f ca="1">SUM(OFFSET(Table_Process_Details['[GWP (kg CO2 equiv.) per kg API'] of Unique Inputs Sorted by '[GWP (kg CO2 equiv.) per kg API']],0,0,Table_Process_Details[[#This Row],[Table Row]]))</f>
        <v>#N/A</v>
      </c>
      <c r="FI50" s="22" t="e">
        <f ca="1">"("&amp;TEXT(Table_Process_Details[[#This Row],['[GWP (kg CO2 equiv.) per kg API'] of Unique Inputs Sorted by '[GWP (kg CO2 equiv.) per kg API']]]/SUMIF(Table_Process_Details['[GWP (kg CO2 equiv.) per kg API'] of Unique Inputs Sorted by '[GWP (kg CO2 equiv.) per kg API']],"&lt;&gt;#N/A"),"0%")&amp;")"</f>
        <v>#N/A</v>
      </c>
      <c r="FJ50" s="22" t="e">
        <f ca="1">INDEX(Table_Process_Details[Total '[GWP (kg CO2 equiv.) per kg API'] of Unique Inputs (REAGENT)], MATCH(Table_Process_Details[[#This Row],[Unique Inputs Sorted by '[GWP (kg CO2 equiv.) per kg API']]],Table_Process_Details[Unique Process Inputs],0))</f>
        <v>#N/A</v>
      </c>
      <c r="FK50" s="22" t="e">
        <f ca="1">INDEX(Table_Process_Details[Total '[GWP (kg CO2 equiv.) per kg API'] of Unique Inputs (METAL)], MATCH(Table_Process_Details[[#This Row],[Unique Inputs Sorted by '[GWP (kg CO2 equiv.) per kg API']]],Table_Process_Details[Unique Process Inputs],0))</f>
        <v>#N/A</v>
      </c>
      <c r="FL50" s="22" t="e">
        <f ca="1">INDEX(Table_Process_Details[Total '[GWP (kg CO2 equiv.) per kg API'] of Unique Inputs (SOLVENT)], MATCH(Table_Process_Details[[#This Row],[Unique Inputs Sorted by '[GWP (kg CO2 equiv.) per kg API']]],Table_Process_Details[Unique Process Inputs],0))</f>
        <v>#N/A</v>
      </c>
      <c r="FM50" s="22" t="e">
        <f ca="1">INDEX(Table_Process_Details[Total '[GWP (kg CO2 equiv.) per kg API'] of Unique Inputs (WATER)], MATCH(Table_Process_Details[[#This Row],[Unique Inputs Sorted by '[GWP (kg CO2 equiv.) per kg API']]],Table_Process_Details[Unique Process Inputs],0))</f>
        <v>#N/A</v>
      </c>
      <c r="FN50" s="22" t="e">
        <f ca="1">INDEX(Table_Process_Details[Total '[GWP (kg CO2 equiv.) per kg API'] of Unique Inputs (ENZ&amp;PLNT)], MATCH(Table_Process_Details[[#This Row],[Unique Inputs Sorted by '[GWP (kg CO2 equiv.) per kg API']]],Table_Process_Details[Unique Process Inputs],0))</f>
        <v>#N/A</v>
      </c>
      <c r="FO50" s="22" t="e">
        <f ca="1">INDEX(Table_Process_Details[Total '[GWP (kg CO2 equiv.) per kg API'] of Unique Inputs (OTHER)], MATCH(Table_Process_Details[[#This Row],[Unique Inputs Sorted by '[GWP (kg CO2 equiv.) per kg API']]],Table_Process_Details[Unique Process Inputs],0))</f>
        <v>#N/A</v>
      </c>
      <c r="FP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0" s="22">
        <f ca="1">SUMIFS(Table_Process_Details[RV Acidification (kg SO2 equiv.) per kg API],Table_Process_Details[Display Name],Table_Process_Details[[#This Row],[Unique Process Inputs]],Table_Process_Details[Input or Output],"Input")</f>
        <v>1.2368701410587333E-2</v>
      </c>
      <c r="FX50" s="1">
        <f ca="1">SUMIFS(Table_Process_Details[RV Acidification (kg SO2 equiv.) per kg API (REAGENT)],Table_Process_Details[Display Name],Table_Process_Details[[#This Row],[Unique Process Inputs]],Table_Process_Details[Input or Output],"Input")</f>
        <v>1.2357989073461254E-2</v>
      </c>
      <c r="FY50" s="1">
        <f ca="1">SUMIFS(Table_Process_Details[RV Acidification (kg SO2 equiv.) per kg API (METAL)],Table_Process_Details[Display Name],Table_Process_Details[[#This Row],[Unique Process Inputs]],Table_Process_Details[Input or Output],"Input")</f>
        <v>0</v>
      </c>
      <c r="FZ50" s="1">
        <f ca="1">SUMIFS(Table_Process_Details[RV Acidification (kg SO2 equiv.) per kg API (SOLVENT)],Table_Process_Details[Display Name],Table_Process_Details[[#This Row],[Unique Process Inputs]],Table_Process_Details[Input or Output],"Input")</f>
        <v>0</v>
      </c>
      <c r="GA50" s="1">
        <f ca="1">SUMIFS(Table_Process_Details[RV Acidification (kg SO2 equiv.) per kg API (WATER)],Table_Process_Details[Display Name],Table_Process_Details[[#This Row],[Unique Process Inputs]],Table_Process_Details[Input or Output],"Input")</f>
        <v>1.0712337126078188E-5</v>
      </c>
      <c r="GB50" s="1">
        <f ca="1">SUMIFS(Table_Process_Details[RV Acidification (kg SO2 equiv.) per kg API (ENZ&amp;PLNT)],Table_Process_Details[Display Name],Table_Process_Details[[#This Row],[Unique Process Inputs]],Table_Process_Details[Input or Output],"Input")</f>
        <v>0</v>
      </c>
      <c r="GC50" s="1">
        <f ca="1">SUMIFS(Table_Process_Details[RV Acidification (kg SO2 equiv.) per kg API (OTHER)],Table_Process_Details[Display Name],Table_Process_Details[[#This Row],[Unique Process Inputs]],Table_Process_Details[Input or Output],"Input")</f>
        <v>0</v>
      </c>
      <c r="GD5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0" s="22" t="e">
        <f ca="1">SUM(OFFSET(Table_Process_Details['[Acidification (kg SO2 equiv.) per kg API'] of Unique Inputs Sorted by '[Acidification (kg SO2 equiv.) per kg API']],0,0,Table_Process_Details[[#This Row],[Table Row]]))</f>
        <v>#N/A</v>
      </c>
      <c r="GG5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0" s="22" t="e">
        <f ca="1">INDEX(Table_Process_Details[Total '[Acidification (kg SO2 equiv.) per kg API'] of Unique Inputs (REAGENT)], MATCH(Table_Process_Details[[#This Row],[Unique Inputs Sorted by '[Acidification (kg SO2 equiv.) per kg API']]],Table_Process_Details[Unique Process Inputs],0))</f>
        <v>#N/A</v>
      </c>
      <c r="GI50" s="22" t="e">
        <f ca="1">INDEX(Table_Process_Details[Total '[Acidification (kg SO2 equiv.) per kg API'] of Unique Inputs (METAL)], MATCH(Table_Process_Details[[#This Row],[Unique Inputs Sorted by '[Acidification (kg SO2 equiv.) per kg API']]],Table_Process_Details[Unique Process Inputs],0))</f>
        <v>#N/A</v>
      </c>
      <c r="GJ50" s="22" t="e">
        <f ca="1">INDEX(Table_Process_Details[Total '[Acidification (kg SO2 equiv.) per kg API'] of Unique Inputs (SOLVENT)], MATCH(Table_Process_Details[[#This Row],[Unique Inputs Sorted by '[Acidification (kg SO2 equiv.) per kg API']]],Table_Process_Details[Unique Process Inputs],0))</f>
        <v>#N/A</v>
      </c>
      <c r="GK50" s="22" t="e">
        <f ca="1">INDEX(Table_Process_Details[Total '[Acidification (kg SO2 equiv.) per kg API'] of Unique Inputs (WATER)], MATCH(Table_Process_Details[[#This Row],[Unique Inputs Sorted by '[Acidification (kg SO2 equiv.) per kg API']]],Table_Process_Details[Unique Process Inputs],0))</f>
        <v>#N/A</v>
      </c>
      <c r="GL50" s="22" t="e">
        <f ca="1">INDEX(Table_Process_Details[Total '[Acidification (kg SO2 equiv.) per kg API'] of Unique Inputs (ENZ&amp;PLNT)], MATCH(Table_Process_Details[[#This Row],[Unique Inputs Sorted by '[Acidification (kg SO2 equiv.) per kg API']]],Table_Process_Details[Unique Process Inputs],0))</f>
        <v>#N/A</v>
      </c>
      <c r="GM50" s="22" t="e">
        <f ca="1">INDEX(Table_Process_Details[Total '[Acidification (kg SO2 equiv.) per kg API'] of Unique Inputs (OTHER)], MATCH(Table_Process_Details[[#This Row],[Unique Inputs Sorted by '[Acidification (kg SO2 equiv.) per kg API']]],Table_Process_Details[Unique Process Inputs],0))</f>
        <v>#N/A</v>
      </c>
      <c r="GN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0" s="22">
        <f ca="1">SUMIFS(Table_Process_Details[RV Eutrophication (kg phosphate equiv.) per kg API],Table_Process_Details[Display Name],Table_Process_Details[[#This Row],[Unique Process Inputs]],Table_Process_Details[Input or Output],"Input")</f>
        <v>9.9015405168808805E-3</v>
      </c>
      <c r="GV50" s="1">
        <f ca="1">SUMIFS(Table_Process_Details[RV Eutrophication (kg phosphate equiv.) per kg API (REAGENT)],Table_Process_Details[Display Name],Table_Process_Details[[#This Row],[Unique Process Inputs]],Table_Process_Details[Input or Output],"Input")</f>
        <v>9.8951590632196575E-3</v>
      </c>
      <c r="GW50" s="1">
        <f ca="1">SUMIFS(Table_Process_Details[RV Eutrophication (kg phosphate equiv.) per kg API (METAL)],Table_Process_Details[Display Name],Table_Process_Details[[#This Row],[Unique Process Inputs]],Table_Process_Details[Input or Output],"Input")</f>
        <v>0</v>
      </c>
      <c r="GX50" s="1">
        <f ca="1">SUMIFS(Table_Process_Details[RV Eutrophication (kg phosphate equiv.) per kg API (SOLVENT)],Table_Process_Details[Display Name],Table_Process_Details[[#This Row],[Unique Process Inputs]],Table_Process_Details[Input or Output],"Input")</f>
        <v>0</v>
      </c>
      <c r="GY50" s="1">
        <f ca="1">SUMIFS(Table_Process_Details[RV Eutrophication (kg phosphate equiv.) per kg API (WATER)],Table_Process_Details[Display Name],Table_Process_Details[[#This Row],[Unique Process Inputs]],Table_Process_Details[Input or Output],"Input")</f>
        <v>6.3814536612222489E-6</v>
      </c>
      <c r="GZ50" s="1">
        <f ca="1">SUMIFS(Table_Process_Details[RV Eutrophication (kg phosphate equiv.) per kg API (ENZ&amp;PLNT)],Table_Process_Details[Display Name],Table_Process_Details[[#This Row],[Unique Process Inputs]],Table_Process_Details[Input or Output],"Input")</f>
        <v>0</v>
      </c>
      <c r="HA50" s="1">
        <f ca="1">SUMIFS(Table_Process_Details[RV Eutrophication (kg phosphate equiv.) per kg API (OTHER)],Table_Process_Details[Display Name],Table_Process_Details[[#This Row],[Unique Process Inputs]],Table_Process_Details[Input or Output],"Input")</f>
        <v>0</v>
      </c>
      <c r="HB5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0" s="22" t="e">
        <f ca="1">SUM(OFFSET(Table_Process_Details['[Eutrophication (kg posphate equiv.) per kg API'] of Unique Inputs Sorted by '[Eutrophication (kg posphate equiv.) per kg API']],0,0,Table_Process_Details[[#This Row],[Table Row]]))</f>
        <v>#N/A</v>
      </c>
      <c r="HE5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0" s="1" t="e">
        <f ca="1">INDEX(Table_Process_Details[Total '[Eutrophication (kg posphate equiv.) per kg API'] of Unique Inputs (REAGENT)], MATCH(Table_Process_Details[[#This Row],[Unique Inputs Sorted by '[Eutrophication (kg posphate equiv.) per kg API']]],Table_Process_Details[Unique Process Inputs],0))</f>
        <v>#N/A</v>
      </c>
      <c r="HG50" s="1" t="e">
        <f ca="1">INDEX(Table_Process_Details[Total '[Eutrophication (kg posphate equiv.) per kg API'] of Unique Inputs (METAL)], MATCH(Table_Process_Details[[#This Row],[Unique Inputs Sorted by '[Eutrophication (kg posphate equiv.) per kg API']]],Table_Process_Details[Unique Process Inputs],0))</f>
        <v>#N/A</v>
      </c>
      <c r="HH50" s="1" t="e">
        <f ca="1">INDEX(Table_Process_Details[Total '[Eutrophication (kg posphate equiv.) per kg API'] of Unique Inputs (SOLVENT)], MATCH(Table_Process_Details[[#This Row],[Unique Inputs Sorted by '[Eutrophication (kg posphate equiv.) per kg API']]],Table_Process_Details[Unique Process Inputs],0))</f>
        <v>#N/A</v>
      </c>
      <c r="HI50" s="1" t="e">
        <f ca="1">INDEX(Table_Process_Details[Total '[Eutrophication (kg posphate equiv.) per kg API'] of Unique Inputs (WATER)], MATCH(Table_Process_Details[[#This Row],[Unique Inputs Sorted by '[Eutrophication (kg posphate equiv.) per kg API']]],Table_Process_Details[Unique Process Inputs],0))</f>
        <v>#N/A</v>
      </c>
      <c r="HJ50" s="1" t="e">
        <f ca="1">INDEX(Table_Process_Details[Total '[Eutrophication (kg posphate equiv.) per kg API'] of Unique Inputs (ENZ&amp;PLNT)], MATCH(Table_Process_Details[[#This Row],[Unique Inputs Sorted by '[Eutrophication (kg posphate equiv.) per kg API']]],Table_Process_Details[Unique Process Inputs],0))</f>
        <v>#N/A</v>
      </c>
      <c r="HK50" s="1" t="e">
        <f ca="1">INDEX(Table_Process_Details[Total '[Eutrophication (kg posphate equiv.) per kg API'] of Unique Inputs (OTHER)], MATCH(Table_Process_Details[[#This Row],[Unique Inputs Sorted by '[Eutrophication (kg posphate equiv.) per kg API']]],Table_Process_Details[Unique Process Inputs],0))</f>
        <v>#N/A</v>
      </c>
      <c r="HL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0" s="1">
        <f ca="1">SUMIFS(Table_Process_Details[RV Water (kg) per kg API],Table_Process_Details[Display Name],Table_Process_Details[[#This Row],[Unique Process Inputs]],Table_Process_Details[Input or Output],"Input")</f>
        <v>19.659047841687453</v>
      </c>
      <c r="HT50" s="1">
        <f ca="1">SUMIFS(Table_Process_Details[RV Water (kg) per kg API (REAGENT)],Table_Process_Details[Display Name],Table_Process_Details[[#This Row],[Unique Process Inputs]],Table_Process_Details[Input or Output],"Input")</f>
        <v>16.181302108525401</v>
      </c>
      <c r="HU50" s="1">
        <f ca="1">SUMIFS(Table_Process_Details[RV Water (kg) per kg API (METAL)],Table_Process_Details[Display Name],Table_Process_Details[[#This Row],[Unique Process Inputs]],Table_Process_Details[Input or Output],"Input")</f>
        <v>0</v>
      </c>
      <c r="HV50" s="1">
        <f ca="1">SUMIFS(Table_Process_Details[RV Water (kg) per kg API (SOLVENT)],Table_Process_Details[Display Name],Table_Process_Details[[#This Row],[Unique Process Inputs]],Table_Process_Details[Input or Output],"Input")</f>
        <v>0</v>
      </c>
      <c r="HW50" s="1">
        <f ca="1">SUMIFS(Table_Process_Details[RV Water (kg) per kg API (WATER)],Table_Process_Details[Display Name],Table_Process_Details[[#This Row],[Unique Process Inputs]],Table_Process_Details[Input or Output],"Input")</f>
        <v>3.4777457331620512</v>
      </c>
      <c r="HX50" s="1">
        <f ca="1">SUMIFS(Table_Process_Details[RV Water (kg) per kg API (ENZ&amp;PLNT)],Table_Process_Details[Display Name],Table_Process_Details[[#This Row],[Unique Process Inputs]],Table_Process_Details[Input or Output],"Input")</f>
        <v>0</v>
      </c>
      <c r="HY50" s="1">
        <f ca="1">SUMIFS(Table_Process_Details[RV Water (kg) per kg API (OTHER)],Table_Process_Details[Display Name],Table_Process_Details[[#This Row],[Unique Process Inputs]],Table_Process_Details[Input or Output],"Input")</f>
        <v>0</v>
      </c>
      <c r="HZ50" s="22" t="e">
        <f ca="1">INDEX(Table_Process_Details[Unique Process Inputs],MATCH(Table_Process_Details[[#This Row],['[Water (kg) per kg API'] of Unique Inputs Sorted by '[Water (kg) per kg API']]],Table_Process_Details[Total '[Water (kg) per kg API'] of Unique Inputs],0))</f>
        <v>#N/A</v>
      </c>
      <c r="IA50" s="22" t="e">
        <f ca="1">IF(LARGE(Table_Process_Details[Total '[Water (kg) per kg API'] of Unique Inputs],Table_Process_Details[[#This Row],[Table Row]])=0,NA(),LARGE(Table_Process_Details[Total '[Water (kg) per kg API'] of Unique Inputs],Table_Process_Details[[#This Row],[Table Row]]))</f>
        <v>#N/A</v>
      </c>
      <c r="IB50" s="1" t="e">
        <f ca="1">SUM(OFFSET(Table_Process_Details['[Water (kg) per kg API'] of Unique Inputs Sorted by '[Water (kg) per kg API']],0,0,Table_Process_Details[[#This Row],[Table Row]]))</f>
        <v>#N/A</v>
      </c>
      <c r="IC50" s="1" t="e">
        <f ca="1">"("&amp;TEXT(Table_Process_Details[[#This Row],['[Water (kg) per kg API'] of Unique Inputs Sorted by '[Water (kg) per kg API']]]/SUMIF(Table_Process_Details['[Water (kg) per kg API'] of Unique Inputs Sorted by '[Water (kg) per kg API']],"&lt;&gt;#N/A"),"0%")&amp;")"</f>
        <v>#N/A</v>
      </c>
      <c r="ID50" s="1" t="e">
        <f ca="1">INDEX(Table_Process_Details[Total '[Water (kg) per kg API'] of Unique Inputs (REAGENT)], MATCH(Table_Process_Details[[#This Row],[Unique Inputs Sorted by '[Water (kg) per kg API']]],Table_Process_Details[Unique Process Inputs],0))</f>
        <v>#N/A</v>
      </c>
      <c r="IE50" s="1" t="e">
        <f ca="1">INDEX(Table_Process_Details[Total '[Water (kg) per kg API'] of Unique Inputs (METAL)], MATCH(Table_Process_Details[[#This Row],[Unique Inputs Sorted by '[Water (kg) per kg API']]],Table_Process_Details[Unique Process Inputs],0))</f>
        <v>#N/A</v>
      </c>
      <c r="IF50" s="1" t="e">
        <f ca="1">INDEX(Table_Process_Details[Total '[Water (kg) per kg API'] of Unique Inputs (SOLVENT)], MATCH(Table_Process_Details[[#This Row],[Unique Inputs Sorted by '[Water (kg) per kg API']]],Table_Process_Details[Unique Process Inputs],0))</f>
        <v>#N/A</v>
      </c>
      <c r="IG50" s="1" t="e">
        <f ca="1">INDEX(Table_Process_Details[Total '[Water (kg) per kg API'] of Unique Inputs (WATER)], MATCH(Table_Process_Details[[#This Row],[Unique Inputs Sorted by '[Water (kg) per kg API']]],Table_Process_Details[Unique Process Inputs],0))</f>
        <v>#N/A</v>
      </c>
      <c r="IH50" s="1" t="e">
        <f ca="1">INDEX(Table_Process_Details[Total '[Water (kg) per kg API'] of Unique Inputs (ENZ&amp;PLNT)], MATCH(Table_Process_Details[[#This Row],[Unique Inputs Sorted by '[Water (kg) per kg API']]],Table_Process_Details[Unique Process Inputs],0))</f>
        <v>#N/A</v>
      </c>
      <c r="II50" s="1" t="e">
        <f ca="1">INDEX(Table_Process_Details[Total '[Water (kg) per kg API'] of Unique Inputs (OTHER)], MATCH(Table_Process_Details[[#This Row],[Unique Inputs Sorted by '[Water (kg) per kg API']]],Table_Process_Details[Unique Process Inputs],0))</f>
        <v>#N/A</v>
      </c>
    </row>
    <row r="51" spans="1:243" customFormat="1" x14ac:dyDescent="0.25">
      <c r="A51" s="22" t="str">
        <f>A50</f>
        <v>2d) Virtual solution prep for (2): 0.2 M reagent H (inorganic) in water</v>
      </c>
      <c r="B51" s="21" t="s">
        <v>4</v>
      </c>
      <c r="C51" s="21" t="s">
        <v>6</v>
      </c>
      <c r="D51" s="22" t="s">
        <v>146</v>
      </c>
      <c r="E51" s="22" t="s">
        <v>814</v>
      </c>
      <c r="F51" s="26">
        <v>998</v>
      </c>
      <c r="G51" s="26"/>
      <c r="H51" s="26"/>
      <c r="I51" s="26"/>
      <c r="J51" s="26" t="str">
        <f>INDEX(Process_Steps[Reference],MATCH(Table_Process_Details[[#This Row],[Step Name]],Process_Steps[Name],0))</f>
        <v>Reference Document for Step 2</v>
      </c>
      <c r="K51" s="27" t="str">
        <f>INDEX(Process_Steps[Real or Virtual?],MATCH(Table_Process_Details[[#This Row],[Step Name]],Process_Steps[Name],0))</f>
        <v>Virtual</v>
      </c>
      <c r="L5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5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51" s="26">
        <f>INDEX(Table_Process_Details[Physical Mass (kg)],MATCH(1,INDEX(((Table_Process_Details[Step Name]=Table_Process_Details[[#This Row],[Step Name]])*(Table_Process_Details[Input or Output]="Output")),0),0))</f>
        <v>1000</v>
      </c>
      <c r="O51" s="29">
        <f ca="1">INDEX(Process_Steps[Step Scale Factor for 1kg Packaged API],MATCH(Table_Process_Details[[#This Row],[Step Name]],Process_Steps[Name],0))</f>
        <v>6.9901025556863539E-4</v>
      </c>
      <c r="P5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10.666666666666666</v>
      </c>
      <c r="Q5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9.6666666666666661</v>
      </c>
      <c r="R51" s="26">
        <f ca="1">_xlfn.SWITCH(Run_Reset_PNG,"Reset",Table_Process_Details[[#This Row],[X Init]],"Run",Table_Process_Details[[#This Row],[X Moved]],"Freeze",Table_Process_Details[[#This Row],[X Mover]])</f>
        <v>5.4880876268319643</v>
      </c>
      <c r="S51" s="26">
        <f ca="1">_xlfn.SWITCH(Run_Reset_PNG,"Reset",Table_Process_Details[[#This Row],[Y Init]],"Run",Table_Process_Details[[#This Row],[Y Moved]],"Freeze",Table_Process_Details[[#This Row],[Y Mover]])</f>
        <v>-2.7647376693476451</v>
      </c>
      <c r="T51" s="26" cm="1">
        <f t="array" aca="1" ref="T5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0.81875210684421307</v>
      </c>
      <c r="U51" s="26" cm="1">
        <f t="array" aca="1" ref="U5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-1.6500834269345106</v>
      </c>
      <c r="V51" s="26" cm="1">
        <f t="array" aca="1" ref="V51" ca="1">SUM(--(SQRT((Table_Process_Details[[#This Row],[X Mover]]-Table_Process_Details[X Mover])^2+(Table_Process_Details[[#This Row],[Y Mover]]-Table_Process_Details[Y Mover])^2)&lt;Collision_Distance))</f>
        <v>16</v>
      </c>
      <c r="W51" s="26" cm="1">
        <f t="array" aca="1" ref="W5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-9.1408187350637729E-2</v>
      </c>
      <c r="X51" s="26" cm="1">
        <f t="array" aca="1" ref="X5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3.6009541369745442E-2</v>
      </c>
      <c r="Y51" s="26" cm="1">
        <f t="array" aca="1" ref="Y5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1" s="26">
        <f>0</f>
        <v>0</v>
      </c>
      <c r="AA51" s="26">
        <f>0</f>
        <v>0</v>
      </c>
      <c r="AB5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-2.7440438134159821</v>
      </c>
      <c r="AC51" s="26" cm="1">
        <f t="array" aca="1" ref="AC5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1.3823688346738225</v>
      </c>
      <c r="AD51" s="26">
        <f>MIN(1,COUNTA(Table_Process_Details[[#This Row],[target x]]),COUNTA(Table_Process_Details[[#This Row],[target y]]))*COUNTA(Table_Process_Details[Step Name])</f>
        <v>98</v>
      </c>
      <c r="AE5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5.4198509990834172</v>
      </c>
      <c r="AF5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-2.8177525377258594</v>
      </c>
      <c r="AG5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51" s="26" cm="1">
        <f t="array" aca="1" ref="AH51" ca="1">INDEX(Table_Process_Details[X Mover],MATCH(1,INDEX((Table_Process_Details[Input or Output]="Output")*(Table_Process_Details[Step Name]=Table_Process_Details[[#This Row],[Step Name]])*(Table_Process_Details[[#This Row],[Input or Output]]="Input"),0),0))</f>
        <v>2.5140487336853532</v>
      </c>
      <c r="AI51" s="26" cm="1">
        <f t="array" aca="1" ref="AI51" ca="1">INDEX(Table_Process_Details[Y Mover],MATCH(1,INDEX((Table_Process_Details[Input or Output]="Output")*(Table_Process_Details[Step Name]=Table_Process_Details[[#This Row],[Step Name]])*(Table_Process_Details[[#This Row],[Input or Output]]="Input"),0),0))</f>
        <v>-1.5931382791618636</v>
      </c>
      <c r="AJ51" s="26" t="e">
        <f ca="1">SQRT((Table_Process_Details[[#This Row],[X End (To Node Center)]]-Table_Process_Details[[#This Row],[X Guide]])^2+(Table_Process_Details[[#This Row],[Y End (to Node Center)]]-Table_Process_Details[[#This Row],[Y Guide]])^2)</f>
        <v>#N/A</v>
      </c>
      <c r="AK51" s="26" t="e" cm="1">
        <f t="array" ref="AK51">INDEX(Table_Process_Details[X Mover],MATCH(1,INDEX((Table_Process_Details[Step Name]=Table_Process_Details[[#This Row],[LCA Data Source Subclass]])*(Table_Process_Details[Input or Output]="Output"),0)*(Table_Process_Details[[#This Row],[Input or Output]]="Input"),0))</f>
        <v>#N/A</v>
      </c>
      <c r="AL51" s="26" cm="1">
        <f t="array" aca="1" ref="AL51" ca="1">INDEX(Table_Process_Details[X Mover],MATCH(1,INDEX(((Table_Process_Details[Table Row]=Table_Process_Details[[#This Row],[Table Row]])*(1)),0)*(Table_Process_Details[[#This Row],[Input or Output]]="Input"),0))</f>
        <v>5.4880876268319643</v>
      </c>
      <c r="AM51" s="26" t="e" cm="1">
        <f t="array" aca="1" ref="AM51" ca="1">(Table_Process_Details[[#This Row],[X End (To Node Center)]]*Table_Process_Details[[#This Row],[r0]]-Table_Process_Details[[#This Row],[X End (To Node Center)]]*Arrow_Offset+Table_Process_Details[[#This Row],[X Guide]]*Arrow_Offset)/Table_Process_Details[[#This Row],[r0]]</f>
        <v>#N/A</v>
      </c>
      <c r="AN51" s="26" t="e">
        <f>IF(NOT(Table_Process_Details[[#This Row],[Display As]]="None"),Table_Process_Details[[#This Row],[X Start Prefilter]],NA())</f>
        <v>#N/A</v>
      </c>
      <c r="AO51" s="26" t="e">
        <f>IF(NOT(Table_Process_Details[[#This Row],[Display As]]="None"),Table_Process_Details[[#This Row],[X Guide Prefilter]],NA())</f>
        <v>#N/A</v>
      </c>
      <c r="AP51" s="26" t="e">
        <f>IF(NOT(Table_Process_Details[[#This Row],[Display As]]="None"),Table_Process_Details[[#This Row],[X End (to Stop Radius) Prefilter]],NA())</f>
        <v>#N/A</v>
      </c>
      <c r="AQ51" s="26" t="e">
        <f>NA()</f>
        <v>#N/A</v>
      </c>
      <c r="AR51" s="26" t="e" cm="1">
        <f t="array" ref="AR51">INDEX(Table_Process_Details[Y Mover],MATCH(1,INDEX((Table_Process_Details[Step Name]=Table_Process_Details[[#This Row],[LCA Data Source Subclass]])*(Table_Process_Details[Input or Output]="Output"),0)*(Table_Process_Details[[#This Row],[Input or Output]]="Input"),0))</f>
        <v>#N/A</v>
      </c>
      <c r="AS51" s="26" cm="1">
        <f t="array" aca="1" ref="AS51" ca="1">INDEX(Table_Process_Details[Y Mover],MATCH(1,INDEX(((Table_Process_Details[Table Row]=Table_Process_Details[[#This Row],[Table Row]])*(1)),0)*(Table_Process_Details[[#This Row],[Input or Output]]="Input"),0))</f>
        <v>-2.7647376693476451</v>
      </c>
      <c r="AT51" s="26" t="e" cm="1">
        <f t="array" aca="1" ref="AT51" ca="1">(Table_Process_Details[[#This Row],[Y Guide]]*Arrow_Offset-Table_Process_Details[[#This Row],[Y End (to Node Center)]]*Arrow_Offset+Table_Process_Details[[#This Row],[Y End (to Node Center)]]*Table_Process_Details[[#This Row],[r0]])/Table_Process_Details[[#This Row],[r0]]</f>
        <v>#N/A</v>
      </c>
      <c r="AU51" s="26" t="e">
        <f>IF(NOT(Table_Process_Details[[#This Row],[Display As]]="None"),Table_Process_Details[[#This Row],[Y Start Prefilter]],NA())</f>
        <v>#N/A</v>
      </c>
      <c r="AV51" s="26" t="e">
        <f>IF(NOT(Table_Process_Details[[#This Row],[Display As]]="None"),Table_Process_Details[[#This Row],[Y Guide Prefilter]],NA())</f>
        <v>#N/A</v>
      </c>
      <c r="AW51" s="26" t="e">
        <f>IF(NOT(Table_Process_Details[[#This Row],[Display As]]="None"),Table_Process_Details[[#This Row],[Y End (to Stop Radius) Prefilter]],NA())</f>
        <v>#N/A</v>
      </c>
      <c r="AX51" s="26" t="e">
        <f>NA()</f>
        <v>#N/A</v>
      </c>
      <c r="AY51" s="26" t="e">
        <f>IF(Table_Process_Details[[#This Row],[Display As]]="Real Step",Table_Process_Details[[#This Row],[X Mover]],NA())</f>
        <v>#N/A</v>
      </c>
      <c r="AZ51" s="26" t="e">
        <f>IF(Table_Process_Details[[#This Row],[Display As]]="Real Step",Table_Process_Details[[#This Row],[Y Mover]],NA())</f>
        <v>#N/A</v>
      </c>
      <c r="BA51" s="26" t="e">
        <f>IF(Table_Process_Details[[#This Row],[Display As]]="Raw Material",Table_Process_Details[[#This Row],[X Mover]],NA())</f>
        <v>#N/A</v>
      </c>
      <c r="BB51" s="26" t="e">
        <f>IF(Table_Process_Details[[#This Row],[Display As]]="Raw Material",Table_Process_Details[[#This Row],[Y Mover]],NA())</f>
        <v>#N/A</v>
      </c>
      <c r="BC51" s="26" t="e">
        <f>IF(OR(Table_Process_Details[[#This Row],[Display As]]="Real Step",Table_Process_Details[[#This Row],[Display As]]="Raw Material"),Table_Process_Details[[#This Row],[X Mover]],NA())</f>
        <v>#N/A</v>
      </c>
      <c r="BD51" s="26" t="e">
        <f>IF(OR(Table_Process_Details[[#This Row],[Display As]]="Real Step",Table_Process_Details[[#This Row],[Display As]]="Raw Material"),Table_Process_Details[[#This Row],[Y Mover]],NA())</f>
        <v>#N/A</v>
      </c>
      <c r="BE51" s="22">
        <f>ROW()-ROW(Table_Process_Details[[#Headers],[Table Row]])</f>
        <v>47</v>
      </c>
      <c r="BF51" s="23" t="str" cm="1">
        <f t="array" aca="1" ref="BF51" ca="1">INDEX(Table_Process_Details[Display Name],MATCH(0,IF(Table_Process_Details[Input or Output]="Input",INDEX(COUNTIF(OFFSET(Table_Process_Details[[#Headers],[Unique Process Inputs]],0,0,Table_Process_Details[[#This Row],[Table Row]],1),Table_Process_Details[Display Name]),),""),0))</f>
        <v>95 wt% reagent M (organic)</v>
      </c>
      <c r="BG51" s="23">
        <f ca="1">Table_Process_Details[[#This Row],[Physical Mass (kg)]]*Table_Process_Details[[#This Row],[Step Scale Factor for 1kg Packaged API]]</f>
        <v>0.69761223505749814</v>
      </c>
      <c r="BH5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1" s="23">
        <f ca="1">MATCH(Table_Process_Details[[#This Row],[LCA Data Source Class]],INDIRECT(Table_Process_Details[[#This Row],[Input or Output]]),0)</f>
        <v>2</v>
      </c>
      <c r="BJ51" s="23">
        <f ca="1">MATCH(Table_Process_Details[[#This Row],[LCA Data Source Subclass]],INDIRECT(Table_Process_Details[[#This Row],[LCA Data Source Class]]&amp;"[Name]"),0)</f>
        <v>64</v>
      </c>
      <c r="BK51" s="23">
        <f ca="1">IFERROR(INDEX(INDIRECT(Table_Process_Details[[#This Row],[LCA Data Source Class]]&amp;"[Mass Net (kg)]"),MATCH(Table_Process_Details[[#This Row],[LCA Data Source Subclass]],INDIRECT(Table_Process_Details[[#This Row],[LCA Data Source Class]]&amp;"[Name]"),0)),0)</f>
        <v>1.5302652999999999E-3</v>
      </c>
      <c r="BL51" s="23">
        <f ca="1">IFERROR(INDEX(INDIRECT(Table_Process_Details[[#This Row],[LCA Data Source Class]]&amp;"[Energy (MJ)]"),MATCH(Table_Process_Details[[#This Row],[LCA Data Source Subclass]],INDIRECT(Table_Process_Details[[#This Row],[LCA Data Source Class]]&amp;"[Name]"),0)),0)</f>
        <v>1.9058192000000002E-2</v>
      </c>
      <c r="BM51" s="23">
        <f ca="1">IFERROR(INDEX(INDIRECT(Table_Process_Details[[#This Row],[LCA Data Source Class]]&amp;"[GWP (kg CO2 equiv.)]"),MATCH(Table_Process_Details[[#This Row],[LCA Data Source Subclass]],INDIRECT(Table_Process_Details[[#This Row],[LCA Data Source Class]]&amp;"[Name]"),0)),0)</f>
        <v>1.015742E-3</v>
      </c>
      <c r="BN51" s="23">
        <f ca="1">IFERROR(INDEX(INDIRECT(Table_Process_Details[[#This Row],[LCA Data Source Class]]&amp;"[Acidification (kg SO2 equiv.)]"),MATCH(Table_Process_Details[[#This Row],[LCA Data Source Subclass]],INDIRECT(Table_Process_Details[[#This Row],[LCA Data Source Class]]&amp;"[Name]"),0)),0)</f>
        <v>3.8914349999999996E-6</v>
      </c>
      <c r="BO51" s="23">
        <f ca="1">IFERROR(INDEX(INDIRECT(Table_Process_Details[[#This Row],[LCA Data Source Class]]&amp;"[Eutrophication (kg posphate equiv.)]"),MATCH(Table_Process_Details[[#This Row],[LCA Data Source Subclass]],INDIRECT(Table_Process_Details[[#This Row],[LCA Data Source Class]]&amp;"[Name]"),0)),0)</f>
        <v>2.3181694000000001E-6</v>
      </c>
      <c r="BP51" s="23">
        <f ca="1">IFERROR(INDEX(INDIRECT(Table_Process_Details[[#This Row],[LCA Data Source Class]]&amp;"[Water (kg)]"),MATCH(Table_Process_Details[[#This Row],[LCA Data Source Subclass]],INDIRECT(Table_Process_Details[[#This Row],[LCA Data Source Class]]&amp;"[Name]"),0)),0)</f>
        <v>1.2633490999999999</v>
      </c>
      <c r="BQ51" s="27">
        <f ca="1">(Table_Process_Details[[#This Row],[Input or Output]]="Input")*(Table_Process_Details[[#This Row],[LCA Data Source Class]]&lt;&gt;"Process_Steps")*Table_Process_Details[[#This Row],[Scaled Physical Mass per kg API for All Inputs &amp; Outputs]]</f>
        <v>0.69761223505749814</v>
      </c>
      <c r="BR51" s="27">
        <f ca="1">(Table_Process_Details[[#This Row],[Material Class]]="REAGENT")*Table_Process_Details[[#This Row],[Physical Mass per kg API]]</f>
        <v>0</v>
      </c>
      <c r="BS51" s="27">
        <f ca="1">(Table_Process_Details[[#This Row],[Material Class]]="METAL")*Table_Process_Details[[#This Row],[Physical Mass per kg API]]</f>
        <v>0</v>
      </c>
      <c r="BT51" s="27">
        <f ca="1">(Table_Process_Details[[#This Row],[Material Class]]="SOLVENT")*Table_Process_Details[[#This Row],[Physical Mass per kg API]]</f>
        <v>0</v>
      </c>
      <c r="BU51" s="27">
        <f ca="1">(Table_Process_Details[[#This Row],[Material Class]]="WATER")*Table_Process_Details[[#This Row],[Physical Mass per kg API]]</f>
        <v>0.69761223505749814</v>
      </c>
      <c r="BV51" s="27">
        <f ca="1">(Table_Process_Details[[#This Row],[Material Class]]="ENZ&amp;PLNT")*Table_Process_Details[[#This Row],[Physical Mass per kg API]]</f>
        <v>0</v>
      </c>
      <c r="BW51" s="27">
        <f ca="1">(Table_Process_Details[[#This Row],[Material Class]]="OTHER")*Table_Process_Details[[#This Row],[Physical Mass per kg API]]</f>
        <v>0</v>
      </c>
      <c r="BX5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5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1" s="1">
        <f ca="1">SUMIFS(Table_Process_Details[RV Physical Mass per kg API],Table_Process_Details[Display Name],Table_Process_Details[[#This Row],[Unique Process Inputs]],Table_Process_Details[Input or Output],"Input")</f>
        <v>2.2022389429253093</v>
      </c>
      <c r="CF51" s="1">
        <f ca="1">SUMIFS(Table_Process_Details[RV Physical Mass per kg API (REAGENT)],Table_Process_Details[Display Name],Table_Process_Details[[#This Row],[Unique Process Inputs]],Table_Process_Details[Input or Output],"Input")</f>
        <v>2.092126995779044</v>
      </c>
      <c r="CG51" s="1">
        <f ca="1">SUMIFS(Table_Process_Details[RV Physical Mass per kg API (METAL)],Table_Process_Details[Display Name],Table_Process_Details[[#This Row],[Unique Process Inputs]],Table_Process_Details[Input or Output],"Input")</f>
        <v>0</v>
      </c>
      <c r="CH51" s="1">
        <f ca="1">SUMIFS(Table_Process_Details[RV Physical Mass per kg API (SOLVENT)],Table_Process_Details[Display Name],Table_Process_Details[[#This Row],[Unique Process Inputs]],Table_Process_Details[Input or Output],"Input")</f>
        <v>0</v>
      </c>
      <c r="CI51" s="1">
        <f ca="1">SUMIFS(Table_Process_Details[RV Physical Mass per kg API (WATER)],Table_Process_Details[Display Name],Table_Process_Details[[#This Row],[Unique Process Inputs]],Table_Process_Details[Input or Output],"Input")</f>
        <v>0.11011194714626546</v>
      </c>
      <c r="CJ51" s="1">
        <f ca="1">SUMIFS(Table_Process_Details[RV Physical Mass per kg API (ENZ&amp;PLNT)],Table_Process_Details[Display Name],Table_Process_Details[[#This Row],[Unique Process Inputs]],Table_Process_Details[Input or Output],"Input")</f>
        <v>0</v>
      </c>
      <c r="CK51" s="1">
        <f ca="1">SUMIFS(Table_Process_Details[RV Physical Mass per kg API (OTHER)],Table_Process_Details[Display Name],Table_Process_Details[[#This Row],[Unique Process Inputs]],Table_Process_Details[Input or Output],"Input")</f>
        <v>0</v>
      </c>
      <c r="CL51" s="22" t="e">
        <f ca="1">INDEX(Table_Process_Details[Unique Process Inputs],MATCH(Table_Process_Details[[#This Row],['[Physical Mass per kg API'] of Unique Inputs Sorted by '[Physical Mass per kg API']]],Table_Process_Details[Total '[Physical Mass per kg API'] of Unique Inputs],0))</f>
        <v>#N/A</v>
      </c>
      <c r="CM51" s="22" t="e">
        <f ca="1">IF(LARGE(Table_Process_Details[Total '[Physical Mass per kg API'] of Unique Inputs],Table_Process_Details[[#This Row],[Table Row]])=0,NA(),LARGE(Table_Process_Details[Total '[Physical Mass per kg API'] of Unique Inputs],Table_Process_Details[[#This Row],[Table Row]]))</f>
        <v>#N/A</v>
      </c>
      <c r="CN51" s="22" t="e">
        <f ca="1">SUM(OFFSET(Table_Process_Details['[Physical Mass per kg API'] of Unique Inputs Sorted by '[Physical Mass per kg API']],0,0,Table_Process_Details[[#This Row],[Table Row]]))</f>
        <v>#N/A</v>
      </c>
      <c r="CO51" s="22" t="e">
        <f ca="1">"("&amp;TEXT(Table_Process_Details[[#This Row],['[Physical Mass per kg API'] of Unique Inputs Sorted by '[Physical Mass per kg API']]]/SUMIF(Table_Process_Details['[Physical Mass per kg API'] of Unique Inputs Sorted by '[Physical Mass per kg API']],"&lt;&gt;#N/A"),"0%")&amp;")"</f>
        <v>#N/A</v>
      </c>
      <c r="CP51" s="22" t="e">
        <f ca="1">INDEX(Table_Process_Details[Total '[Physical Mass per kg API'] of Unique Inputs (REAGENT)],MATCH(Table_Process_Details[[#This Row],[Unique Inputs Sorted by '[Physical Mass per kg API']]],Table_Process_Details[Unique Process Inputs],0))</f>
        <v>#N/A</v>
      </c>
      <c r="CQ51" s="22" t="e">
        <f ca="1">INDEX(Table_Process_Details[Total '[Physical Mass per kg API'] of Unique Inputs (METAL)],MATCH(Table_Process_Details[[#This Row],[Unique Inputs Sorted by '[Physical Mass per kg API']]],Table_Process_Details[Unique Process Inputs],0))</f>
        <v>#N/A</v>
      </c>
      <c r="CR51" s="22" t="e">
        <f ca="1">INDEX(Table_Process_Details[Total '[Physical Mass per kg API'] of Unique Inputs (SOLVENT)],MATCH(Table_Process_Details[[#This Row],[Unique Inputs Sorted by '[Physical Mass per kg API']]],Table_Process_Details[Unique Process Inputs],0))</f>
        <v>#N/A</v>
      </c>
      <c r="CS51" s="22" t="e">
        <f ca="1">INDEX(Table_Process_Details[Total '[Physical Mass per kg API'] of Unique Inputs (WATER)],MATCH(Table_Process_Details[[#This Row],[Unique Inputs Sorted by '[Physical Mass per kg API']]],Table_Process_Details[Unique Process Inputs],0))</f>
        <v>#N/A</v>
      </c>
      <c r="CT51" s="22" t="e">
        <f ca="1">INDEX(Table_Process_Details[Total '[Physical Mass per kg API'] of Unique Inputs (ENZ&amp;PLNT)],MATCH(Table_Process_Details[[#This Row],[Unique Inputs Sorted by '[Physical Mass per kg API']]],Table_Process_Details[Unique Process Inputs],0))</f>
        <v>#N/A</v>
      </c>
      <c r="CU51" s="22" t="e">
        <f ca="1">INDEX(Table_Process_Details[Total '[Physical Mass per kg API'] of Unique Inputs (OTHER)],MATCH(Table_Process_Details[[#This Row],[Unique Inputs Sorted by '[Physical Mass per kg API']]],Table_Process_Details[Unique Process Inputs],0))</f>
        <v>#N/A</v>
      </c>
      <c r="CV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1" s="22">
        <f ca="1">SUMIFS(Table_Process_Details[RV Mass Net (kg) per kg API],Table_Process_Details[Display Name],Table_Process_Details[[#This Row],[Unique Process Inputs]],Table_Process_Details[Input or Output],"Input")</f>
        <v>2.8036186748357519</v>
      </c>
      <c r="DD51" s="22">
        <f ca="1">SUMIFS(Table_Process_Details[RV Mass Net (kg) per kg API (REAGENT)],Table_Process_Details[Display Name],Table_Process_Details[[#This Row],[Unique Process Inputs]],Table_Process_Details[Input or Output],"Input")</f>
        <v>2.8034501743439186</v>
      </c>
      <c r="DE51" s="22">
        <f ca="1">SUMIFS(Table_Process_Details[RV Mass Net (kg) per kg API (METAL)],Table_Process_Details[Display Name],Table_Process_Details[[#This Row],[Unique Process Inputs]],Table_Process_Details[Input or Output],"Input")</f>
        <v>0</v>
      </c>
      <c r="DF51" s="22">
        <f ca="1">SUMIFS(Table_Process_Details[RV Mass Net (kg) per kg API (SOLVENT)],Table_Process_Details[Display Name],Table_Process_Details[[#This Row],[Unique Process Inputs]],Table_Process_Details[Input or Output],"Input")</f>
        <v>0</v>
      </c>
      <c r="DG51" s="22">
        <f ca="1">SUMIFS(Table_Process_Details[RV Mass Net (kg) per kg API (WATER)],Table_Process_Details[Display Name],Table_Process_Details[[#This Row],[Unique Process Inputs]],Table_Process_Details[Input or Output],"Input")</f>
        <v>1.6850049183336405E-4</v>
      </c>
      <c r="DH51" s="22">
        <f ca="1">SUMIFS(Table_Process_Details[RV Mass Net (kg) per kg API (ENZ&amp;PLNT)],Table_Process_Details[Display Name],Table_Process_Details[[#This Row],[Unique Process Inputs]],Table_Process_Details[Input or Output],"Input")</f>
        <v>0</v>
      </c>
      <c r="DI51" s="22">
        <f ca="1">SUMIFS(Table_Process_Details[RV Mass Net (kg) per kg API (OTHER)],Table_Process_Details[Display Name],Table_Process_Details[[#This Row],[Unique Process Inputs]],Table_Process_Details[Input or Output],"Input")</f>
        <v>0</v>
      </c>
      <c r="DJ51" s="22" t="e">
        <f ca="1">INDEX(Table_Process_Details[Unique Process Inputs],MATCH(Table_Process_Details[[#This Row],['[Mass Net (kg) per kg API'] of Unique Inputs Sorted by '[Mass Net (kg) per kg API']]],Table_Process_Details[Total '[Mass Net (kg) per kg API'] of Unique Inputs],0))</f>
        <v>#N/A</v>
      </c>
      <c r="DK51" s="22" t="e">
        <f ca="1">IF(LARGE(Table_Process_Details[Total '[Mass Net (kg) per kg API'] of Unique Inputs],Table_Process_Details[[#This Row],[Table Row]])=0,NA(),LARGE(Table_Process_Details[Total '[Mass Net (kg) per kg API'] of Unique Inputs],Table_Process_Details[[#This Row],[Table Row]]))</f>
        <v>#N/A</v>
      </c>
      <c r="DL51" s="22" t="e">
        <f ca="1">SUM(OFFSET(Table_Process_Details['[Mass Net (kg) per kg API'] of Unique Inputs Sorted by '[Mass Net (kg) per kg API']],0,0,Table_Process_Details[[#This Row],[Table Row]]))</f>
        <v>#N/A</v>
      </c>
      <c r="DM51" s="22" t="e">
        <f ca="1">"("&amp;TEXT(Table_Process_Details[[#This Row],['[Mass Net (kg) per kg API'] of Unique Inputs Sorted by '[Mass Net (kg) per kg API']]]/SUMIF(Table_Process_Details['[Mass Net (kg) per kg API'] of Unique Inputs Sorted by '[Mass Net (kg) per kg API']],"&lt;&gt;#N/A"),"0%")&amp;")"</f>
        <v>#N/A</v>
      </c>
      <c r="DN51" s="22" t="e">
        <f ca="1">INDEX(Table_Process_Details[Total '[Mass Net (kg) per kg API'] of Unique Inputs (REAGENT)], MATCH(Table_Process_Details[[#This Row],[Unique Inputs Sorted by '[Mass Net (kg) per kg API']]],Table_Process_Details[Unique Process Inputs],0))</f>
        <v>#N/A</v>
      </c>
      <c r="DO51" s="22" t="e">
        <f ca="1">INDEX(Table_Process_Details[Total '[Mass Net (kg) per kg API'] of Unique Inputs (METAL)], MATCH(Table_Process_Details[[#This Row],[Unique Inputs Sorted by '[Mass Net (kg) per kg API']]],Table_Process_Details[Unique Process Inputs],0))</f>
        <v>#N/A</v>
      </c>
      <c r="DP51" s="22" t="e">
        <f ca="1">INDEX(Table_Process_Details[Total '[Mass Net (kg) per kg API'] of Unique Inputs (SOLVENT)], MATCH(Table_Process_Details[[#This Row],[Unique Inputs Sorted by '[Mass Net (kg) per kg API']]],Table_Process_Details[Unique Process Inputs],0))</f>
        <v>#N/A</v>
      </c>
      <c r="DQ51" s="22" t="e">
        <f ca="1">INDEX(Table_Process_Details[Total '[Mass Net (kg) per kg API'] of Unique Inputs (WATER)], MATCH(Table_Process_Details[[#This Row],[Unique Inputs Sorted by '[Mass Net (kg) per kg API']]],Table_Process_Details[Unique Process Inputs],0))</f>
        <v>#N/A</v>
      </c>
      <c r="DR51" s="22" t="e">
        <f ca="1">INDEX(Table_Process_Details[Total '[Mass Net (kg) per kg API'] of Unique Inputs (ENZ&amp;PLNT)], MATCH(Table_Process_Details[[#This Row],[Unique Inputs Sorted by '[Mass Net (kg) per kg API']]],Table_Process_Details[Unique Process Inputs],0))</f>
        <v>#N/A</v>
      </c>
      <c r="DS51" s="22" t="e">
        <f ca="1">INDEX(Table_Process_Details[Total '[Mass Net (kg) per kg API'] of Unique Inputs (OTHER)], MATCH(Table_Process_Details[[#This Row],[Unique Inputs Sorted by '[Mass Net (kg) per kg API']]],Table_Process_Details[Unique Process Inputs],0))</f>
        <v>#N/A</v>
      </c>
      <c r="DT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1" s="1">
        <f ca="1">SUMIFS(Table_Process_Details[RV Energy (MJ) per kg API],Table_Process_Details[Display Name],Table_Process_Details[[#This Row],[Unique Process Inputs]],Table_Process_Details[Input or Output],"Input")</f>
        <v>22.241408499761445</v>
      </c>
      <c r="EB51" s="1">
        <f ca="1">SUMIFS(Table_Process_Details[RV Energy (MJ) per kg API (REAGENT)],Table_Process_Details[Display Name],Table_Process_Details[[#This Row],[Unique Process Inputs]],Table_Process_Details[Input or Output],"Input")</f>
        <v>22.239309965131238</v>
      </c>
      <c r="EC51" s="1">
        <f ca="1">SUMIFS(Table_Process_Details[RV Energy (MJ) per kg API (METAL)],Table_Process_Details[Display Name],Table_Process_Details[[#This Row],[Unique Process Inputs]],Table_Process_Details[Input or Output],"Input")</f>
        <v>0</v>
      </c>
      <c r="ED51" s="1">
        <f ca="1">SUMIFS(Table_Process_Details[RV Energy (MJ) per kg API (SOLVENT)],Table_Process_Details[Display Name],Table_Process_Details[[#This Row],[Unique Process Inputs]],Table_Process_Details[Input or Output],"Input")</f>
        <v>0</v>
      </c>
      <c r="EE51" s="1">
        <f ca="1">SUMIFS(Table_Process_Details[RV Energy (MJ) per kg API (WATER)],Table_Process_Details[Display Name],Table_Process_Details[[#This Row],[Unique Process Inputs]],Table_Process_Details[Input or Output],"Input")</f>
        <v>2.0985346302073793E-3</v>
      </c>
      <c r="EF51" s="1">
        <f ca="1">SUMIFS(Table_Process_Details[RV Energy (MJ) per kg API (ENZ&amp;PLNT)],Table_Process_Details[Display Name],Table_Process_Details[[#This Row],[Unique Process Inputs]],Table_Process_Details[Input or Output],"Input")</f>
        <v>0</v>
      </c>
      <c r="EG51" s="1">
        <f ca="1">SUMIFS(Table_Process_Details[RV Energy (MJ) per kg API (OTHER)],Table_Process_Details[Display Name],Table_Process_Details[[#This Row],[Unique Process Inputs]],Table_Process_Details[Input or Output],"Input")</f>
        <v>0</v>
      </c>
      <c r="EH51" s="1" t="e">
        <f ca="1">INDEX(Table_Process_Details[Unique Process Inputs],MATCH(Table_Process_Details[[#This Row],['[Energy (MJ) per kg API'] of Unique Inputs Sorted by '[Energy (MJ) per kg API']]],Table_Process_Details[Total '[Energy (MJ) per kg API'] of Unique Inputs],0))</f>
        <v>#N/A</v>
      </c>
      <c r="EI51" s="22" t="e">
        <f ca="1">IF(LARGE(Table_Process_Details[Total '[Energy (MJ) per kg API'] of Unique Inputs],Table_Process_Details[[#This Row],[Table Row]])=0,NA(),LARGE(Table_Process_Details[Total '[Energy (MJ) per kg API'] of Unique Inputs],Table_Process_Details[[#This Row],[Table Row]]))</f>
        <v>#N/A</v>
      </c>
      <c r="EJ51" s="22" t="e">
        <f ca="1">SUM(OFFSET(Table_Process_Details['[Energy (MJ) per kg API'] of Unique Inputs Sorted by '[Energy (MJ) per kg API']],0,0,Table_Process_Details[[#This Row],[Table Row]]))</f>
        <v>#N/A</v>
      </c>
      <c r="EK51" s="22" t="e">
        <f ca="1">"("&amp;TEXT(Table_Process_Details[[#This Row],['[Energy (MJ) per kg API'] of Unique Inputs Sorted by '[Energy (MJ) per kg API']]]/SUMIF(Table_Process_Details['[Energy (MJ) per kg API'] of Unique Inputs Sorted by '[Energy (MJ) per kg API']],"&lt;&gt;#N/A"),"0%")&amp;")"</f>
        <v>#N/A</v>
      </c>
      <c r="EL51" s="22" t="e">
        <f ca="1">INDEX(Table_Process_Details[Total '[Energy (MJ) per kg API'] of Unique Inputs (REAGENT)], MATCH(Table_Process_Details[[#This Row],[Unique Inputs Sorted by '[Energy (MJ) per kg API']]],Table_Process_Details[Unique Process Inputs],0))</f>
        <v>#N/A</v>
      </c>
      <c r="EM51" s="22" t="e">
        <f ca="1">INDEX(Table_Process_Details[Total '[Energy (MJ) per kg API'] of Unique Inputs (METAL)], MATCH(Table_Process_Details[[#This Row],[Unique Inputs Sorted by '[Energy (MJ) per kg API']]],Table_Process_Details[Unique Process Inputs],0))</f>
        <v>#N/A</v>
      </c>
      <c r="EN51" s="22" t="e">
        <f ca="1">INDEX(Table_Process_Details[Total '[Energy (MJ) per kg API'] of Unique Inputs (SOLVENT)], MATCH(Table_Process_Details[[#This Row],[Unique Inputs Sorted by '[Energy (MJ) per kg API']]],Table_Process_Details[Unique Process Inputs],0))</f>
        <v>#N/A</v>
      </c>
      <c r="EO51" s="22" t="e">
        <f ca="1">INDEX(Table_Process_Details[Total '[Energy (MJ) per kg API'] of Unique Inputs (WATER)], MATCH(Table_Process_Details[[#This Row],[Unique Inputs Sorted by '[Energy (MJ) per kg API']]],Table_Process_Details[Unique Process Inputs],0))</f>
        <v>#N/A</v>
      </c>
      <c r="EP51" s="22" t="e">
        <f ca="1">INDEX(Table_Process_Details[Total '[Energy (MJ) per kg API'] of Unique Inputs (ENZ&amp;PLNT)], MATCH(Table_Process_Details[[#This Row],[Unique Inputs Sorted by '[Energy (MJ) per kg API']]],Table_Process_Details[Unique Process Inputs],0))</f>
        <v>#N/A</v>
      </c>
      <c r="EQ51" s="22" t="e">
        <f ca="1">INDEX(Table_Process_Details[Total '[Energy (MJ) per kg API'] of Unique Inputs (OTHER)], MATCH(Table_Process_Details[[#This Row],[Unique Inputs Sorted by '[Energy (MJ) per kg API']]],Table_Process_Details[Unique Process Inputs],0))</f>
        <v>#N/A</v>
      </c>
      <c r="ER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1" s="22">
        <f ca="1">SUMIFS(Table_Process_Details[RV GWP (kg CO2 equiv.) per kg API],Table_Process_Details[Display Name],Table_Process_Details[[#This Row],[Unique Process Inputs]],Table_Process_Details[Input or Output],"Input")</f>
        <v>2.898544585281706</v>
      </c>
      <c r="EZ51" s="1">
        <f ca="1">SUMIFS(Table_Process_Details[RV GWP (kg CO2 equiv.) per kg API (REAGENT)],Table_Process_Details[Display Name],Table_Process_Details[[#This Row],[Unique Process Inputs]],Table_Process_Details[Input or Output],"Input")</f>
        <v>2.8984327399522876</v>
      </c>
      <c r="FA51" s="1">
        <f ca="1">SUMIFS(Table_Process_Details[RV GWP (kg CO2 equiv.) per kg API (METAL)],Table_Process_Details[Display Name],Table_Process_Details[[#This Row],[Unique Process Inputs]],Table_Process_Details[Input or Output],"Input")</f>
        <v>0</v>
      </c>
      <c r="FB51" s="1">
        <f ca="1">SUMIFS(Table_Process_Details[RV GWP (kg CO2 equiv.) per kg API (SOLVENT)],Table_Process_Details[Display Name],Table_Process_Details[[#This Row],[Unique Process Inputs]],Table_Process_Details[Input or Output],"Input")</f>
        <v>0</v>
      </c>
      <c r="FC51" s="1">
        <f ca="1">SUMIFS(Table_Process_Details[RV GWP (kg CO2 equiv.) per kg API (WATER)],Table_Process_Details[Display Name],Table_Process_Details[[#This Row],[Unique Process Inputs]],Table_Process_Details[Input or Output],"Input")</f>
        <v>1.1184532941824198E-4</v>
      </c>
      <c r="FD51" s="1">
        <f ca="1">SUMIFS(Table_Process_Details[RV GWP (kg CO2 equiv.) per kg API (ENZ&amp;PLNT)],Table_Process_Details[Display Name],Table_Process_Details[[#This Row],[Unique Process Inputs]],Table_Process_Details[Input or Output],"Input")</f>
        <v>0</v>
      </c>
      <c r="FE51" s="1">
        <f ca="1">SUMIFS(Table_Process_Details[RV GWP (kg CO2 equiv.) per kg API (OTHER)],Table_Process_Details[Display Name],Table_Process_Details[[#This Row],[Unique Process Inputs]],Table_Process_Details[Input or Output],"Input")</f>
        <v>0</v>
      </c>
      <c r="FF51" s="22" t="e">
        <f ca="1">INDEX(Table_Process_Details[Unique Process Inputs],MATCH(Table_Process_Details[[#This Row],['[GWP (kg CO2 equiv.) per kg API'] of Unique Inputs Sorted by '[GWP (kg CO2 equiv.) per kg API']]],Table_Process_Details[Total '[GWP (kg CO2 equiv.) per kg API'] of Unique Inputs],0))</f>
        <v>#N/A</v>
      </c>
      <c r="FG51" s="22" t="e">
        <f ca="1">IF(LARGE(Table_Process_Details[Total '[GWP (kg CO2 equiv.) per kg API'] of Unique Inputs],Table_Process_Details[[#This Row],[Table Row]])=0,NA(),LARGE(Table_Process_Details[Total '[GWP (kg CO2 equiv.) per kg API'] of Unique Inputs],Table_Process_Details[[#This Row],[Table Row]]))</f>
        <v>#N/A</v>
      </c>
      <c r="FH51" s="22" t="e">
        <f ca="1">SUM(OFFSET(Table_Process_Details['[GWP (kg CO2 equiv.) per kg API'] of Unique Inputs Sorted by '[GWP (kg CO2 equiv.) per kg API']],0,0,Table_Process_Details[[#This Row],[Table Row]]))</f>
        <v>#N/A</v>
      </c>
      <c r="FI51" s="22" t="e">
        <f ca="1">"("&amp;TEXT(Table_Process_Details[[#This Row],['[GWP (kg CO2 equiv.) per kg API'] of Unique Inputs Sorted by '[GWP (kg CO2 equiv.) per kg API']]]/SUMIF(Table_Process_Details['[GWP (kg CO2 equiv.) per kg API'] of Unique Inputs Sorted by '[GWP (kg CO2 equiv.) per kg API']],"&lt;&gt;#N/A"),"0%")&amp;")"</f>
        <v>#N/A</v>
      </c>
      <c r="FJ51" s="22" t="e">
        <f ca="1">INDEX(Table_Process_Details[Total '[GWP (kg CO2 equiv.) per kg API'] of Unique Inputs (REAGENT)], MATCH(Table_Process_Details[[#This Row],[Unique Inputs Sorted by '[GWP (kg CO2 equiv.) per kg API']]],Table_Process_Details[Unique Process Inputs],0))</f>
        <v>#N/A</v>
      </c>
      <c r="FK51" s="22" t="e">
        <f ca="1">INDEX(Table_Process_Details[Total '[GWP (kg CO2 equiv.) per kg API'] of Unique Inputs (METAL)], MATCH(Table_Process_Details[[#This Row],[Unique Inputs Sorted by '[GWP (kg CO2 equiv.) per kg API']]],Table_Process_Details[Unique Process Inputs],0))</f>
        <v>#N/A</v>
      </c>
      <c r="FL51" s="22" t="e">
        <f ca="1">INDEX(Table_Process_Details[Total '[GWP (kg CO2 equiv.) per kg API'] of Unique Inputs (SOLVENT)], MATCH(Table_Process_Details[[#This Row],[Unique Inputs Sorted by '[GWP (kg CO2 equiv.) per kg API']]],Table_Process_Details[Unique Process Inputs],0))</f>
        <v>#N/A</v>
      </c>
      <c r="FM51" s="22" t="e">
        <f ca="1">INDEX(Table_Process_Details[Total '[GWP (kg CO2 equiv.) per kg API'] of Unique Inputs (WATER)], MATCH(Table_Process_Details[[#This Row],[Unique Inputs Sorted by '[GWP (kg CO2 equiv.) per kg API']]],Table_Process_Details[Unique Process Inputs],0))</f>
        <v>#N/A</v>
      </c>
      <c r="FN51" s="22" t="e">
        <f ca="1">INDEX(Table_Process_Details[Total '[GWP (kg CO2 equiv.) per kg API'] of Unique Inputs (ENZ&amp;PLNT)], MATCH(Table_Process_Details[[#This Row],[Unique Inputs Sorted by '[GWP (kg CO2 equiv.) per kg API']]],Table_Process_Details[Unique Process Inputs],0))</f>
        <v>#N/A</v>
      </c>
      <c r="FO51" s="22" t="e">
        <f ca="1">INDEX(Table_Process_Details[Total '[GWP (kg CO2 equiv.) per kg API'] of Unique Inputs (OTHER)], MATCH(Table_Process_Details[[#This Row],[Unique Inputs Sorted by '[GWP (kg CO2 equiv.) per kg API']]],Table_Process_Details[Unique Process Inputs],0))</f>
        <v>#N/A</v>
      </c>
      <c r="FP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1" s="22">
        <f ca="1">SUMIFS(Table_Process_Details[RV Acidification (kg SO2 equiv.) per kg API],Table_Process_Details[Display Name],Table_Process_Details[[#This Row],[Unique Process Inputs]],Table_Process_Details[Input or Output],"Input")</f>
        <v>2.9080993734813754E-2</v>
      </c>
      <c r="FX51" s="1">
        <f ca="1">SUMIFS(Table_Process_Details[RV Acidification (kg SO2 equiv.) per kg API (REAGENT)],Table_Process_Details[Display Name],Table_Process_Details[[#This Row],[Unique Process Inputs]],Table_Process_Details[Input or Output],"Input")</f>
        <v>2.908056524132871E-2</v>
      </c>
      <c r="FY51" s="1">
        <f ca="1">SUMIFS(Table_Process_Details[RV Acidification (kg SO2 equiv.) per kg API (METAL)],Table_Process_Details[Display Name],Table_Process_Details[[#This Row],[Unique Process Inputs]],Table_Process_Details[Input or Output],"Input")</f>
        <v>0</v>
      </c>
      <c r="FZ51" s="1">
        <f ca="1">SUMIFS(Table_Process_Details[RV Acidification (kg SO2 equiv.) per kg API (SOLVENT)],Table_Process_Details[Display Name],Table_Process_Details[[#This Row],[Unique Process Inputs]],Table_Process_Details[Input or Output],"Input")</f>
        <v>0</v>
      </c>
      <c r="GA51" s="1">
        <f ca="1">SUMIFS(Table_Process_Details[RV Acidification (kg SO2 equiv.) per kg API (WATER)],Table_Process_Details[Display Name],Table_Process_Details[[#This Row],[Unique Process Inputs]],Table_Process_Details[Input or Output],"Input")</f>
        <v>4.2849348504312751E-7</v>
      </c>
      <c r="GB51" s="1">
        <f ca="1">SUMIFS(Table_Process_Details[RV Acidification (kg SO2 equiv.) per kg API (ENZ&amp;PLNT)],Table_Process_Details[Display Name],Table_Process_Details[[#This Row],[Unique Process Inputs]],Table_Process_Details[Input or Output],"Input")</f>
        <v>0</v>
      </c>
      <c r="GC51" s="1">
        <f ca="1">SUMIFS(Table_Process_Details[RV Acidification (kg SO2 equiv.) per kg API (OTHER)],Table_Process_Details[Display Name],Table_Process_Details[[#This Row],[Unique Process Inputs]],Table_Process_Details[Input or Output],"Input")</f>
        <v>0</v>
      </c>
      <c r="GD51"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1"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1" s="22" t="e">
        <f ca="1">SUM(OFFSET(Table_Process_Details['[Acidification (kg SO2 equiv.) per kg API'] of Unique Inputs Sorted by '[Acidification (kg SO2 equiv.) per kg API']],0,0,Table_Process_Details[[#This Row],[Table Row]]))</f>
        <v>#N/A</v>
      </c>
      <c r="GG51"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1" s="22" t="e">
        <f ca="1">INDEX(Table_Process_Details[Total '[Acidification (kg SO2 equiv.) per kg API'] of Unique Inputs (REAGENT)], MATCH(Table_Process_Details[[#This Row],[Unique Inputs Sorted by '[Acidification (kg SO2 equiv.) per kg API']]],Table_Process_Details[Unique Process Inputs],0))</f>
        <v>#N/A</v>
      </c>
      <c r="GI51" s="22" t="e">
        <f ca="1">INDEX(Table_Process_Details[Total '[Acidification (kg SO2 equiv.) per kg API'] of Unique Inputs (METAL)], MATCH(Table_Process_Details[[#This Row],[Unique Inputs Sorted by '[Acidification (kg SO2 equiv.) per kg API']]],Table_Process_Details[Unique Process Inputs],0))</f>
        <v>#N/A</v>
      </c>
      <c r="GJ51" s="22" t="e">
        <f ca="1">INDEX(Table_Process_Details[Total '[Acidification (kg SO2 equiv.) per kg API'] of Unique Inputs (SOLVENT)], MATCH(Table_Process_Details[[#This Row],[Unique Inputs Sorted by '[Acidification (kg SO2 equiv.) per kg API']]],Table_Process_Details[Unique Process Inputs],0))</f>
        <v>#N/A</v>
      </c>
      <c r="GK51" s="22" t="e">
        <f ca="1">INDEX(Table_Process_Details[Total '[Acidification (kg SO2 equiv.) per kg API'] of Unique Inputs (WATER)], MATCH(Table_Process_Details[[#This Row],[Unique Inputs Sorted by '[Acidification (kg SO2 equiv.) per kg API']]],Table_Process_Details[Unique Process Inputs],0))</f>
        <v>#N/A</v>
      </c>
      <c r="GL51" s="22" t="e">
        <f ca="1">INDEX(Table_Process_Details[Total '[Acidification (kg SO2 equiv.) per kg API'] of Unique Inputs (ENZ&amp;PLNT)], MATCH(Table_Process_Details[[#This Row],[Unique Inputs Sorted by '[Acidification (kg SO2 equiv.) per kg API']]],Table_Process_Details[Unique Process Inputs],0))</f>
        <v>#N/A</v>
      </c>
      <c r="GM51" s="22" t="e">
        <f ca="1">INDEX(Table_Process_Details[Total '[Acidification (kg SO2 equiv.) per kg API'] of Unique Inputs (OTHER)], MATCH(Table_Process_Details[[#This Row],[Unique Inputs Sorted by '[Acidification (kg SO2 equiv.) per kg API']]],Table_Process_Details[Unique Process Inputs],0))</f>
        <v>#N/A</v>
      </c>
      <c r="GN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1" s="22">
        <f ca="1">SUMIFS(Table_Process_Details[RV Eutrophication (kg phosphate equiv.) per kg API],Table_Process_Details[Display Name],Table_Process_Details[[#This Row],[Unique Process Inputs]],Table_Process_Details[Input or Output],"Input")</f>
        <v>1.4647441551917796E-3</v>
      </c>
      <c r="GV51" s="1">
        <f ca="1">SUMIFS(Table_Process_Details[RV Eutrophication (kg phosphate equiv.) per kg API (REAGENT)],Table_Process_Details[Display Name],Table_Process_Details[[#This Row],[Unique Process Inputs]],Table_Process_Details[Input or Output],"Input")</f>
        <v>1.4644888970453307E-3</v>
      </c>
      <c r="GW51" s="1">
        <f ca="1">SUMIFS(Table_Process_Details[RV Eutrophication (kg phosphate equiv.) per kg API (METAL)],Table_Process_Details[Display Name],Table_Process_Details[[#This Row],[Unique Process Inputs]],Table_Process_Details[Input or Output],"Input")</f>
        <v>0</v>
      </c>
      <c r="GX51" s="1">
        <f ca="1">SUMIFS(Table_Process_Details[RV Eutrophication (kg phosphate equiv.) per kg API (SOLVENT)],Table_Process_Details[Display Name],Table_Process_Details[[#This Row],[Unique Process Inputs]],Table_Process_Details[Input or Output],"Input")</f>
        <v>0</v>
      </c>
      <c r="GY51" s="1">
        <f ca="1">SUMIFS(Table_Process_Details[RV Eutrophication (kg phosphate equiv.) per kg API (WATER)],Table_Process_Details[Display Name],Table_Process_Details[[#This Row],[Unique Process Inputs]],Table_Process_Details[Input or Output],"Input")</f>
        <v>2.552581464488899E-7</v>
      </c>
      <c r="GZ51" s="1">
        <f ca="1">SUMIFS(Table_Process_Details[RV Eutrophication (kg phosphate equiv.) per kg API (ENZ&amp;PLNT)],Table_Process_Details[Display Name],Table_Process_Details[[#This Row],[Unique Process Inputs]],Table_Process_Details[Input or Output],"Input")</f>
        <v>0</v>
      </c>
      <c r="HA51" s="1">
        <f ca="1">SUMIFS(Table_Process_Details[RV Eutrophication (kg phosphate equiv.) per kg API (OTHER)],Table_Process_Details[Display Name],Table_Process_Details[[#This Row],[Unique Process Inputs]],Table_Process_Details[Input or Output],"Input")</f>
        <v>0</v>
      </c>
      <c r="HB51"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1"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1" s="22" t="e">
        <f ca="1">SUM(OFFSET(Table_Process_Details['[Eutrophication (kg posphate equiv.) per kg API'] of Unique Inputs Sorted by '[Eutrophication (kg posphate equiv.) per kg API']],0,0,Table_Process_Details[[#This Row],[Table Row]]))</f>
        <v>#N/A</v>
      </c>
      <c r="HE51"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1" s="1" t="e">
        <f ca="1">INDEX(Table_Process_Details[Total '[Eutrophication (kg posphate equiv.) per kg API'] of Unique Inputs (REAGENT)], MATCH(Table_Process_Details[[#This Row],[Unique Inputs Sorted by '[Eutrophication (kg posphate equiv.) per kg API']]],Table_Process_Details[Unique Process Inputs],0))</f>
        <v>#N/A</v>
      </c>
      <c r="HG51" s="1" t="e">
        <f ca="1">INDEX(Table_Process_Details[Total '[Eutrophication (kg posphate equiv.) per kg API'] of Unique Inputs (METAL)], MATCH(Table_Process_Details[[#This Row],[Unique Inputs Sorted by '[Eutrophication (kg posphate equiv.) per kg API']]],Table_Process_Details[Unique Process Inputs],0))</f>
        <v>#N/A</v>
      </c>
      <c r="HH51" s="1" t="e">
        <f ca="1">INDEX(Table_Process_Details[Total '[Eutrophication (kg posphate equiv.) per kg API'] of Unique Inputs (SOLVENT)], MATCH(Table_Process_Details[[#This Row],[Unique Inputs Sorted by '[Eutrophication (kg posphate equiv.) per kg API']]],Table_Process_Details[Unique Process Inputs],0))</f>
        <v>#N/A</v>
      </c>
      <c r="HI51" s="1" t="e">
        <f ca="1">INDEX(Table_Process_Details[Total '[Eutrophication (kg posphate equiv.) per kg API'] of Unique Inputs (WATER)], MATCH(Table_Process_Details[[#This Row],[Unique Inputs Sorted by '[Eutrophication (kg posphate equiv.) per kg API']]],Table_Process_Details[Unique Process Inputs],0))</f>
        <v>#N/A</v>
      </c>
      <c r="HJ51" s="1" t="e">
        <f ca="1">INDEX(Table_Process_Details[Total '[Eutrophication (kg posphate equiv.) per kg API'] of Unique Inputs (ENZ&amp;PLNT)], MATCH(Table_Process_Details[[#This Row],[Unique Inputs Sorted by '[Eutrophication (kg posphate equiv.) per kg API']]],Table_Process_Details[Unique Process Inputs],0))</f>
        <v>#N/A</v>
      </c>
      <c r="HK51" s="1" t="e">
        <f ca="1">INDEX(Table_Process_Details[Total '[Eutrophication (kg posphate equiv.) per kg API'] of Unique Inputs (OTHER)], MATCH(Table_Process_Details[[#This Row],[Unique Inputs Sorted by '[Eutrophication (kg posphate equiv.) per kg API']]],Table_Process_Details[Unique Process Inputs],0))</f>
        <v>#N/A</v>
      </c>
      <c r="HL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1" s="1">
        <f ca="1">SUMIFS(Table_Process_Details[RV Water (kg) per kg API],Table_Process_Details[Display Name],Table_Process_Details[[#This Row],[Unique Process Inputs]],Table_Process_Details[Input or Output],"Input")</f>
        <v>1.5852507726188305</v>
      </c>
      <c r="HT51" s="1">
        <f ca="1">SUMIFS(Table_Process_Details[RV Water (kg) per kg API (REAGENT)],Table_Process_Details[Display Name],Table_Process_Details[[#This Row],[Unique Process Inputs]],Table_Process_Details[Input or Output],"Input")</f>
        <v>1.4461409432923484</v>
      </c>
      <c r="HU51" s="1">
        <f ca="1">SUMIFS(Table_Process_Details[RV Water (kg) per kg API (METAL)],Table_Process_Details[Display Name],Table_Process_Details[[#This Row],[Unique Process Inputs]],Table_Process_Details[Input or Output],"Input")</f>
        <v>0</v>
      </c>
      <c r="HV51" s="1">
        <f ca="1">SUMIFS(Table_Process_Details[RV Water (kg) per kg API (SOLVENT)],Table_Process_Details[Display Name],Table_Process_Details[[#This Row],[Unique Process Inputs]],Table_Process_Details[Input or Output],"Input")</f>
        <v>0</v>
      </c>
      <c r="HW51" s="1">
        <f ca="1">SUMIFS(Table_Process_Details[RV Water (kg) per kg API (WATER)],Table_Process_Details[Display Name],Table_Process_Details[[#This Row],[Unique Process Inputs]],Table_Process_Details[Input or Output],"Input")</f>
        <v>0.13910982932648203</v>
      </c>
      <c r="HX51" s="1">
        <f ca="1">SUMIFS(Table_Process_Details[RV Water (kg) per kg API (ENZ&amp;PLNT)],Table_Process_Details[Display Name],Table_Process_Details[[#This Row],[Unique Process Inputs]],Table_Process_Details[Input or Output],"Input")</f>
        <v>0</v>
      </c>
      <c r="HY51" s="1">
        <f ca="1">SUMIFS(Table_Process_Details[RV Water (kg) per kg API (OTHER)],Table_Process_Details[Display Name],Table_Process_Details[[#This Row],[Unique Process Inputs]],Table_Process_Details[Input or Output],"Input")</f>
        <v>0</v>
      </c>
      <c r="HZ51" s="22" t="e">
        <f ca="1">INDEX(Table_Process_Details[Unique Process Inputs],MATCH(Table_Process_Details[[#This Row],['[Water (kg) per kg API'] of Unique Inputs Sorted by '[Water (kg) per kg API']]],Table_Process_Details[Total '[Water (kg) per kg API'] of Unique Inputs],0))</f>
        <v>#N/A</v>
      </c>
      <c r="IA51" s="22" t="e">
        <f ca="1">IF(LARGE(Table_Process_Details[Total '[Water (kg) per kg API'] of Unique Inputs],Table_Process_Details[[#This Row],[Table Row]])=0,NA(),LARGE(Table_Process_Details[Total '[Water (kg) per kg API'] of Unique Inputs],Table_Process_Details[[#This Row],[Table Row]]))</f>
        <v>#N/A</v>
      </c>
      <c r="IB51" s="1" t="e">
        <f ca="1">SUM(OFFSET(Table_Process_Details['[Water (kg) per kg API'] of Unique Inputs Sorted by '[Water (kg) per kg API']],0,0,Table_Process_Details[[#This Row],[Table Row]]))</f>
        <v>#N/A</v>
      </c>
      <c r="IC51" s="1" t="e">
        <f ca="1">"("&amp;TEXT(Table_Process_Details[[#This Row],['[Water (kg) per kg API'] of Unique Inputs Sorted by '[Water (kg) per kg API']]]/SUMIF(Table_Process_Details['[Water (kg) per kg API'] of Unique Inputs Sorted by '[Water (kg) per kg API']],"&lt;&gt;#N/A"),"0%")&amp;")"</f>
        <v>#N/A</v>
      </c>
      <c r="ID51" s="1" t="e">
        <f ca="1">INDEX(Table_Process_Details[Total '[Water (kg) per kg API'] of Unique Inputs (REAGENT)], MATCH(Table_Process_Details[[#This Row],[Unique Inputs Sorted by '[Water (kg) per kg API']]],Table_Process_Details[Unique Process Inputs],0))</f>
        <v>#N/A</v>
      </c>
      <c r="IE51" s="1" t="e">
        <f ca="1">INDEX(Table_Process_Details[Total '[Water (kg) per kg API'] of Unique Inputs (METAL)], MATCH(Table_Process_Details[[#This Row],[Unique Inputs Sorted by '[Water (kg) per kg API']]],Table_Process_Details[Unique Process Inputs],0))</f>
        <v>#N/A</v>
      </c>
      <c r="IF51" s="1" t="e">
        <f ca="1">INDEX(Table_Process_Details[Total '[Water (kg) per kg API'] of Unique Inputs (SOLVENT)], MATCH(Table_Process_Details[[#This Row],[Unique Inputs Sorted by '[Water (kg) per kg API']]],Table_Process_Details[Unique Process Inputs],0))</f>
        <v>#N/A</v>
      </c>
      <c r="IG51" s="1" t="e">
        <f ca="1">INDEX(Table_Process_Details[Total '[Water (kg) per kg API'] of Unique Inputs (WATER)], MATCH(Table_Process_Details[[#This Row],[Unique Inputs Sorted by '[Water (kg) per kg API']]],Table_Process_Details[Unique Process Inputs],0))</f>
        <v>#N/A</v>
      </c>
      <c r="IH51" s="1" t="e">
        <f ca="1">INDEX(Table_Process_Details[Total '[Water (kg) per kg API'] of Unique Inputs (ENZ&amp;PLNT)], MATCH(Table_Process_Details[[#This Row],[Unique Inputs Sorted by '[Water (kg) per kg API']]],Table_Process_Details[Unique Process Inputs],0))</f>
        <v>#N/A</v>
      </c>
      <c r="II51" s="1" t="e">
        <f ca="1">INDEX(Table_Process_Details[Total '[Water (kg) per kg API'] of Unique Inputs (OTHER)], MATCH(Table_Process_Details[[#This Row],[Unique Inputs Sorted by '[Water (kg) per kg API']]],Table_Process_Details[Unique Process Inputs],0))</f>
        <v>#N/A</v>
      </c>
    </row>
    <row r="52" spans="1:243" s="119" customFormat="1" x14ac:dyDescent="0.25">
      <c r="A52" s="126" t="str">
        <f>A51</f>
        <v>2d) Virtual solution prep for (2): 0.2 M reagent H (inorganic) in water</v>
      </c>
      <c r="B52" s="127" t="s">
        <v>5</v>
      </c>
      <c r="C52" s="127" t="s">
        <v>155</v>
      </c>
      <c r="D52" s="126" t="s">
        <v>155</v>
      </c>
      <c r="E52" s="126" t="str">
        <f>'1. Define Process Steps'!C17</f>
        <v>0.2 M reagent H (inorganic) in water</v>
      </c>
      <c r="F52" s="165">
        <f>F51+F50</f>
        <v>1000</v>
      </c>
      <c r="G52" s="128"/>
      <c r="H52" s="128"/>
      <c r="I52" s="128"/>
      <c r="J52" s="128" t="str">
        <f>INDEX(Process_Steps[Reference],MATCH(Table_Process_Details[[#This Row],[Step Name]],Process_Steps[Name],0))</f>
        <v>Reference Document for Step 2</v>
      </c>
      <c r="K52" s="129" t="str">
        <f>INDEX(Process_Steps[Real or Virtual?],MATCH(Table_Process_Details[[#This Row],[Step Name]],Process_Steps[Name],0))</f>
        <v>Virtual</v>
      </c>
      <c r="L52"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52"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52" s="128">
        <f>INDEX(Table_Process_Details[Physical Mass (kg)],MATCH(1,INDEX(((Table_Process_Details[Step Name]=Table_Process_Details[[#This Row],[Step Name]])*(Table_Process_Details[Input or Output]="Output")),0),0))</f>
        <v>1000</v>
      </c>
      <c r="O52" s="130">
        <f ca="1">INDEX(Process_Steps[Step Scale Factor for 1kg Packaged API],MATCH(Table_Process_Details[[#This Row],[Step Name]],Process_Steps[Name],0))</f>
        <v>6.9901025556863539E-4</v>
      </c>
      <c r="P52"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v>
      </c>
      <c r="Q52"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v>
      </c>
      <c r="R52" s="128">
        <f ca="1">_xlfn.SWITCH(Run_Reset_PNG,"Reset",Table_Process_Details[[#This Row],[X Init]],"Run",Table_Process_Details[[#This Row],[X Moved]],"Freeze",Table_Process_Details[[#This Row],[X Mover]])</f>
        <v>2.5140487336853532</v>
      </c>
      <c r="S52" s="128">
        <f ca="1">_xlfn.SWITCH(Run_Reset_PNG,"Reset",Table_Process_Details[[#This Row],[Y Init]],"Run",Table_Process_Details[[#This Row],[Y Moved]],"Freeze",Table_Process_Details[[#This Row],[Y Mover]])</f>
        <v>-1.5931382791618636</v>
      </c>
      <c r="T52" s="128" cm="1">
        <f t="array" aca="1" ref="T5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-0.54241547016609737</v>
      </c>
      <c r="U52" s="128" cm="1">
        <f t="array" aca="1" ref="U5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-1.8276269914132754</v>
      </c>
      <c r="V52" s="128" cm="1">
        <f t="array" aca="1" ref="V52" ca="1">SUM(--(SQRT((Table_Process_Details[[#This Row],[X Mover]]-Table_Process_Details[X Mover])^2+(Table_Process_Details[[#This Row],[Y Mover]]-Table_Process_Details[Y Mover])^2)&lt;Collision_Distance))</f>
        <v>16</v>
      </c>
      <c r="W52" s="128" cm="1">
        <f t="array" aca="1" ref="W5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-3.7432178734051495E-3</v>
      </c>
      <c r="X52" s="128" cm="1">
        <f t="array" aca="1" ref="X5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0.17647071622966537</v>
      </c>
      <c r="Y52" s="128" cm="1">
        <f t="array" aca="1" ref="Y5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52" s="128">
        <f>0</f>
        <v>0</v>
      </c>
      <c r="AA52" s="128">
        <f>0</f>
        <v>0</v>
      </c>
      <c r="AB52"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-1.2570243668426766</v>
      </c>
      <c r="AC52" s="128" cm="1">
        <f t="array" aca="1" ref="AC5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0.79656913958093178</v>
      </c>
      <c r="AD52" s="128">
        <f>MIN(1,COUNTA(Table_Process_Details[[#This Row],[target x]]),COUNTA(Table_Process_Details[[#This Row],[target y]]))*COUNTA(Table_Process_Details[Step Name])</f>
        <v>98</v>
      </c>
      <c r="AE52"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2.46607324825534</v>
      </c>
      <c r="AF52"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-1.6404131375223021</v>
      </c>
      <c r="AG52"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52" s="128" t="e" cm="1">
        <f t="array" ref="AH52">INDEX(Table_Process_Details[X Mover],MATCH(1,INDEX((Table_Process_Details[Input or Output]="Output")*(Table_Process_Details[Step Name]=Table_Process_Details[[#This Row],[Step Name]])*(Table_Process_Details[[#This Row],[Input or Output]]="Input"),0),0))</f>
        <v>#N/A</v>
      </c>
      <c r="AI52" s="128" t="e" cm="1">
        <f t="array" ref="AI52">INDEX(Table_Process_Details[Y Mover],MATCH(1,INDEX((Table_Process_Details[Input or Output]="Output")*(Table_Process_Details[Step Name]=Table_Process_Details[[#This Row],[Step Name]])*(Table_Process_Details[[#This Row],[Input or Output]]="Input"),0),0))</f>
        <v>#N/A</v>
      </c>
      <c r="AJ52" s="128" t="e">
        <f>SQRT((Table_Process_Details[[#This Row],[X End (To Node Center)]]-Table_Process_Details[[#This Row],[X Guide]])^2+(Table_Process_Details[[#This Row],[Y End (to Node Center)]]-Table_Process_Details[[#This Row],[Y Guide]])^2)</f>
        <v>#N/A</v>
      </c>
      <c r="AK52" s="128" t="e" cm="1">
        <f t="array" ref="AK52">INDEX(Table_Process_Details[X Mover],MATCH(1,INDEX((Table_Process_Details[Step Name]=Table_Process_Details[[#This Row],[LCA Data Source Subclass]])*(Table_Process_Details[Input or Output]="Output"),0)*(Table_Process_Details[[#This Row],[Input or Output]]="Input"),0))</f>
        <v>#N/A</v>
      </c>
      <c r="AL52" s="128" t="e" cm="1">
        <f t="array" ref="AL52">INDEX(Table_Process_Details[X Mover],MATCH(1,INDEX(((Table_Process_Details[Table Row]=Table_Process_Details[[#This Row],[Table Row]])*(1)),0)*(Table_Process_Details[[#This Row],[Input or Output]]="Input"),0))</f>
        <v>#N/A</v>
      </c>
      <c r="AM52" s="128" t="e" cm="1">
        <f t="array" ref="AM52">(Table_Process_Details[[#This Row],[X End (To Node Center)]]*Table_Process_Details[[#This Row],[r0]]-Table_Process_Details[[#This Row],[X End (To Node Center)]]*Arrow_Offset+Table_Process_Details[[#This Row],[X Guide]]*Arrow_Offset)/Table_Process_Details[[#This Row],[r0]]</f>
        <v>#N/A</v>
      </c>
      <c r="AN52" s="128" t="e">
        <f>IF(NOT(Table_Process_Details[[#This Row],[Display As]]="None"),Table_Process_Details[[#This Row],[X Start Prefilter]],NA())</f>
        <v>#N/A</v>
      </c>
      <c r="AO52" s="128" t="e">
        <f>IF(NOT(Table_Process_Details[[#This Row],[Display As]]="None"),Table_Process_Details[[#This Row],[X Guide Prefilter]],NA())</f>
        <v>#N/A</v>
      </c>
      <c r="AP52" s="128" t="e">
        <f>IF(NOT(Table_Process_Details[[#This Row],[Display As]]="None"),Table_Process_Details[[#This Row],[X End (to Stop Radius) Prefilter]],NA())</f>
        <v>#N/A</v>
      </c>
      <c r="AQ52" s="128" t="e">
        <f>NA()</f>
        <v>#N/A</v>
      </c>
      <c r="AR52" s="128" t="e" cm="1">
        <f t="array" ref="AR52">INDEX(Table_Process_Details[Y Mover],MATCH(1,INDEX((Table_Process_Details[Step Name]=Table_Process_Details[[#This Row],[LCA Data Source Subclass]])*(Table_Process_Details[Input or Output]="Output"),0)*(Table_Process_Details[[#This Row],[Input or Output]]="Input"),0))</f>
        <v>#N/A</v>
      </c>
      <c r="AS52" s="128" t="e" cm="1">
        <f t="array" ref="AS52">INDEX(Table_Process_Details[Y Mover],MATCH(1,INDEX(((Table_Process_Details[Table Row]=Table_Process_Details[[#This Row],[Table Row]])*(1)),0)*(Table_Process_Details[[#This Row],[Input or Output]]="Input"),0))</f>
        <v>#N/A</v>
      </c>
      <c r="AT52" s="128" t="e" cm="1">
        <f t="array" ref="AT52">(Table_Process_Details[[#This Row],[Y Guide]]*Arrow_Offset-Table_Process_Details[[#This Row],[Y End (to Node Center)]]*Arrow_Offset+Table_Process_Details[[#This Row],[Y End (to Node Center)]]*Table_Process_Details[[#This Row],[r0]])/Table_Process_Details[[#This Row],[r0]]</f>
        <v>#N/A</v>
      </c>
      <c r="AU52" s="128" t="e">
        <f>IF(NOT(Table_Process_Details[[#This Row],[Display As]]="None"),Table_Process_Details[[#This Row],[Y Start Prefilter]],NA())</f>
        <v>#N/A</v>
      </c>
      <c r="AV52" s="128" t="e">
        <f>IF(NOT(Table_Process_Details[[#This Row],[Display As]]="None"),Table_Process_Details[[#This Row],[Y Guide Prefilter]],NA())</f>
        <v>#N/A</v>
      </c>
      <c r="AW52" s="128" t="e">
        <f>IF(NOT(Table_Process_Details[[#This Row],[Display As]]="None"),Table_Process_Details[[#This Row],[Y End (to Stop Radius) Prefilter]],NA())</f>
        <v>#N/A</v>
      </c>
      <c r="AX52" s="128" t="e">
        <f>NA()</f>
        <v>#N/A</v>
      </c>
      <c r="AY52" s="128" t="e">
        <f>IF(Table_Process_Details[[#This Row],[Display As]]="Real Step",Table_Process_Details[[#This Row],[X Mover]],NA())</f>
        <v>#N/A</v>
      </c>
      <c r="AZ52" s="128" t="e">
        <f>IF(Table_Process_Details[[#This Row],[Display As]]="Real Step",Table_Process_Details[[#This Row],[Y Mover]],NA())</f>
        <v>#N/A</v>
      </c>
      <c r="BA52" s="128">
        <f ca="1">IF(Table_Process_Details[[#This Row],[Display As]]="Raw Material",Table_Process_Details[[#This Row],[X Mover]],NA())</f>
        <v>2.5140487336853532</v>
      </c>
      <c r="BB52" s="128">
        <f ca="1">IF(Table_Process_Details[[#This Row],[Display As]]="Raw Material",Table_Process_Details[[#This Row],[Y Mover]],NA())</f>
        <v>-1.5931382791618636</v>
      </c>
      <c r="BC52" s="128">
        <f ca="1">IF(OR(Table_Process_Details[[#This Row],[Display As]]="Real Step",Table_Process_Details[[#This Row],[Display As]]="Raw Material"),Table_Process_Details[[#This Row],[X Mover]],NA())</f>
        <v>2.5140487336853532</v>
      </c>
      <c r="BD52" s="128">
        <f ca="1">IF(OR(Table_Process_Details[[#This Row],[Display As]]="Real Step",Table_Process_Details[[#This Row],[Display As]]="Raw Material"),Table_Process_Details[[#This Row],[Y Mover]],NA())</f>
        <v>-1.5931382791618636</v>
      </c>
      <c r="BE52" s="126">
        <f>ROW()-ROW(Table_Process_Details[[#Headers],[Table Row]])</f>
        <v>48</v>
      </c>
      <c r="BF52" s="122" t="str" cm="1">
        <f t="array" aca="1" ref="BF52" ca="1">INDEX(Table_Process_Details[Display Name],MATCH(0,IF(Table_Process_Details[Input or Output]="Input",INDEX(COUNTIF(OFFSET(Table_Process_Details[[#Headers],[Unique Process Inputs]],0,0,Table_Process_Details[[#This Row],[Table Row]],1),Table_Process_Details[Display Name]),),""),0))</f>
        <v>Intermediate (4)</v>
      </c>
      <c r="BG52" s="122">
        <f ca="1">Table_Process_Details[[#This Row],[Physical Mass (kg)]]*Table_Process_Details[[#This Row],[Step Scale Factor for 1kg Packaged API]]</f>
        <v>0.69901025556863539</v>
      </c>
      <c r="BH52"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2" s="122">
        <f ca="1">MATCH(Table_Process_Details[[#This Row],[LCA Data Source Class]],INDIRECT(Table_Process_Details[[#This Row],[Input or Output]]),0)</f>
        <v>1</v>
      </c>
      <c r="BJ52" s="122">
        <f ca="1">MATCH(Table_Process_Details[[#This Row],[LCA Data Source Subclass]],INDIRECT(Table_Process_Details[[#This Row],[LCA Data Source Class]]&amp;"[Name]"),0)</f>
        <v>1</v>
      </c>
      <c r="BK52" s="122">
        <f ca="1">IFERROR(INDEX(INDIRECT(Table_Process_Details[[#This Row],[LCA Data Source Class]]&amp;"[Mass Net (kg)]"),MATCH(Table_Process_Details[[#This Row],[LCA Data Source Subclass]],INDIRECT(Table_Process_Details[[#This Row],[LCA Data Source Class]]&amp;"[Name]"),0)),0)</f>
        <v>0</v>
      </c>
      <c r="BL52" s="122">
        <f ca="1">IFERROR(INDEX(INDIRECT(Table_Process_Details[[#This Row],[LCA Data Source Class]]&amp;"[Energy (MJ)]"),MATCH(Table_Process_Details[[#This Row],[LCA Data Source Subclass]],INDIRECT(Table_Process_Details[[#This Row],[LCA Data Source Class]]&amp;"[Name]"),0)),0)</f>
        <v>0</v>
      </c>
      <c r="BM52" s="122">
        <f ca="1">IFERROR(INDEX(INDIRECT(Table_Process_Details[[#This Row],[LCA Data Source Class]]&amp;"[GWP (kg CO2 equiv.)]"),MATCH(Table_Process_Details[[#This Row],[LCA Data Source Subclass]],INDIRECT(Table_Process_Details[[#This Row],[LCA Data Source Class]]&amp;"[Name]"),0)),0)</f>
        <v>0</v>
      </c>
      <c r="BN52" s="122">
        <f ca="1">IFERROR(INDEX(INDIRECT(Table_Process_Details[[#This Row],[LCA Data Source Class]]&amp;"[Acidification (kg SO2 equiv.)]"),MATCH(Table_Process_Details[[#This Row],[LCA Data Source Subclass]],INDIRECT(Table_Process_Details[[#This Row],[LCA Data Source Class]]&amp;"[Name]"),0)),0)</f>
        <v>0</v>
      </c>
      <c r="BO52" s="122">
        <f ca="1">IFERROR(INDEX(INDIRECT(Table_Process_Details[[#This Row],[LCA Data Source Class]]&amp;"[Eutrophication (kg posphate equiv.)]"),MATCH(Table_Process_Details[[#This Row],[LCA Data Source Subclass]],INDIRECT(Table_Process_Details[[#This Row],[LCA Data Source Class]]&amp;"[Name]"),0)),0)</f>
        <v>0</v>
      </c>
      <c r="BP52" s="122">
        <f ca="1">IFERROR(INDEX(INDIRECT(Table_Process_Details[[#This Row],[LCA Data Source Class]]&amp;"[Water (kg)]"),MATCH(Table_Process_Details[[#This Row],[LCA Data Source Subclass]],INDIRECT(Table_Process_Details[[#This Row],[LCA Data Source Class]]&amp;"[Name]"),0)),0)</f>
        <v>0</v>
      </c>
      <c r="BQ52" s="129">
        <f ca="1">(Table_Process_Details[[#This Row],[Input or Output]]="Input")*(Table_Process_Details[[#This Row],[LCA Data Source Class]]&lt;&gt;"Process_Steps")*Table_Process_Details[[#This Row],[Scaled Physical Mass per kg API for All Inputs &amp; Outputs]]</f>
        <v>0</v>
      </c>
      <c r="BR52" s="129">
        <f ca="1">(Table_Process_Details[[#This Row],[Material Class]]="REAGENT")*Table_Process_Details[[#This Row],[Physical Mass per kg API]]</f>
        <v>0</v>
      </c>
      <c r="BS52" s="129">
        <f ca="1">(Table_Process_Details[[#This Row],[Material Class]]="METAL")*Table_Process_Details[[#This Row],[Physical Mass per kg API]]</f>
        <v>0</v>
      </c>
      <c r="BT52" s="129">
        <f ca="1">(Table_Process_Details[[#This Row],[Material Class]]="SOLVENT")*Table_Process_Details[[#This Row],[Physical Mass per kg API]]</f>
        <v>0</v>
      </c>
      <c r="BU52" s="129">
        <f ca="1">(Table_Process_Details[[#This Row],[Material Class]]="WATER")*Table_Process_Details[[#This Row],[Physical Mass per kg API]]</f>
        <v>0</v>
      </c>
      <c r="BV52" s="129">
        <f ca="1">(Table_Process_Details[[#This Row],[Material Class]]="ENZ&amp;PLNT")*Table_Process_Details[[#This Row],[Physical Mass per kg API]]</f>
        <v>0</v>
      </c>
      <c r="BW52" s="129">
        <f ca="1">(Table_Process_Details[[#This Row],[Material Class]]="OTHER")*Table_Process_Details[[#This Row],[Physical Mass per kg API]]</f>
        <v>0</v>
      </c>
      <c r="BX52"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52"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2"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2"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2"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2"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2"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2" s="131">
        <f ca="1">SUMIFS(Table_Process_Details[RV Physical Mass per kg API],Table_Process_Details[Display Name],Table_Process_Details[[#This Row],[Unique Process Inputs]],Table_Process_Details[Input or Output],"Input")</f>
        <v>0</v>
      </c>
      <c r="CF52" s="131">
        <f ca="1">SUMIFS(Table_Process_Details[RV Physical Mass per kg API (REAGENT)],Table_Process_Details[Display Name],Table_Process_Details[[#This Row],[Unique Process Inputs]],Table_Process_Details[Input or Output],"Input")</f>
        <v>0</v>
      </c>
      <c r="CG52" s="131">
        <f ca="1">SUMIFS(Table_Process_Details[RV Physical Mass per kg API (METAL)],Table_Process_Details[Display Name],Table_Process_Details[[#This Row],[Unique Process Inputs]],Table_Process_Details[Input or Output],"Input")</f>
        <v>0</v>
      </c>
      <c r="CH52" s="131">
        <f ca="1">SUMIFS(Table_Process_Details[RV Physical Mass per kg API (SOLVENT)],Table_Process_Details[Display Name],Table_Process_Details[[#This Row],[Unique Process Inputs]],Table_Process_Details[Input or Output],"Input")</f>
        <v>0</v>
      </c>
      <c r="CI52" s="131">
        <f ca="1">SUMIFS(Table_Process_Details[RV Physical Mass per kg API (WATER)],Table_Process_Details[Display Name],Table_Process_Details[[#This Row],[Unique Process Inputs]],Table_Process_Details[Input or Output],"Input")</f>
        <v>0</v>
      </c>
      <c r="CJ52" s="131">
        <f ca="1">SUMIFS(Table_Process_Details[RV Physical Mass per kg API (ENZ&amp;PLNT)],Table_Process_Details[Display Name],Table_Process_Details[[#This Row],[Unique Process Inputs]],Table_Process_Details[Input or Output],"Input")</f>
        <v>0</v>
      </c>
      <c r="CK52" s="131">
        <f ca="1">SUMIFS(Table_Process_Details[RV Physical Mass per kg API (OTHER)],Table_Process_Details[Display Name],Table_Process_Details[[#This Row],[Unique Process Inputs]],Table_Process_Details[Input or Output],"Input")</f>
        <v>0</v>
      </c>
      <c r="CL52" s="126" t="e">
        <f ca="1">INDEX(Table_Process_Details[Unique Process Inputs],MATCH(Table_Process_Details[[#This Row],['[Physical Mass per kg API'] of Unique Inputs Sorted by '[Physical Mass per kg API']]],Table_Process_Details[Total '[Physical Mass per kg API'] of Unique Inputs],0))</f>
        <v>#N/A</v>
      </c>
      <c r="CM52" s="126" t="e">
        <f ca="1">IF(LARGE(Table_Process_Details[Total '[Physical Mass per kg API'] of Unique Inputs],Table_Process_Details[[#This Row],[Table Row]])=0,NA(),LARGE(Table_Process_Details[Total '[Physical Mass per kg API'] of Unique Inputs],Table_Process_Details[[#This Row],[Table Row]]))</f>
        <v>#N/A</v>
      </c>
      <c r="CN52" s="126" t="e">
        <f ca="1">SUM(OFFSET(Table_Process_Details['[Physical Mass per kg API'] of Unique Inputs Sorted by '[Physical Mass per kg API']],0,0,Table_Process_Details[[#This Row],[Table Row]]))</f>
        <v>#N/A</v>
      </c>
      <c r="CO52" s="126" t="e">
        <f ca="1">"("&amp;TEXT(Table_Process_Details[[#This Row],['[Physical Mass per kg API'] of Unique Inputs Sorted by '[Physical Mass per kg API']]]/SUMIF(Table_Process_Details['[Physical Mass per kg API'] of Unique Inputs Sorted by '[Physical Mass per kg API']],"&lt;&gt;#N/A"),"0%")&amp;")"</f>
        <v>#N/A</v>
      </c>
      <c r="CP52" s="126" t="e">
        <f ca="1">INDEX(Table_Process_Details[Total '[Physical Mass per kg API'] of Unique Inputs (REAGENT)],MATCH(Table_Process_Details[[#This Row],[Unique Inputs Sorted by '[Physical Mass per kg API']]],Table_Process_Details[Unique Process Inputs],0))</f>
        <v>#N/A</v>
      </c>
      <c r="CQ52" s="126" t="e">
        <f ca="1">INDEX(Table_Process_Details[Total '[Physical Mass per kg API'] of Unique Inputs (METAL)],MATCH(Table_Process_Details[[#This Row],[Unique Inputs Sorted by '[Physical Mass per kg API']]],Table_Process_Details[Unique Process Inputs],0))</f>
        <v>#N/A</v>
      </c>
      <c r="CR52" s="126" t="e">
        <f ca="1">INDEX(Table_Process_Details[Total '[Physical Mass per kg API'] of Unique Inputs (SOLVENT)],MATCH(Table_Process_Details[[#This Row],[Unique Inputs Sorted by '[Physical Mass per kg API']]],Table_Process_Details[Unique Process Inputs],0))</f>
        <v>#N/A</v>
      </c>
      <c r="CS52" s="126" t="e">
        <f ca="1">INDEX(Table_Process_Details[Total '[Physical Mass per kg API'] of Unique Inputs (WATER)],MATCH(Table_Process_Details[[#This Row],[Unique Inputs Sorted by '[Physical Mass per kg API']]],Table_Process_Details[Unique Process Inputs],0))</f>
        <v>#N/A</v>
      </c>
      <c r="CT52" s="126" t="e">
        <f ca="1">INDEX(Table_Process_Details[Total '[Physical Mass per kg API'] of Unique Inputs (ENZ&amp;PLNT)],MATCH(Table_Process_Details[[#This Row],[Unique Inputs Sorted by '[Physical Mass per kg API']]],Table_Process_Details[Unique Process Inputs],0))</f>
        <v>#N/A</v>
      </c>
      <c r="CU52" s="126" t="e">
        <f ca="1">INDEX(Table_Process_Details[Total '[Physical Mass per kg API'] of Unique Inputs (OTHER)],MATCH(Table_Process_Details[[#This Row],[Unique Inputs Sorted by '[Physical Mass per kg API']]],Table_Process_Details[Unique Process Inputs],0))</f>
        <v>#N/A</v>
      </c>
      <c r="CV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2" s="126">
        <f ca="1">SUMIFS(Table_Process_Details[RV Mass Net (kg) per kg API],Table_Process_Details[Display Name],Table_Process_Details[[#This Row],[Unique Process Inputs]],Table_Process_Details[Input or Output],"Input")</f>
        <v>0</v>
      </c>
      <c r="DD52" s="126">
        <f ca="1">SUMIFS(Table_Process_Details[RV Mass Net (kg) per kg API (REAGENT)],Table_Process_Details[Display Name],Table_Process_Details[[#This Row],[Unique Process Inputs]],Table_Process_Details[Input or Output],"Input")</f>
        <v>0</v>
      </c>
      <c r="DE52" s="126">
        <f ca="1">SUMIFS(Table_Process_Details[RV Mass Net (kg) per kg API (METAL)],Table_Process_Details[Display Name],Table_Process_Details[[#This Row],[Unique Process Inputs]],Table_Process_Details[Input or Output],"Input")</f>
        <v>0</v>
      </c>
      <c r="DF52" s="126">
        <f ca="1">SUMIFS(Table_Process_Details[RV Mass Net (kg) per kg API (SOLVENT)],Table_Process_Details[Display Name],Table_Process_Details[[#This Row],[Unique Process Inputs]],Table_Process_Details[Input or Output],"Input")</f>
        <v>0</v>
      </c>
      <c r="DG52" s="126">
        <f ca="1">SUMIFS(Table_Process_Details[RV Mass Net (kg) per kg API (WATER)],Table_Process_Details[Display Name],Table_Process_Details[[#This Row],[Unique Process Inputs]],Table_Process_Details[Input or Output],"Input")</f>
        <v>0</v>
      </c>
      <c r="DH52" s="126">
        <f ca="1">SUMIFS(Table_Process_Details[RV Mass Net (kg) per kg API (ENZ&amp;PLNT)],Table_Process_Details[Display Name],Table_Process_Details[[#This Row],[Unique Process Inputs]],Table_Process_Details[Input or Output],"Input")</f>
        <v>0</v>
      </c>
      <c r="DI52" s="126">
        <f ca="1">SUMIFS(Table_Process_Details[RV Mass Net (kg) per kg API (OTHER)],Table_Process_Details[Display Name],Table_Process_Details[[#This Row],[Unique Process Inputs]],Table_Process_Details[Input or Output],"Input")</f>
        <v>0</v>
      </c>
      <c r="DJ52" s="126" t="e">
        <f ca="1">INDEX(Table_Process_Details[Unique Process Inputs],MATCH(Table_Process_Details[[#This Row],['[Mass Net (kg) per kg API'] of Unique Inputs Sorted by '[Mass Net (kg) per kg API']]],Table_Process_Details[Total '[Mass Net (kg) per kg API'] of Unique Inputs],0))</f>
        <v>#N/A</v>
      </c>
      <c r="DK52" s="126" t="e">
        <f ca="1">IF(LARGE(Table_Process_Details[Total '[Mass Net (kg) per kg API'] of Unique Inputs],Table_Process_Details[[#This Row],[Table Row]])=0,NA(),LARGE(Table_Process_Details[Total '[Mass Net (kg) per kg API'] of Unique Inputs],Table_Process_Details[[#This Row],[Table Row]]))</f>
        <v>#N/A</v>
      </c>
      <c r="DL52" s="126" t="e">
        <f ca="1">SUM(OFFSET(Table_Process_Details['[Mass Net (kg) per kg API'] of Unique Inputs Sorted by '[Mass Net (kg) per kg API']],0,0,Table_Process_Details[[#This Row],[Table Row]]))</f>
        <v>#N/A</v>
      </c>
      <c r="DM52" s="126" t="e">
        <f ca="1">"("&amp;TEXT(Table_Process_Details[[#This Row],['[Mass Net (kg) per kg API'] of Unique Inputs Sorted by '[Mass Net (kg) per kg API']]]/SUMIF(Table_Process_Details['[Mass Net (kg) per kg API'] of Unique Inputs Sorted by '[Mass Net (kg) per kg API']],"&lt;&gt;#N/A"),"0%")&amp;")"</f>
        <v>#N/A</v>
      </c>
      <c r="DN52" s="126" t="e">
        <f ca="1">INDEX(Table_Process_Details[Total '[Mass Net (kg) per kg API'] of Unique Inputs (REAGENT)], MATCH(Table_Process_Details[[#This Row],[Unique Inputs Sorted by '[Mass Net (kg) per kg API']]],Table_Process_Details[Unique Process Inputs],0))</f>
        <v>#N/A</v>
      </c>
      <c r="DO52" s="126" t="e">
        <f ca="1">INDEX(Table_Process_Details[Total '[Mass Net (kg) per kg API'] of Unique Inputs (METAL)], MATCH(Table_Process_Details[[#This Row],[Unique Inputs Sorted by '[Mass Net (kg) per kg API']]],Table_Process_Details[Unique Process Inputs],0))</f>
        <v>#N/A</v>
      </c>
      <c r="DP52" s="126" t="e">
        <f ca="1">INDEX(Table_Process_Details[Total '[Mass Net (kg) per kg API'] of Unique Inputs (SOLVENT)], MATCH(Table_Process_Details[[#This Row],[Unique Inputs Sorted by '[Mass Net (kg) per kg API']]],Table_Process_Details[Unique Process Inputs],0))</f>
        <v>#N/A</v>
      </c>
      <c r="DQ52" s="126" t="e">
        <f ca="1">INDEX(Table_Process_Details[Total '[Mass Net (kg) per kg API'] of Unique Inputs (WATER)], MATCH(Table_Process_Details[[#This Row],[Unique Inputs Sorted by '[Mass Net (kg) per kg API']]],Table_Process_Details[Unique Process Inputs],0))</f>
        <v>#N/A</v>
      </c>
      <c r="DR52" s="126" t="e">
        <f ca="1">INDEX(Table_Process_Details[Total '[Mass Net (kg) per kg API'] of Unique Inputs (ENZ&amp;PLNT)], MATCH(Table_Process_Details[[#This Row],[Unique Inputs Sorted by '[Mass Net (kg) per kg API']]],Table_Process_Details[Unique Process Inputs],0))</f>
        <v>#N/A</v>
      </c>
      <c r="DS52" s="126" t="e">
        <f ca="1">INDEX(Table_Process_Details[Total '[Mass Net (kg) per kg API'] of Unique Inputs (OTHER)], MATCH(Table_Process_Details[[#This Row],[Unique Inputs Sorted by '[Mass Net (kg) per kg API']]],Table_Process_Details[Unique Process Inputs],0))</f>
        <v>#N/A</v>
      </c>
      <c r="DT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2" s="131">
        <f ca="1">SUMIFS(Table_Process_Details[RV Energy (MJ) per kg API],Table_Process_Details[Display Name],Table_Process_Details[[#This Row],[Unique Process Inputs]],Table_Process_Details[Input or Output],"Input")</f>
        <v>0</v>
      </c>
      <c r="EB52" s="131">
        <f ca="1">SUMIFS(Table_Process_Details[RV Energy (MJ) per kg API (REAGENT)],Table_Process_Details[Display Name],Table_Process_Details[[#This Row],[Unique Process Inputs]],Table_Process_Details[Input or Output],"Input")</f>
        <v>0</v>
      </c>
      <c r="EC52" s="131">
        <f ca="1">SUMIFS(Table_Process_Details[RV Energy (MJ) per kg API (METAL)],Table_Process_Details[Display Name],Table_Process_Details[[#This Row],[Unique Process Inputs]],Table_Process_Details[Input or Output],"Input")</f>
        <v>0</v>
      </c>
      <c r="ED52" s="131">
        <f ca="1">SUMIFS(Table_Process_Details[RV Energy (MJ) per kg API (SOLVENT)],Table_Process_Details[Display Name],Table_Process_Details[[#This Row],[Unique Process Inputs]],Table_Process_Details[Input or Output],"Input")</f>
        <v>0</v>
      </c>
      <c r="EE52" s="131">
        <f ca="1">SUMIFS(Table_Process_Details[RV Energy (MJ) per kg API (WATER)],Table_Process_Details[Display Name],Table_Process_Details[[#This Row],[Unique Process Inputs]],Table_Process_Details[Input or Output],"Input")</f>
        <v>0</v>
      </c>
      <c r="EF52" s="131">
        <f ca="1">SUMIFS(Table_Process_Details[RV Energy (MJ) per kg API (ENZ&amp;PLNT)],Table_Process_Details[Display Name],Table_Process_Details[[#This Row],[Unique Process Inputs]],Table_Process_Details[Input or Output],"Input")</f>
        <v>0</v>
      </c>
      <c r="EG52" s="131">
        <f ca="1">SUMIFS(Table_Process_Details[RV Energy (MJ) per kg API (OTHER)],Table_Process_Details[Display Name],Table_Process_Details[[#This Row],[Unique Process Inputs]],Table_Process_Details[Input or Output],"Input")</f>
        <v>0</v>
      </c>
      <c r="EH52" s="131" t="e">
        <f ca="1">INDEX(Table_Process_Details[Unique Process Inputs],MATCH(Table_Process_Details[[#This Row],['[Energy (MJ) per kg API'] of Unique Inputs Sorted by '[Energy (MJ) per kg API']]],Table_Process_Details[Total '[Energy (MJ) per kg API'] of Unique Inputs],0))</f>
        <v>#N/A</v>
      </c>
      <c r="EI52" s="126" t="e">
        <f ca="1">IF(LARGE(Table_Process_Details[Total '[Energy (MJ) per kg API'] of Unique Inputs],Table_Process_Details[[#This Row],[Table Row]])=0,NA(),LARGE(Table_Process_Details[Total '[Energy (MJ) per kg API'] of Unique Inputs],Table_Process_Details[[#This Row],[Table Row]]))</f>
        <v>#N/A</v>
      </c>
      <c r="EJ52" s="126" t="e">
        <f ca="1">SUM(OFFSET(Table_Process_Details['[Energy (MJ) per kg API'] of Unique Inputs Sorted by '[Energy (MJ) per kg API']],0,0,Table_Process_Details[[#This Row],[Table Row]]))</f>
        <v>#N/A</v>
      </c>
      <c r="EK52" s="126" t="e">
        <f ca="1">"("&amp;TEXT(Table_Process_Details[[#This Row],['[Energy (MJ) per kg API'] of Unique Inputs Sorted by '[Energy (MJ) per kg API']]]/SUMIF(Table_Process_Details['[Energy (MJ) per kg API'] of Unique Inputs Sorted by '[Energy (MJ) per kg API']],"&lt;&gt;#N/A"),"0%")&amp;")"</f>
        <v>#N/A</v>
      </c>
      <c r="EL52" s="126" t="e">
        <f ca="1">INDEX(Table_Process_Details[Total '[Energy (MJ) per kg API'] of Unique Inputs (REAGENT)], MATCH(Table_Process_Details[[#This Row],[Unique Inputs Sorted by '[Energy (MJ) per kg API']]],Table_Process_Details[Unique Process Inputs],0))</f>
        <v>#N/A</v>
      </c>
      <c r="EM52" s="126" t="e">
        <f ca="1">INDEX(Table_Process_Details[Total '[Energy (MJ) per kg API'] of Unique Inputs (METAL)], MATCH(Table_Process_Details[[#This Row],[Unique Inputs Sorted by '[Energy (MJ) per kg API']]],Table_Process_Details[Unique Process Inputs],0))</f>
        <v>#N/A</v>
      </c>
      <c r="EN52" s="126" t="e">
        <f ca="1">INDEX(Table_Process_Details[Total '[Energy (MJ) per kg API'] of Unique Inputs (SOLVENT)], MATCH(Table_Process_Details[[#This Row],[Unique Inputs Sorted by '[Energy (MJ) per kg API']]],Table_Process_Details[Unique Process Inputs],0))</f>
        <v>#N/A</v>
      </c>
      <c r="EO52" s="126" t="e">
        <f ca="1">INDEX(Table_Process_Details[Total '[Energy (MJ) per kg API'] of Unique Inputs (WATER)], MATCH(Table_Process_Details[[#This Row],[Unique Inputs Sorted by '[Energy (MJ) per kg API']]],Table_Process_Details[Unique Process Inputs],0))</f>
        <v>#N/A</v>
      </c>
      <c r="EP52" s="126" t="e">
        <f ca="1">INDEX(Table_Process_Details[Total '[Energy (MJ) per kg API'] of Unique Inputs (ENZ&amp;PLNT)], MATCH(Table_Process_Details[[#This Row],[Unique Inputs Sorted by '[Energy (MJ) per kg API']]],Table_Process_Details[Unique Process Inputs],0))</f>
        <v>#N/A</v>
      </c>
      <c r="EQ52" s="126" t="e">
        <f ca="1">INDEX(Table_Process_Details[Total '[Energy (MJ) per kg API'] of Unique Inputs (OTHER)], MATCH(Table_Process_Details[[#This Row],[Unique Inputs Sorted by '[Energy (MJ) per kg API']]],Table_Process_Details[Unique Process Inputs],0))</f>
        <v>#N/A</v>
      </c>
      <c r="ER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2" s="126">
        <f ca="1">SUMIFS(Table_Process_Details[RV GWP (kg CO2 equiv.) per kg API],Table_Process_Details[Display Name],Table_Process_Details[[#This Row],[Unique Process Inputs]],Table_Process_Details[Input or Output],"Input")</f>
        <v>0</v>
      </c>
      <c r="EZ52" s="131">
        <f ca="1">SUMIFS(Table_Process_Details[RV GWP (kg CO2 equiv.) per kg API (REAGENT)],Table_Process_Details[Display Name],Table_Process_Details[[#This Row],[Unique Process Inputs]],Table_Process_Details[Input or Output],"Input")</f>
        <v>0</v>
      </c>
      <c r="FA52" s="131">
        <f ca="1">SUMIFS(Table_Process_Details[RV GWP (kg CO2 equiv.) per kg API (METAL)],Table_Process_Details[Display Name],Table_Process_Details[[#This Row],[Unique Process Inputs]],Table_Process_Details[Input or Output],"Input")</f>
        <v>0</v>
      </c>
      <c r="FB52" s="131">
        <f ca="1">SUMIFS(Table_Process_Details[RV GWP (kg CO2 equiv.) per kg API (SOLVENT)],Table_Process_Details[Display Name],Table_Process_Details[[#This Row],[Unique Process Inputs]],Table_Process_Details[Input or Output],"Input")</f>
        <v>0</v>
      </c>
      <c r="FC52" s="131">
        <f ca="1">SUMIFS(Table_Process_Details[RV GWP (kg CO2 equiv.) per kg API (WATER)],Table_Process_Details[Display Name],Table_Process_Details[[#This Row],[Unique Process Inputs]],Table_Process_Details[Input or Output],"Input")</f>
        <v>0</v>
      </c>
      <c r="FD52" s="131">
        <f ca="1">SUMIFS(Table_Process_Details[RV GWP (kg CO2 equiv.) per kg API (ENZ&amp;PLNT)],Table_Process_Details[Display Name],Table_Process_Details[[#This Row],[Unique Process Inputs]],Table_Process_Details[Input or Output],"Input")</f>
        <v>0</v>
      </c>
      <c r="FE52" s="131">
        <f ca="1">SUMIFS(Table_Process_Details[RV GWP (kg CO2 equiv.) per kg API (OTHER)],Table_Process_Details[Display Name],Table_Process_Details[[#This Row],[Unique Process Inputs]],Table_Process_Details[Input or Output],"Input")</f>
        <v>0</v>
      </c>
      <c r="FF52" s="126" t="e">
        <f ca="1">INDEX(Table_Process_Details[Unique Process Inputs],MATCH(Table_Process_Details[[#This Row],['[GWP (kg CO2 equiv.) per kg API'] of Unique Inputs Sorted by '[GWP (kg CO2 equiv.) per kg API']]],Table_Process_Details[Total '[GWP (kg CO2 equiv.) per kg API'] of Unique Inputs],0))</f>
        <v>#N/A</v>
      </c>
      <c r="FG52" s="126" t="e">
        <f ca="1">IF(LARGE(Table_Process_Details[Total '[GWP (kg CO2 equiv.) per kg API'] of Unique Inputs],Table_Process_Details[[#This Row],[Table Row]])=0,NA(),LARGE(Table_Process_Details[Total '[GWP (kg CO2 equiv.) per kg API'] of Unique Inputs],Table_Process_Details[[#This Row],[Table Row]]))</f>
        <v>#N/A</v>
      </c>
      <c r="FH52" s="126" t="e">
        <f ca="1">SUM(OFFSET(Table_Process_Details['[GWP (kg CO2 equiv.) per kg API'] of Unique Inputs Sorted by '[GWP (kg CO2 equiv.) per kg API']],0,0,Table_Process_Details[[#This Row],[Table Row]]))</f>
        <v>#N/A</v>
      </c>
      <c r="FI52" s="126" t="e">
        <f ca="1">"("&amp;TEXT(Table_Process_Details[[#This Row],['[GWP (kg CO2 equiv.) per kg API'] of Unique Inputs Sorted by '[GWP (kg CO2 equiv.) per kg API']]]/SUMIF(Table_Process_Details['[GWP (kg CO2 equiv.) per kg API'] of Unique Inputs Sorted by '[GWP (kg CO2 equiv.) per kg API']],"&lt;&gt;#N/A"),"0%")&amp;")"</f>
        <v>#N/A</v>
      </c>
      <c r="FJ52" s="126" t="e">
        <f ca="1">INDEX(Table_Process_Details[Total '[GWP (kg CO2 equiv.) per kg API'] of Unique Inputs (REAGENT)], MATCH(Table_Process_Details[[#This Row],[Unique Inputs Sorted by '[GWP (kg CO2 equiv.) per kg API']]],Table_Process_Details[Unique Process Inputs],0))</f>
        <v>#N/A</v>
      </c>
      <c r="FK52" s="126" t="e">
        <f ca="1">INDEX(Table_Process_Details[Total '[GWP (kg CO2 equiv.) per kg API'] of Unique Inputs (METAL)], MATCH(Table_Process_Details[[#This Row],[Unique Inputs Sorted by '[GWP (kg CO2 equiv.) per kg API']]],Table_Process_Details[Unique Process Inputs],0))</f>
        <v>#N/A</v>
      </c>
      <c r="FL52" s="126" t="e">
        <f ca="1">INDEX(Table_Process_Details[Total '[GWP (kg CO2 equiv.) per kg API'] of Unique Inputs (SOLVENT)], MATCH(Table_Process_Details[[#This Row],[Unique Inputs Sorted by '[GWP (kg CO2 equiv.) per kg API']]],Table_Process_Details[Unique Process Inputs],0))</f>
        <v>#N/A</v>
      </c>
      <c r="FM52" s="126" t="e">
        <f ca="1">INDEX(Table_Process_Details[Total '[GWP (kg CO2 equiv.) per kg API'] of Unique Inputs (WATER)], MATCH(Table_Process_Details[[#This Row],[Unique Inputs Sorted by '[GWP (kg CO2 equiv.) per kg API']]],Table_Process_Details[Unique Process Inputs],0))</f>
        <v>#N/A</v>
      </c>
      <c r="FN52" s="126" t="e">
        <f ca="1">INDEX(Table_Process_Details[Total '[GWP (kg CO2 equiv.) per kg API'] of Unique Inputs (ENZ&amp;PLNT)], MATCH(Table_Process_Details[[#This Row],[Unique Inputs Sorted by '[GWP (kg CO2 equiv.) per kg API']]],Table_Process_Details[Unique Process Inputs],0))</f>
        <v>#N/A</v>
      </c>
      <c r="FO52" s="126" t="e">
        <f ca="1">INDEX(Table_Process_Details[Total '[GWP (kg CO2 equiv.) per kg API'] of Unique Inputs (OTHER)], MATCH(Table_Process_Details[[#This Row],[Unique Inputs Sorted by '[GWP (kg CO2 equiv.) per kg API']]],Table_Process_Details[Unique Process Inputs],0))</f>
        <v>#N/A</v>
      </c>
      <c r="FP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2" s="126">
        <f ca="1">SUMIFS(Table_Process_Details[RV Acidification (kg SO2 equiv.) per kg API],Table_Process_Details[Display Name],Table_Process_Details[[#This Row],[Unique Process Inputs]],Table_Process_Details[Input or Output],"Input")</f>
        <v>0</v>
      </c>
      <c r="FX52" s="131">
        <f ca="1">SUMIFS(Table_Process_Details[RV Acidification (kg SO2 equiv.) per kg API (REAGENT)],Table_Process_Details[Display Name],Table_Process_Details[[#This Row],[Unique Process Inputs]],Table_Process_Details[Input or Output],"Input")</f>
        <v>0</v>
      </c>
      <c r="FY52" s="131">
        <f ca="1">SUMIFS(Table_Process_Details[RV Acidification (kg SO2 equiv.) per kg API (METAL)],Table_Process_Details[Display Name],Table_Process_Details[[#This Row],[Unique Process Inputs]],Table_Process_Details[Input or Output],"Input")</f>
        <v>0</v>
      </c>
      <c r="FZ52" s="131">
        <f ca="1">SUMIFS(Table_Process_Details[RV Acidification (kg SO2 equiv.) per kg API (SOLVENT)],Table_Process_Details[Display Name],Table_Process_Details[[#This Row],[Unique Process Inputs]],Table_Process_Details[Input or Output],"Input")</f>
        <v>0</v>
      </c>
      <c r="GA52" s="131">
        <f ca="1">SUMIFS(Table_Process_Details[RV Acidification (kg SO2 equiv.) per kg API (WATER)],Table_Process_Details[Display Name],Table_Process_Details[[#This Row],[Unique Process Inputs]],Table_Process_Details[Input or Output],"Input")</f>
        <v>0</v>
      </c>
      <c r="GB52" s="131">
        <f ca="1">SUMIFS(Table_Process_Details[RV Acidification (kg SO2 equiv.) per kg API (ENZ&amp;PLNT)],Table_Process_Details[Display Name],Table_Process_Details[[#This Row],[Unique Process Inputs]],Table_Process_Details[Input or Output],"Input")</f>
        <v>0</v>
      </c>
      <c r="GC52" s="131">
        <f ca="1">SUMIFS(Table_Process_Details[RV Acidification (kg SO2 equiv.) per kg API (OTHER)],Table_Process_Details[Display Name],Table_Process_Details[[#This Row],[Unique Process Inputs]],Table_Process_Details[Input or Output],"Input")</f>
        <v>0</v>
      </c>
      <c r="GD52"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2"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52" s="126" t="e">
        <f ca="1">SUM(OFFSET(Table_Process_Details['[Acidification (kg SO2 equiv.) per kg API'] of Unique Inputs Sorted by '[Acidification (kg SO2 equiv.) per kg API']],0,0,Table_Process_Details[[#This Row],[Table Row]]))</f>
        <v>#N/A</v>
      </c>
      <c r="GG52"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2" s="126" t="e">
        <f ca="1">INDEX(Table_Process_Details[Total '[Acidification (kg SO2 equiv.) per kg API'] of Unique Inputs (REAGENT)], MATCH(Table_Process_Details[[#This Row],[Unique Inputs Sorted by '[Acidification (kg SO2 equiv.) per kg API']]],Table_Process_Details[Unique Process Inputs],0))</f>
        <v>#N/A</v>
      </c>
      <c r="GI52" s="126" t="e">
        <f ca="1">INDEX(Table_Process_Details[Total '[Acidification (kg SO2 equiv.) per kg API'] of Unique Inputs (METAL)], MATCH(Table_Process_Details[[#This Row],[Unique Inputs Sorted by '[Acidification (kg SO2 equiv.) per kg API']]],Table_Process_Details[Unique Process Inputs],0))</f>
        <v>#N/A</v>
      </c>
      <c r="GJ52" s="126" t="e">
        <f ca="1">INDEX(Table_Process_Details[Total '[Acidification (kg SO2 equiv.) per kg API'] of Unique Inputs (SOLVENT)], MATCH(Table_Process_Details[[#This Row],[Unique Inputs Sorted by '[Acidification (kg SO2 equiv.) per kg API']]],Table_Process_Details[Unique Process Inputs],0))</f>
        <v>#N/A</v>
      </c>
      <c r="GK52" s="126" t="e">
        <f ca="1">INDEX(Table_Process_Details[Total '[Acidification (kg SO2 equiv.) per kg API'] of Unique Inputs (WATER)], MATCH(Table_Process_Details[[#This Row],[Unique Inputs Sorted by '[Acidification (kg SO2 equiv.) per kg API']]],Table_Process_Details[Unique Process Inputs],0))</f>
        <v>#N/A</v>
      </c>
      <c r="GL52" s="126" t="e">
        <f ca="1">INDEX(Table_Process_Details[Total '[Acidification (kg SO2 equiv.) per kg API'] of Unique Inputs (ENZ&amp;PLNT)], MATCH(Table_Process_Details[[#This Row],[Unique Inputs Sorted by '[Acidification (kg SO2 equiv.) per kg API']]],Table_Process_Details[Unique Process Inputs],0))</f>
        <v>#N/A</v>
      </c>
      <c r="GM52" s="126" t="e">
        <f ca="1">INDEX(Table_Process_Details[Total '[Acidification (kg SO2 equiv.) per kg API'] of Unique Inputs (OTHER)], MATCH(Table_Process_Details[[#This Row],[Unique Inputs Sorted by '[Acidification (kg SO2 equiv.) per kg API']]],Table_Process_Details[Unique Process Inputs],0))</f>
        <v>#N/A</v>
      </c>
      <c r="GN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2" s="126">
        <f ca="1">SUMIFS(Table_Process_Details[RV Eutrophication (kg phosphate equiv.) per kg API],Table_Process_Details[Display Name],Table_Process_Details[[#This Row],[Unique Process Inputs]],Table_Process_Details[Input or Output],"Input")</f>
        <v>0</v>
      </c>
      <c r="GV52" s="131">
        <f ca="1">SUMIFS(Table_Process_Details[RV Eutrophication (kg phosphate equiv.) per kg API (REAGENT)],Table_Process_Details[Display Name],Table_Process_Details[[#This Row],[Unique Process Inputs]],Table_Process_Details[Input or Output],"Input")</f>
        <v>0</v>
      </c>
      <c r="GW52" s="131">
        <f ca="1">SUMIFS(Table_Process_Details[RV Eutrophication (kg phosphate equiv.) per kg API (METAL)],Table_Process_Details[Display Name],Table_Process_Details[[#This Row],[Unique Process Inputs]],Table_Process_Details[Input or Output],"Input")</f>
        <v>0</v>
      </c>
      <c r="GX52" s="131">
        <f ca="1">SUMIFS(Table_Process_Details[RV Eutrophication (kg phosphate equiv.) per kg API (SOLVENT)],Table_Process_Details[Display Name],Table_Process_Details[[#This Row],[Unique Process Inputs]],Table_Process_Details[Input or Output],"Input")</f>
        <v>0</v>
      </c>
      <c r="GY52" s="131">
        <f ca="1">SUMIFS(Table_Process_Details[RV Eutrophication (kg phosphate equiv.) per kg API (WATER)],Table_Process_Details[Display Name],Table_Process_Details[[#This Row],[Unique Process Inputs]],Table_Process_Details[Input or Output],"Input")</f>
        <v>0</v>
      </c>
      <c r="GZ52" s="131">
        <f ca="1">SUMIFS(Table_Process_Details[RV Eutrophication (kg phosphate equiv.) per kg API (ENZ&amp;PLNT)],Table_Process_Details[Display Name],Table_Process_Details[[#This Row],[Unique Process Inputs]],Table_Process_Details[Input or Output],"Input")</f>
        <v>0</v>
      </c>
      <c r="HA52" s="131">
        <f ca="1">SUMIFS(Table_Process_Details[RV Eutrophication (kg phosphate equiv.) per kg API (OTHER)],Table_Process_Details[Display Name],Table_Process_Details[[#This Row],[Unique Process Inputs]],Table_Process_Details[Input or Output],"Input")</f>
        <v>0</v>
      </c>
      <c r="HB52"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2"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2" s="126" t="e">
        <f ca="1">SUM(OFFSET(Table_Process_Details['[Eutrophication (kg posphate equiv.) per kg API'] of Unique Inputs Sorted by '[Eutrophication (kg posphate equiv.) per kg API']],0,0,Table_Process_Details[[#This Row],[Table Row]]))</f>
        <v>#N/A</v>
      </c>
      <c r="HE52"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2" s="131" t="e">
        <f ca="1">INDEX(Table_Process_Details[Total '[Eutrophication (kg posphate equiv.) per kg API'] of Unique Inputs (REAGENT)], MATCH(Table_Process_Details[[#This Row],[Unique Inputs Sorted by '[Eutrophication (kg posphate equiv.) per kg API']]],Table_Process_Details[Unique Process Inputs],0))</f>
        <v>#N/A</v>
      </c>
      <c r="HG52" s="131" t="e">
        <f ca="1">INDEX(Table_Process_Details[Total '[Eutrophication (kg posphate equiv.) per kg API'] of Unique Inputs (METAL)], MATCH(Table_Process_Details[[#This Row],[Unique Inputs Sorted by '[Eutrophication (kg posphate equiv.) per kg API']]],Table_Process_Details[Unique Process Inputs],0))</f>
        <v>#N/A</v>
      </c>
      <c r="HH52" s="131" t="e">
        <f ca="1">INDEX(Table_Process_Details[Total '[Eutrophication (kg posphate equiv.) per kg API'] of Unique Inputs (SOLVENT)], MATCH(Table_Process_Details[[#This Row],[Unique Inputs Sorted by '[Eutrophication (kg posphate equiv.) per kg API']]],Table_Process_Details[Unique Process Inputs],0))</f>
        <v>#N/A</v>
      </c>
      <c r="HI52" s="131" t="e">
        <f ca="1">INDEX(Table_Process_Details[Total '[Eutrophication (kg posphate equiv.) per kg API'] of Unique Inputs (WATER)], MATCH(Table_Process_Details[[#This Row],[Unique Inputs Sorted by '[Eutrophication (kg posphate equiv.) per kg API']]],Table_Process_Details[Unique Process Inputs],0))</f>
        <v>#N/A</v>
      </c>
      <c r="HJ52" s="131" t="e">
        <f ca="1">INDEX(Table_Process_Details[Total '[Eutrophication (kg posphate equiv.) per kg API'] of Unique Inputs (ENZ&amp;PLNT)], MATCH(Table_Process_Details[[#This Row],[Unique Inputs Sorted by '[Eutrophication (kg posphate equiv.) per kg API']]],Table_Process_Details[Unique Process Inputs],0))</f>
        <v>#N/A</v>
      </c>
      <c r="HK52" s="131" t="e">
        <f ca="1">INDEX(Table_Process_Details[Total '[Eutrophication (kg posphate equiv.) per kg API'] of Unique Inputs (OTHER)], MATCH(Table_Process_Details[[#This Row],[Unique Inputs Sorted by '[Eutrophication (kg posphate equiv.) per kg API']]],Table_Process_Details[Unique Process Inputs],0))</f>
        <v>#N/A</v>
      </c>
      <c r="HL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2" s="131">
        <f ca="1">SUMIFS(Table_Process_Details[RV Water (kg) per kg API],Table_Process_Details[Display Name],Table_Process_Details[[#This Row],[Unique Process Inputs]],Table_Process_Details[Input or Output],"Input")</f>
        <v>0</v>
      </c>
      <c r="HT52" s="131">
        <f ca="1">SUMIFS(Table_Process_Details[RV Water (kg) per kg API (REAGENT)],Table_Process_Details[Display Name],Table_Process_Details[[#This Row],[Unique Process Inputs]],Table_Process_Details[Input or Output],"Input")</f>
        <v>0</v>
      </c>
      <c r="HU52" s="131">
        <f ca="1">SUMIFS(Table_Process_Details[RV Water (kg) per kg API (METAL)],Table_Process_Details[Display Name],Table_Process_Details[[#This Row],[Unique Process Inputs]],Table_Process_Details[Input or Output],"Input")</f>
        <v>0</v>
      </c>
      <c r="HV52" s="131">
        <f ca="1">SUMIFS(Table_Process_Details[RV Water (kg) per kg API (SOLVENT)],Table_Process_Details[Display Name],Table_Process_Details[[#This Row],[Unique Process Inputs]],Table_Process_Details[Input or Output],"Input")</f>
        <v>0</v>
      </c>
      <c r="HW52" s="131">
        <f ca="1">SUMIFS(Table_Process_Details[RV Water (kg) per kg API (WATER)],Table_Process_Details[Display Name],Table_Process_Details[[#This Row],[Unique Process Inputs]],Table_Process_Details[Input or Output],"Input")</f>
        <v>0</v>
      </c>
      <c r="HX52" s="131">
        <f ca="1">SUMIFS(Table_Process_Details[RV Water (kg) per kg API (ENZ&amp;PLNT)],Table_Process_Details[Display Name],Table_Process_Details[[#This Row],[Unique Process Inputs]],Table_Process_Details[Input or Output],"Input")</f>
        <v>0</v>
      </c>
      <c r="HY52" s="131">
        <f ca="1">SUMIFS(Table_Process_Details[RV Water (kg) per kg API (OTHER)],Table_Process_Details[Display Name],Table_Process_Details[[#This Row],[Unique Process Inputs]],Table_Process_Details[Input or Output],"Input")</f>
        <v>0</v>
      </c>
      <c r="HZ52" s="126" t="e">
        <f ca="1">INDEX(Table_Process_Details[Unique Process Inputs],MATCH(Table_Process_Details[[#This Row],['[Water (kg) per kg API'] of Unique Inputs Sorted by '[Water (kg) per kg API']]],Table_Process_Details[Total '[Water (kg) per kg API'] of Unique Inputs],0))</f>
        <v>#N/A</v>
      </c>
      <c r="IA52" s="126" t="e">
        <f ca="1">IF(LARGE(Table_Process_Details[Total '[Water (kg) per kg API'] of Unique Inputs],Table_Process_Details[[#This Row],[Table Row]])=0,NA(),LARGE(Table_Process_Details[Total '[Water (kg) per kg API'] of Unique Inputs],Table_Process_Details[[#This Row],[Table Row]]))</f>
        <v>#N/A</v>
      </c>
      <c r="IB52" s="131" t="e">
        <f ca="1">SUM(OFFSET(Table_Process_Details['[Water (kg) per kg API'] of Unique Inputs Sorted by '[Water (kg) per kg API']],0,0,Table_Process_Details[[#This Row],[Table Row]]))</f>
        <v>#N/A</v>
      </c>
      <c r="IC52" s="131" t="e">
        <f ca="1">"("&amp;TEXT(Table_Process_Details[[#This Row],['[Water (kg) per kg API'] of Unique Inputs Sorted by '[Water (kg) per kg API']]]/SUMIF(Table_Process_Details['[Water (kg) per kg API'] of Unique Inputs Sorted by '[Water (kg) per kg API']],"&lt;&gt;#N/A"),"0%")&amp;")"</f>
        <v>#N/A</v>
      </c>
      <c r="ID52" s="131" t="e">
        <f ca="1">INDEX(Table_Process_Details[Total '[Water (kg) per kg API'] of Unique Inputs (REAGENT)], MATCH(Table_Process_Details[[#This Row],[Unique Inputs Sorted by '[Water (kg) per kg API']]],Table_Process_Details[Unique Process Inputs],0))</f>
        <v>#N/A</v>
      </c>
      <c r="IE52" s="131" t="e">
        <f ca="1">INDEX(Table_Process_Details[Total '[Water (kg) per kg API'] of Unique Inputs (METAL)], MATCH(Table_Process_Details[[#This Row],[Unique Inputs Sorted by '[Water (kg) per kg API']]],Table_Process_Details[Unique Process Inputs],0))</f>
        <v>#N/A</v>
      </c>
      <c r="IF52" s="131" t="e">
        <f ca="1">INDEX(Table_Process_Details[Total '[Water (kg) per kg API'] of Unique Inputs (SOLVENT)], MATCH(Table_Process_Details[[#This Row],[Unique Inputs Sorted by '[Water (kg) per kg API']]],Table_Process_Details[Unique Process Inputs],0))</f>
        <v>#N/A</v>
      </c>
      <c r="IG52" s="131" t="e">
        <f ca="1">INDEX(Table_Process_Details[Total '[Water (kg) per kg API'] of Unique Inputs (WATER)], MATCH(Table_Process_Details[[#This Row],[Unique Inputs Sorted by '[Water (kg) per kg API']]],Table_Process_Details[Unique Process Inputs],0))</f>
        <v>#N/A</v>
      </c>
      <c r="IH52" s="131" t="e">
        <f ca="1">INDEX(Table_Process_Details[Total '[Water (kg) per kg API'] of Unique Inputs (ENZ&amp;PLNT)], MATCH(Table_Process_Details[[#This Row],[Unique Inputs Sorted by '[Water (kg) per kg API']]],Table_Process_Details[Unique Process Inputs],0))</f>
        <v>#N/A</v>
      </c>
      <c r="II52" s="131" t="e">
        <f ca="1">INDEX(Table_Process_Details[Total '[Water (kg) per kg API'] of Unique Inputs (OTHER)], MATCH(Table_Process_Details[[#This Row],[Unique Inputs Sorted by '[Water (kg) per kg API']]],Table_Process_Details[Unique Process Inputs],0))</f>
        <v>#N/A</v>
      </c>
    </row>
    <row r="53" spans="1:243" customFormat="1" x14ac:dyDescent="0.25">
      <c r="A53" s="22" t="str">
        <f>'1. Define Process Steps'!A18</f>
        <v>2) Synthesis of Intermediate (2)</v>
      </c>
      <c r="B53" s="21" t="s">
        <v>4</v>
      </c>
      <c r="C53" s="21" t="s">
        <v>170</v>
      </c>
      <c r="D53" s="22" t="str">
        <f>A40</f>
        <v>1) Synthesis of Intermediate (1)</v>
      </c>
      <c r="E53" s="22" t="str">
        <f>E40</f>
        <v>Intermediate (1)</v>
      </c>
      <c r="F53" s="164">
        <f>F40</f>
        <v>51.020408163265309</v>
      </c>
      <c r="G53" s="26" t="s">
        <v>863</v>
      </c>
      <c r="H53" s="26"/>
      <c r="I53" s="26"/>
      <c r="J53" s="26" t="str">
        <f>INDEX(Process_Steps[Reference],MATCH(Table_Process_Details[[#This Row],[Step Name]],Process_Steps[Name],0))</f>
        <v>Reference Document for Step 2</v>
      </c>
      <c r="K53" s="27" t="str">
        <f>INDEX(Process_Steps[Real or Virtual?],MATCH(Table_Process_Details[[#This Row],[Step Name]],Process_Steps[Name],0))</f>
        <v>Real</v>
      </c>
      <c r="L53"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53"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53" s="26">
        <f>INDEX(Table_Process_Details[Physical Mass (kg)],MATCH(1,INDEX(((Table_Process_Details[Step Name]=Table_Process_Details[[#This Row],[Step Name]])*(Table_Process_Details[Input or Output]="Output")),0),0))</f>
        <v>157.52551020408163</v>
      </c>
      <c r="O53" s="29">
        <f ca="1">INDEX(Process_Steps[Step Scale Factor for 1kg Packaged API],MATCH(Table_Process_Details[[#This Row],[Step Name]],Process_Steps[Name],0))</f>
        <v>6.9901025556824191E-3</v>
      </c>
      <c r="P53"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9.5</v>
      </c>
      <c r="Q53"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11.5</v>
      </c>
      <c r="R53" s="26">
        <f ca="1">_xlfn.SWITCH(Run_Reset_PNG,"Reset",Table_Process_Details[[#This Row],[X Init]],"Run",Table_Process_Details[[#This Row],[X Moved]],"Freeze",Table_Process_Details[[#This Row],[X Mover]])</f>
        <v>1.3922056955228961</v>
      </c>
      <c r="S53" s="26">
        <f ca="1">_xlfn.SWITCH(Run_Reset_PNG,"Reset",Table_Process_Details[[#This Row],[Y Init]],"Run",Table_Process_Details[[#This Row],[Y Moved]],"Freeze",Table_Process_Details[[#This Row],[Y Mover]])</f>
        <v>14.090296470094351</v>
      </c>
      <c r="T53" s="26" cm="1">
        <f t="array" aca="1" ref="T5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-0.5499717273275464</v>
      </c>
      <c r="U53" s="26" cm="1">
        <f t="array" aca="1" ref="U5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-7.2232580192274112</v>
      </c>
      <c r="V53" s="26" cm="1">
        <f t="array" aca="1" ref="V53" ca="1">SUM(--(SQRT((Table_Process_Details[[#This Row],[X Mover]]-Table_Process_Details[X Mover])^2+(Table_Process_Details[[#This Row],[Y Mover]]-Table_Process_Details[Y Mover])^2)&lt;Collision_Distance))</f>
        <v>25</v>
      </c>
      <c r="W53" s="26" cm="1">
        <f t="array" aca="1" ref="W5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-4.2314838726827703E-2</v>
      </c>
      <c r="X53" s="26" cm="1">
        <f t="array" aca="1" ref="X5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0.65601853757853568</v>
      </c>
      <c r="Y53" s="26" cm="1">
        <f t="array" aca="1" ref="Y5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53" s="26">
        <f>0</f>
        <v>0</v>
      </c>
      <c r="AA53" s="26">
        <f>0</f>
        <v>0</v>
      </c>
      <c r="AB53"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-0.69610284776144804</v>
      </c>
      <c r="AC53" s="26" cm="1">
        <f t="array" aca="1" ref="AC5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-7.0451482350471757</v>
      </c>
      <c r="AD53" s="26">
        <f>MIN(1,COUNTA(Table_Process_Details[[#This Row],[target x]]),COUNTA(Table_Process_Details[[#This Row],[target y]]))*COUNTA(Table_Process_Details[Step Name])</f>
        <v>98</v>
      </c>
      <c r="AE53"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1.3419463167831003</v>
      </c>
      <c r="AF53"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14.057486150409959</v>
      </c>
      <c r="AG53"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53" s="26" cm="1">
        <f t="array" aca="1" ref="AH53" ca="1">INDEX(Table_Process_Details[X Mover],MATCH(1,INDEX((Table_Process_Details[Input or Output]="Output")*(Table_Process_Details[Step Name]=Table_Process_Details[[#This Row],[Step Name]])*(Table_Process_Details[[#This Row],[Input or Output]]="Input"),0),0))</f>
        <v>1.9309511115841147</v>
      </c>
      <c r="AI53" s="26" cm="1">
        <f t="array" aca="1" ref="AI53" ca="1">INDEX(Table_Process_Details[Y Mover],MATCH(1,INDEX((Table_Process_Details[Input or Output]="Output")*(Table_Process_Details[Step Name]=Table_Process_Details[[#This Row],[Step Name]])*(Table_Process_Details[[#This Row],[Input or Output]]="Input"),0),0))</f>
        <v>7.9388892826190514</v>
      </c>
      <c r="AJ53" s="26">
        <f ca="1">SQRT((Table_Process_Details[[#This Row],[X End (To Node Center)]]-Table_Process_Details[[#This Row],[X Guide]])^2+(Table_Process_Details[[#This Row],[Y End (to Node Center)]]-Table_Process_Details[[#This Row],[Y Guide]])^2)</f>
        <v>6.1749540086910564</v>
      </c>
      <c r="AK53" s="26" cm="1">
        <f t="array" aca="1" ref="AK53" ca="1">INDEX(Table_Process_Details[X Mover],MATCH(1,INDEX((Table_Process_Details[Step Name]=Table_Process_Details[[#This Row],[LCA Data Source Subclass]])*(Table_Process_Details[Input or Output]="Output"),0)*(Table_Process_Details[[#This Row],[Input or Output]]="Input"),0))</f>
        <v>0.78891624628593393</v>
      </c>
      <c r="AL53" s="26" cm="1">
        <f t="array" aca="1" ref="AL53" ca="1">INDEX(Table_Process_Details[X Mover],MATCH(1,INDEX(((Table_Process_Details[Table Row]=Table_Process_Details[[#This Row],[Table Row]])*(1)),0)*(Table_Process_Details[[#This Row],[Input or Output]]="Input"),0))</f>
        <v>1.3922056955228961</v>
      </c>
      <c r="AM53" s="26" cm="1">
        <f t="array" aca="1" ref="AM53" ca="1">(Table_Process_Details[[#This Row],[X End (To Node Center)]]*Table_Process_Details[[#This Row],[r0]]-Table_Process_Details[[#This Row],[X End (To Node Center)]]*Arrow_Offset+Table_Process_Details[[#This Row],[X Guide]]*Arrow_Offset)/Table_Process_Details[[#This Row],[r0]]</f>
        <v>1.8611536147537968</v>
      </c>
      <c r="AN53" s="26">
        <f ca="1">IF(NOT(Table_Process_Details[[#This Row],[Display As]]="None"),Table_Process_Details[[#This Row],[X Start Prefilter]],NA())</f>
        <v>0.78891624628593393</v>
      </c>
      <c r="AO53" s="26">
        <f ca="1">IF(NOT(Table_Process_Details[[#This Row],[Display As]]="None"),Table_Process_Details[[#This Row],[X Guide Prefilter]],NA())</f>
        <v>1.3922056955228961</v>
      </c>
      <c r="AP53" s="26">
        <f ca="1">IF(NOT(Table_Process_Details[[#This Row],[Display As]]="None"),Table_Process_Details[[#This Row],[X End (to Stop Radius) Prefilter]],NA())</f>
        <v>1.8611536147537968</v>
      </c>
      <c r="AQ53" s="26" t="e">
        <f>NA()</f>
        <v>#N/A</v>
      </c>
      <c r="AR53" s="26" cm="1">
        <f t="array" aca="1" ref="AR53" ca="1">INDEX(Table_Process_Details[Y Mover],MATCH(1,INDEX((Table_Process_Details[Step Name]=Table_Process_Details[[#This Row],[LCA Data Source Subclass]])*(Table_Process_Details[Input or Output]="Output"),0)*(Table_Process_Details[[#This Row],[Input or Output]]="Input"),0))</f>
        <v>21.555431875630404</v>
      </c>
      <c r="AS53" s="26" cm="1">
        <f t="array" aca="1" ref="AS53" ca="1">INDEX(Table_Process_Details[Y Mover],MATCH(1,INDEX(((Table_Process_Details[Table Row]=Table_Process_Details[[#This Row],[Table Row]])*(1)),0)*(Table_Process_Details[[#This Row],[Input or Output]]="Input"),0))</f>
        <v>14.090296470094351</v>
      </c>
      <c r="AT53" s="26" cm="1">
        <f t="array" aca="1" ref="AT53" ca="1">(Table_Process_Details[[#This Row],[Y Guide]]*Arrow_Offset-Table_Process_Details[[#This Row],[Y End (to Node Center)]]*Arrow_Offset+Table_Process_Details[[#This Row],[Y End (to Node Center)]]*Table_Process_Details[[#This Row],[r0]])/Table_Process_Details[[#This Row],[r0]]</f>
        <v>8.7358386595786062</v>
      </c>
      <c r="AU53" s="26">
        <f ca="1">IF(NOT(Table_Process_Details[[#This Row],[Display As]]="None"),Table_Process_Details[[#This Row],[Y Start Prefilter]],NA())</f>
        <v>21.555431875630404</v>
      </c>
      <c r="AV53" s="26">
        <f ca="1">IF(NOT(Table_Process_Details[[#This Row],[Display As]]="None"),Table_Process_Details[[#This Row],[Y Guide Prefilter]],NA())</f>
        <v>14.090296470094351</v>
      </c>
      <c r="AW53" s="26">
        <f ca="1">IF(NOT(Table_Process_Details[[#This Row],[Display As]]="None"),Table_Process_Details[[#This Row],[Y End (to Stop Radius) Prefilter]],NA())</f>
        <v>8.7358386595786062</v>
      </c>
      <c r="AX53" s="26" t="e">
        <f>NA()</f>
        <v>#N/A</v>
      </c>
      <c r="AY53" s="26" t="e">
        <f>IF(Table_Process_Details[[#This Row],[Display As]]="Real Step",Table_Process_Details[[#This Row],[X Mover]],NA())</f>
        <v>#N/A</v>
      </c>
      <c r="AZ53" s="26" t="e">
        <f>IF(Table_Process_Details[[#This Row],[Display As]]="Real Step",Table_Process_Details[[#This Row],[Y Mover]],NA())</f>
        <v>#N/A</v>
      </c>
      <c r="BA53" s="26" t="e">
        <f>IF(Table_Process_Details[[#This Row],[Display As]]="Raw Material",Table_Process_Details[[#This Row],[X Mover]],NA())</f>
        <v>#N/A</v>
      </c>
      <c r="BB53" s="26" t="e">
        <f>IF(Table_Process_Details[[#This Row],[Display As]]="Raw Material",Table_Process_Details[[#This Row],[Y Mover]],NA())</f>
        <v>#N/A</v>
      </c>
      <c r="BC53" s="26" t="e">
        <f>IF(OR(Table_Process_Details[[#This Row],[Display As]]="Real Step",Table_Process_Details[[#This Row],[Display As]]="Raw Material"),Table_Process_Details[[#This Row],[X Mover]],NA())</f>
        <v>#N/A</v>
      </c>
      <c r="BD53" s="26" t="e">
        <f>IF(OR(Table_Process_Details[[#This Row],[Display As]]="Real Step",Table_Process_Details[[#This Row],[Display As]]="Raw Material"),Table_Process_Details[[#This Row],[Y Mover]],NA())</f>
        <v>#N/A</v>
      </c>
      <c r="BE53" s="22">
        <f>ROW()-ROW(Table_Process_Details[[#Headers],[Table Row]])</f>
        <v>49</v>
      </c>
      <c r="BF53" s="23" t="str" cm="1">
        <f t="array" aca="1" ref="BF53" ca="1">INDEX(Table_Process_Details[Display Name],MATCH(0,IF(Table_Process_Details[Input or Output]="Input",INDEX(COUNTIF(OFFSET(Table_Process_Details[[#Headers],[Unique Process Inputs]],0,0,Table_Process_Details[[#This Row],[Table Row]],1),Table_Process_Details[Display Name]),),""),0))</f>
        <v>reagent V (organic)</v>
      </c>
      <c r="BG53" s="23">
        <f ca="1">Table_Process_Details[[#This Row],[Physical Mass (kg)]]*Table_Process_Details[[#This Row],[Step Scale Factor for 1kg Packaged API]]</f>
        <v>0.35663788549400099</v>
      </c>
      <c r="BH53"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0.99999999999943701</v>
      </c>
      <c r="BI53" s="23">
        <f ca="1">MATCH(Table_Process_Details[[#This Row],[LCA Data Source Class]],INDIRECT(Table_Process_Details[[#This Row],[Input or Output]]),0)</f>
        <v>1</v>
      </c>
      <c r="BJ53" s="23">
        <f ca="1">MATCH(Table_Process_Details[[#This Row],[LCA Data Source Subclass]],INDIRECT(Table_Process_Details[[#This Row],[LCA Data Source Class]]&amp;"[Name]"),0)</f>
        <v>7</v>
      </c>
      <c r="BK53" s="23">
        <f ca="1">IFERROR(INDEX(INDIRECT(Table_Process_Details[[#This Row],[LCA Data Source Class]]&amp;"[Mass Net (kg)]"),MATCH(Table_Process_Details[[#This Row],[LCA Data Source Subclass]],INDIRECT(Table_Process_Details[[#This Row],[LCA Data Source Class]]&amp;"[Name]"),0)),0)</f>
        <v>0</v>
      </c>
      <c r="BL53" s="23">
        <f ca="1">IFERROR(INDEX(INDIRECT(Table_Process_Details[[#This Row],[LCA Data Source Class]]&amp;"[Energy (MJ)]"),MATCH(Table_Process_Details[[#This Row],[LCA Data Source Subclass]],INDIRECT(Table_Process_Details[[#This Row],[LCA Data Source Class]]&amp;"[Name]"),0)),0)</f>
        <v>0</v>
      </c>
      <c r="BM53" s="23">
        <f ca="1">IFERROR(INDEX(INDIRECT(Table_Process_Details[[#This Row],[LCA Data Source Class]]&amp;"[GWP (kg CO2 equiv.)]"),MATCH(Table_Process_Details[[#This Row],[LCA Data Source Subclass]],INDIRECT(Table_Process_Details[[#This Row],[LCA Data Source Class]]&amp;"[Name]"),0)),0)</f>
        <v>0</v>
      </c>
      <c r="BN53" s="23">
        <f ca="1">IFERROR(INDEX(INDIRECT(Table_Process_Details[[#This Row],[LCA Data Source Class]]&amp;"[Acidification (kg SO2 equiv.)]"),MATCH(Table_Process_Details[[#This Row],[LCA Data Source Subclass]],INDIRECT(Table_Process_Details[[#This Row],[LCA Data Source Class]]&amp;"[Name]"),0)),0)</f>
        <v>0</v>
      </c>
      <c r="BO53" s="23">
        <f ca="1">IFERROR(INDEX(INDIRECT(Table_Process_Details[[#This Row],[LCA Data Source Class]]&amp;"[Eutrophication (kg posphate equiv.)]"),MATCH(Table_Process_Details[[#This Row],[LCA Data Source Subclass]],INDIRECT(Table_Process_Details[[#This Row],[LCA Data Source Class]]&amp;"[Name]"),0)),0)</f>
        <v>0</v>
      </c>
      <c r="BP53" s="23">
        <f ca="1">IFERROR(INDEX(INDIRECT(Table_Process_Details[[#This Row],[LCA Data Source Class]]&amp;"[Water (kg)]"),MATCH(Table_Process_Details[[#This Row],[LCA Data Source Subclass]],INDIRECT(Table_Process_Details[[#This Row],[LCA Data Source Class]]&amp;"[Name]"),0)),0)</f>
        <v>0</v>
      </c>
      <c r="BQ53" s="27">
        <f ca="1">(Table_Process_Details[[#This Row],[Input or Output]]="Input")*(Table_Process_Details[[#This Row],[LCA Data Source Class]]&lt;&gt;"Process_Steps")*Table_Process_Details[[#This Row],[Scaled Physical Mass per kg API for All Inputs &amp; Outputs]]</f>
        <v>0</v>
      </c>
      <c r="BR53" s="27">
        <f ca="1">(Table_Process_Details[[#This Row],[Material Class]]="REAGENT")*Table_Process_Details[[#This Row],[Physical Mass per kg API]]</f>
        <v>0</v>
      </c>
      <c r="BS53" s="27">
        <f ca="1">(Table_Process_Details[[#This Row],[Material Class]]="METAL")*Table_Process_Details[[#This Row],[Physical Mass per kg API]]</f>
        <v>0</v>
      </c>
      <c r="BT53" s="27">
        <f ca="1">(Table_Process_Details[[#This Row],[Material Class]]="SOLVENT")*Table_Process_Details[[#This Row],[Physical Mass per kg API]]</f>
        <v>0</v>
      </c>
      <c r="BU53" s="27">
        <f ca="1">(Table_Process_Details[[#This Row],[Material Class]]="WATER")*Table_Process_Details[[#This Row],[Physical Mass per kg API]]</f>
        <v>0</v>
      </c>
      <c r="BV53" s="27">
        <f ca="1">(Table_Process_Details[[#This Row],[Material Class]]="ENZ&amp;PLNT")*Table_Process_Details[[#This Row],[Physical Mass per kg API]]</f>
        <v>0</v>
      </c>
      <c r="BW53" s="27">
        <f ca="1">(Table_Process_Details[[#This Row],[Material Class]]="OTHER")*Table_Process_Details[[#This Row],[Physical Mass per kg API]]</f>
        <v>0</v>
      </c>
      <c r="BX53"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53"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3"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3"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3"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3"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3"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3" s="1">
        <f ca="1">SUMIFS(Table_Process_Details[RV Physical Mass per kg API],Table_Process_Details[Display Name],Table_Process_Details[[#This Row],[Unique Process Inputs]],Table_Process_Details[Input or Output],"Input")</f>
        <v>0.8</v>
      </c>
      <c r="CF53" s="1">
        <f ca="1">SUMIFS(Table_Process_Details[RV Physical Mass per kg API (REAGENT)],Table_Process_Details[Display Name],Table_Process_Details[[#This Row],[Unique Process Inputs]],Table_Process_Details[Input or Output],"Input")</f>
        <v>0.8</v>
      </c>
      <c r="CG53" s="1">
        <f ca="1">SUMIFS(Table_Process_Details[RV Physical Mass per kg API (METAL)],Table_Process_Details[Display Name],Table_Process_Details[[#This Row],[Unique Process Inputs]],Table_Process_Details[Input or Output],"Input")</f>
        <v>0</v>
      </c>
      <c r="CH53" s="1">
        <f ca="1">SUMIFS(Table_Process_Details[RV Physical Mass per kg API (SOLVENT)],Table_Process_Details[Display Name],Table_Process_Details[[#This Row],[Unique Process Inputs]],Table_Process_Details[Input or Output],"Input")</f>
        <v>0</v>
      </c>
      <c r="CI53" s="1">
        <f ca="1">SUMIFS(Table_Process_Details[RV Physical Mass per kg API (WATER)],Table_Process_Details[Display Name],Table_Process_Details[[#This Row],[Unique Process Inputs]],Table_Process_Details[Input or Output],"Input")</f>
        <v>0</v>
      </c>
      <c r="CJ53" s="1">
        <f ca="1">SUMIFS(Table_Process_Details[RV Physical Mass per kg API (ENZ&amp;PLNT)],Table_Process_Details[Display Name],Table_Process_Details[[#This Row],[Unique Process Inputs]],Table_Process_Details[Input or Output],"Input")</f>
        <v>0</v>
      </c>
      <c r="CK53" s="1">
        <f ca="1">SUMIFS(Table_Process_Details[RV Physical Mass per kg API (OTHER)],Table_Process_Details[Display Name],Table_Process_Details[[#This Row],[Unique Process Inputs]],Table_Process_Details[Input or Output],"Input")</f>
        <v>0</v>
      </c>
      <c r="CL53" s="22" t="e">
        <f ca="1">INDEX(Table_Process_Details[Unique Process Inputs],MATCH(Table_Process_Details[[#This Row],['[Physical Mass per kg API'] of Unique Inputs Sorted by '[Physical Mass per kg API']]],Table_Process_Details[Total '[Physical Mass per kg API'] of Unique Inputs],0))</f>
        <v>#N/A</v>
      </c>
      <c r="CM53" s="22" t="e">
        <f ca="1">IF(LARGE(Table_Process_Details[Total '[Physical Mass per kg API'] of Unique Inputs],Table_Process_Details[[#This Row],[Table Row]])=0,NA(),LARGE(Table_Process_Details[Total '[Physical Mass per kg API'] of Unique Inputs],Table_Process_Details[[#This Row],[Table Row]]))</f>
        <v>#N/A</v>
      </c>
      <c r="CN53" s="22" t="e">
        <f ca="1">SUM(OFFSET(Table_Process_Details['[Physical Mass per kg API'] of Unique Inputs Sorted by '[Physical Mass per kg API']],0,0,Table_Process_Details[[#This Row],[Table Row]]))</f>
        <v>#N/A</v>
      </c>
      <c r="CO53" s="22" t="e">
        <f ca="1">"("&amp;TEXT(Table_Process_Details[[#This Row],['[Physical Mass per kg API'] of Unique Inputs Sorted by '[Physical Mass per kg API']]]/SUMIF(Table_Process_Details['[Physical Mass per kg API'] of Unique Inputs Sorted by '[Physical Mass per kg API']],"&lt;&gt;#N/A"),"0%")&amp;")"</f>
        <v>#N/A</v>
      </c>
      <c r="CP53" s="22" t="e">
        <f ca="1">INDEX(Table_Process_Details[Total '[Physical Mass per kg API'] of Unique Inputs (REAGENT)],MATCH(Table_Process_Details[[#This Row],[Unique Inputs Sorted by '[Physical Mass per kg API']]],Table_Process_Details[Unique Process Inputs],0))</f>
        <v>#N/A</v>
      </c>
      <c r="CQ53" s="22" t="e">
        <f ca="1">INDEX(Table_Process_Details[Total '[Physical Mass per kg API'] of Unique Inputs (METAL)],MATCH(Table_Process_Details[[#This Row],[Unique Inputs Sorted by '[Physical Mass per kg API']]],Table_Process_Details[Unique Process Inputs],0))</f>
        <v>#N/A</v>
      </c>
      <c r="CR53" s="22" t="e">
        <f ca="1">INDEX(Table_Process_Details[Total '[Physical Mass per kg API'] of Unique Inputs (SOLVENT)],MATCH(Table_Process_Details[[#This Row],[Unique Inputs Sorted by '[Physical Mass per kg API']]],Table_Process_Details[Unique Process Inputs],0))</f>
        <v>#N/A</v>
      </c>
      <c r="CS53" s="22" t="e">
        <f ca="1">INDEX(Table_Process_Details[Total '[Physical Mass per kg API'] of Unique Inputs (WATER)],MATCH(Table_Process_Details[[#This Row],[Unique Inputs Sorted by '[Physical Mass per kg API']]],Table_Process_Details[Unique Process Inputs],0))</f>
        <v>#N/A</v>
      </c>
      <c r="CT53" s="22" t="e">
        <f ca="1">INDEX(Table_Process_Details[Total '[Physical Mass per kg API'] of Unique Inputs (ENZ&amp;PLNT)],MATCH(Table_Process_Details[[#This Row],[Unique Inputs Sorted by '[Physical Mass per kg API']]],Table_Process_Details[Unique Process Inputs],0))</f>
        <v>#N/A</v>
      </c>
      <c r="CU53" s="22" t="e">
        <f ca="1">INDEX(Table_Process_Details[Total '[Physical Mass per kg API'] of Unique Inputs (OTHER)],MATCH(Table_Process_Details[[#This Row],[Unique Inputs Sorted by '[Physical Mass per kg API']]],Table_Process_Details[Unique Process Inputs],0))</f>
        <v>#N/A</v>
      </c>
      <c r="CV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3" s="22">
        <f ca="1">SUMIFS(Table_Process_Details[RV Mass Net (kg) per kg API],Table_Process_Details[Display Name],Table_Process_Details[[#This Row],[Unique Process Inputs]],Table_Process_Details[Input or Output],"Input")</f>
        <v>1.6688966539354837</v>
      </c>
      <c r="DD53" s="22">
        <f ca="1">SUMIFS(Table_Process_Details[RV Mass Net (kg) per kg API (REAGENT)],Table_Process_Details[Display Name],Table_Process_Details[[#This Row],[Unique Process Inputs]],Table_Process_Details[Input or Output],"Input")</f>
        <v>1.6688966539354837</v>
      </c>
      <c r="DE53" s="22">
        <f ca="1">SUMIFS(Table_Process_Details[RV Mass Net (kg) per kg API (METAL)],Table_Process_Details[Display Name],Table_Process_Details[[#This Row],[Unique Process Inputs]],Table_Process_Details[Input or Output],"Input")</f>
        <v>0</v>
      </c>
      <c r="DF53" s="22">
        <f ca="1">SUMIFS(Table_Process_Details[RV Mass Net (kg) per kg API (SOLVENT)],Table_Process_Details[Display Name],Table_Process_Details[[#This Row],[Unique Process Inputs]],Table_Process_Details[Input or Output],"Input")</f>
        <v>0</v>
      </c>
      <c r="DG53" s="22">
        <f ca="1">SUMIFS(Table_Process_Details[RV Mass Net (kg) per kg API (WATER)],Table_Process_Details[Display Name],Table_Process_Details[[#This Row],[Unique Process Inputs]],Table_Process_Details[Input or Output],"Input")</f>
        <v>0</v>
      </c>
      <c r="DH53" s="22">
        <f ca="1">SUMIFS(Table_Process_Details[RV Mass Net (kg) per kg API (ENZ&amp;PLNT)],Table_Process_Details[Display Name],Table_Process_Details[[#This Row],[Unique Process Inputs]],Table_Process_Details[Input or Output],"Input")</f>
        <v>0</v>
      </c>
      <c r="DI53" s="22">
        <f ca="1">SUMIFS(Table_Process_Details[RV Mass Net (kg) per kg API (OTHER)],Table_Process_Details[Display Name],Table_Process_Details[[#This Row],[Unique Process Inputs]],Table_Process_Details[Input or Output],"Input")</f>
        <v>0</v>
      </c>
      <c r="DJ53" s="22" t="e">
        <f ca="1">INDEX(Table_Process_Details[Unique Process Inputs],MATCH(Table_Process_Details[[#This Row],['[Mass Net (kg) per kg API'] of Unique Inputs Sorted by '[Mass Net (kg) per kg API']]],Table_Process_Details[Total '[Mass Net (kg) per kg API'] of Unique Inputs],0))</f>
        <v>#N/A</v>
      </c>
      <c r="DK53" s="22" t="e">
        <f ca="1">IF(LARGE(Table_Process_Details[Total '[Mass Net (kg) per kg API'] of Unique Inputs],Table_Process_Details[[#This Row],[Table Row]])=0,NA(),LARGE(Table_Process_Details[Total '[Mass Net (kg) per kg API'] of Unique Inputs],Table_Process_Details[[#This Row],[Table Row]]))</f>
        <v>#N/A</v>
      </c>
      <c r="DL53" s="22" t="e">
        <f ca="1">SUM(OFFSET(Table_Process_Details['[Mass Net (kg) per kg API'] of Unique Inputs Sorted by '[Mass Net (kg) per kg API']],0,0,Table_Process_Details[[#This Row],[Table Row]]))</f>
        <v>#N/A</v>
      </c>
      <c r="DM53" s="22" t="e">
        <f ca="1">"("&amp;TEXT(Table_Process_Details[[#This Row],['[Mass Net (kg) per kg API'] of Unique Inputs Sorted by '[Mass Net (kg) per kg API']]]/SUMIF(Table_Process_Details['[Mass Net (kg) per kg API'] of Unique Inputs Sorted by '[Mass Net (kg) per kg API']],"&lt;&gt;#N/A"),"0%")&amp;")"</f>
        <v>#N/A</v>
      </c>
      <c r="DN53" s="22" t="e">
        <f ca="1">INDEX(Table_Process_Details[Total '[Mass Net (kg) per kg API'] of Unique Inputs (REAGENT)], MATCH(Table_Process_Details[[#This Row],[Unique Inputs Sorted by '[Mass Net (kg) per kg API']]],Table_Process_Details[Unique Process Inputs],0))</f>
        <v>#N/A</v>
      </c>
      <c r="DO53" s="22" t="e">
        <f ca="1">INDEX(Table_Process_Details[Total '[Mass Net (kg) per kg API'] of Unique Inputs (METAL)], MATCH(Table_Process_Details[[#This Row],[Unique Inputs Sorted by '[Mass Net (kg) per kg API']]],Table_Process_Details[Unique Process Inputs],0))</f>
        <v>#N/A</v>
      </c>
      <c r="DP53" s="22" t="e">
        <f ca="1">INDEX(Table_Process_Details[Total '[Mass Net (kg) per kg API'] of Unique Inputs (SOLVENT)], MATCH(Table_Process_Details[[#This Row],[Unique Inputs Sorted by '[Mass Net (kg) per kg API']]],Table_Process_Details[Unique Process Inputs],0))</f>
        <v>#N/A</v>
      </c>
      <c r="DQ53" s="22" t="e">
        <f ca="1">INDEX(Table_Process_Details[Total '[Mass Net (kg) per kg API'] of Unique Inputs (WATER)], MATCH(Table_Process_Details[[#This Row],[Unique Inputs Sorted by '[Mass Net (kg) per kg API']]],Table_Process_Details[Unique Process Inputs],0))</f>
        <v>#N/A</v>
      </c>
      <c r="DR53" s="22" t="e">
        <f ca="1">INDEX(Table_Process_Details[Total '[Mass Net (kg) per kg API'] of Unique Inputs (ENZ&amp;PLNT)], MATCH(Table_Process_Details[[#This Row],[Unique Inputs Sorted by '[Mass Net (kg) per kg API']]],Table_Process_Details[Unique Process Inputs],0))</f>
        <v>#N/A</v>
      </c>
      <c r="DS53" s="22" t="e">
        <f ca="1">INDEX(Table_Process_Details[Total '[Mass Net (kg) per kg API'] of Unique Inputs (OTHER)], MATCH(Table_Process_Details[[#This Row],[Unique Inputs Sorted by '[Mass Net (kg) per kg API']]],Table_Process_Details[Unique Process Inputs],0))</f>
        <v>#N/A</v>
      </c>
      <c r="DT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3" s="1">
        <f ca="1">SUMIFS(Table_Process_Details[RV Energy (MJ) per kg API],Table_Process_Details[Display Name],Table_Process_Details[[#This Row],[Unique Process Inputs]],Table_Process_Details[Input or Output],"Input")</f>
        <v>59.89383089032259</v>
      </c>
      <c r="EB53" s="1">
        <f ca="1">SUMIFS(Table_Process_Details[RV Energy (MJ) per kg API (REAGENT)],Table_Process_Details[Display Name],Table_Process_Details[[#This Row],[Unique Process Inputs]],Table_Process_Details[Input or Output],"Input")</f>
        <v>59.89383089032259</v>
      </c>
      <c r="EC53" s="1">
        <f ca="1">SUMIFS(Table_Process_Details[RV Energy (MJ) per kg API (METAL)],Table_Process_Details[Display Name],Table_Process_Details[[#This Row],[Unique Process Inputs]],Table_Process_Details[Input or Output],"Input")</f>
        <v>0</v>
      </c>
      <c r="ED53" s="1">
        <f ca="1">SUMIFS(Table_Process_Details[RV Energy (MJ) per kg API (SOLVENT)],Table_Process_Details[Display Name],Table_Process_Details[[#This Row],[Unique Process Inputs]],Table_Process_Details[Input or Output],"Input")</f>
        <v>0</v>
      </c>
      <c r="EE53" s="1">
        <f ca="1">SUMIFS(Table_Process_Details[RV Energy (MJ) per kg API (WATER)],Table_Process_Details[Display Name],Table_Process_Details[[#This Row],[Unique Process Inputs]],Table_Process_Details[Input or Output],"Input")</f>
        <v>0</v>
      </c>
      <c r="EF53" s="1">
        <f ca="1">SUMIFS(Table_Process_Details[RV Energy (MJ) per kg API (ENZ&amp;PLNT)],Table_Process_Details[Display Name],Table_Process_Details[[#This Row],[Unique Process Inputs]],Table_Process_Details[Input or Output],"Input")</f>
        <v>0</v>
      </c>
      <c r="EG53" s="1">
        <f ca="1">SUMIFS(Table_Process_Details[RV Energy (MJ) per kg API (OTHER)],Table_Process_Details[Display Name],Table_Process_Details[[#This Row],[Unique Process Inputs]],Table_Process_Details[Input or Output],"Input")</f>
        <v>0</v>
      </c>
      <c r="EH53" s="1" t="e">
        <f ca="1">INDEX(Table_Process_Details[Unique Process Inputs],MATCH(Table_Process_Details[[#This Row],['[Energy (MJ) per kg API'] of Unique Inputs Sorted by '[Energy (MJ) per kg API']]],Table_Process_Details[Total '[Energy (MJ) per kg API'] of Unique Inputs],0))</f>
        <v>#N/A</v>
      </c>
      <c r="EI53" s="22" t="e">
        <f ca="1">IF(LARGE(Table_Process_Details[Total '[Energy (MJ) per kg API'] of Unique Inputs],Table_Process_Details[[#This Row],[Table Row]])=0,NA(),LARGE(Table_Process_Details[Total '[Energy (MJ) per kg API'] of Unique Inputs],Table_Process_Details[[#This Row],[Table Row]]))</f>
        <v>#N/A</v>
      </c>
      <c r="EJ53" s="22" t="e">
        <f ca="1">SUM(OFFSET(Table_Process_Details['[Energy (MJ) per kg API'] of Unique Inputs Sorted by '[Energy (MJ) per kg API']],0,0,Table_Process_Details[[#This Row],[Table Row]]))</f>
        <v>#N/A</v>
      </c>
      <c r="EK53" s="22" t="e">
        <f ca="1">"("&amp;TEXT(Table_Process_Details[[#This Row],['[Energy (MJ) per kg API'] of Unique Inputs Sorted by '[Energy (MJ) per kg API']]]/SUMIF(Table_Process_Details['[Energy (MJ) per kg API'] of Unique Inputs Sorted by '[Energy (MJ) per kg API']],"&lt;&gt;#N/A"),"0%")&amp;")"</f>
        <v>#N/A</v>
      </c>
      <c r="EL53" s="22" t="e">
        <f ca="1">INDEX(Table_Process_Details[Total '[Energy (MJ) per kg API'] of Unique Inputs (REAGENT)], MATCH(Table_Process_Details[[#This Row],[Unique Inputs Sorted by '[Energy (MJ) per kg API']]],Table_Process_Details[Unique Process Inputs],0))</f>
        <v>#N/A</v>
      </c>
      <c r="EM53" s="22" t="e">
        <f ca="1">INDEX(Table_Process_Details[Total '[Energy (MJ) per kg API'] of Unique Inputs (METAL)], MATCH(Table_Process_Details[[#This Row],[Unique Inputs Sorted by '[Energy (MJ) per kg API']]],Table_Process_Details[Unique Process Inputs],0))</f>
        <v>#N/A</v>
      </c>
      <c r="EN53" s="22" t="e">
        <f ca="1">INDEX(Table_Process_Details[Total '[Energy (MJ) per kg API'] of Unique Inputs (SOLVENT)], MATCH(Table_Process_Details[[#This Row],[Unique Inputs Sorted by '[Energy (MJ) per kg API']]],Table_Process_Details[Unique Process Inputs],0))</f>
        <v>#N/A</v>
      </c>
      <c r="EO53" s="22" t="e">
        <f ca="1">INDEX(Table_Process_Details[Total '[Energy (MJ) per kg API'] of Unique Inputs (WATER)], MATCH(Table_Process_Details[[#This Row],[Unique Inputs Sorted by '[Energy (MJ) per kg API']]],Table_Process_Details[Unique Process Inputs],0))</f>
        <v>#N/A</v>
      </c>
      <c r="EP53" s="22" t="e">
        <f ca="1">INDEX(Table_Process_Details[Total '[Energy (MJ) per kg API'] of Unique Inputs (ENZ&amp;PLNT)], MATCH(Table_Process_Details[[#This Row],[Unique Inputs Sorted by '[Energy (MJ) per kg API']]],Table_Process_Details[Unique Process Inputs],0))</f>
        <v>#N/A</v>
      </c>
      <c r="EQ53" s="22" t="e">
        <f ca="1">INDEX(Table_Process_Details[Total '[Energy (MJ) per kg API'] of Unique Inputs (OTHER)], MATCH(Table_Process_Details[[#This Row],[Unique Inputs Sorted by '[Energy (MJ) per kg API']]],Table_Process_Details[Unique Process Inputs],0))</f>
        <v>#N/A</v>
      </c>
      <c r="ER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3" s="22">
        <f ca="1">SUMIFS(Table_Process_Details[RV GWP (kg CO2 equiv.) per kg API],Table_Process_Details[Display Name],Table_Process_Details[[#This Row],[Unique Process Inputs]],Table_Process_Details[Input or Output],"Input")</f>
        <v>2.0995228446451608</v>
      </c>
      <c r="EZ53" s="1">
        <f ca="1">SUMIFS(Table_Process_Details[RV GWP (kg CO2 equiv.) per kg API (REAGENT)],Table_Process_Details[Display Name],Table_Process_Details[[#This Row],[Unique Process Inputs]],Table_Process_Details[Input or Output],"Input")</f>
        <v>2.0995228446451608</v>
      </c>
      <c r="FA53" s="1">
        <f ca="1">SUMIFS(Table_Process_Details[RV GWP (kg CO2 equiv.) per kg API (METAL)],Table_Process_Details[Display Name],Table_Process_Details[[#This Row],[Unique Process Inputs]],Table_Process_Details[Input or Output],"Input")</f>
        <v>0</v>
      </c>
      <c r="FB53" s="1">
        <f ca="1">SUMIFS(Table_Process_Details[RV GWP (kg CO2 equiv.) per kg API (SOLVENT)],Table_Process_Details[Display Name],Table_Process_Details[[#This Row],[Unique Process Inputs]],Table_Process_Details[Input or Output],"Input")</f>
        <v>0</v>
      </c>
      <c r="FC53" s="1">
        <f ca="1">SUMIFS(Table_Process_Details[RV GWP (kg CO2 equiv.) per kg API (WATER)],Table_Process_Details[Display Name],Table_Process_Details[[#This Row],[Unique Process Inputs]],Table_Process_Details[Input or Output],"Input")</f>
        <v>0</v>
      </c>
      <c r="FD53" s="1">
        <f ca="1">SUMIFS(Table_Process_Details[RV GWP (kg CO2 equiv.) per kg API (ENZ&amp;PLNT)],Table_Process_Details[Display Name],Table_Process_Details[[#This Row],[Unique Process Inputs]],Table_Process_Details[Input or Output],"Input")</f>
        <v>0</v>
      </c>
      <c r="FE53" s="1">
        <f ca="1">SUMIFS(Table_Process_Details[RV GWP (kg CO2 equiv.) per kg API (OTHER)],Table_Process_Details[Display Name],Table_Process_Details[[#This Row],[Unique Process Inputs]],Table_Process_Details[Input or Output],"Input")</f>
        <v>0</v>
      </c>
      <c r="FF53" s="22" t="e">
        <f ca="1">INDEX(Table_Process_Details[Unique Process Inputs],MATCH(Table_Process_Details[[#This Row],['[GWP (kg CO2 equiv.) per kg API'] of Unique Inputs Sorted by '[GWP (kg CO2 equiv.) per kg API']]],Table_Process_Details[Total '[GWP (kg CO2 equiv.) per kg API'] of Unique Inputs],0))</f>
        <v>#N/A</v>
      </c>
      <c r="FG53" s="22" t="e">
        <f ca="1">IF(LARGE(Table_Process_Details[Total '[GWP (kg CO2 equiv.) per kg API'] of Unique Inputs],Table_Process_Details[[#This Row],[Table Row]])=0,NA(),LARGE(Table_Process_Details[Total '[GWP (kg CO2 equiv.) per kg API'] of Unique Inputs],Table_Process_Details[[#This Row],[Table Row]]))</f>
        <v>#N/A</v>
      </c>
      <c r="FH53" s="22" t="e">
        <f ca="1">SUM(OFFSET(Table_Process_Details['[GWP (kg CO2 equiv.) per kg API'] of Unique Inputs Sorted by '[GWP (kg CO2 equiv.) per kg API']],0,0,Table_Process_Details[[#This Row],[Table Row]]))</f>
        <v>#N/A</v>
      </c>
      <c r="FI53" s="22" t="e">
        <f ca="1">"("&amp;TEXT(Table_Process_Details[[#This Row],['[GWP (kg CO2 equiv.) per kg API'] of Unique Inputs Sorted by '[GWP (kg CO2 equiv.) per kg API']]]/SUMIF(Table_Process_Details['[GWP (kg CO2 equiv.) per kg API'] of Unique Inputs Sorted by '[GWP (kg CO2 equiv.) per kg API']],"&lt;&gt;#N/A"),"0%")&amp;")"</f>
        <v>#N/A</v>
      </c>
      <c r="FJ53" s="22" t="e">
        <f ca="1">INDEX(Table_Process_Details[Total '[GWP (kg CO2 equiv.) per kg API'] of Unique Inputs (REAGENT)], MATCH(Table_Process_Details[[#This Row],[Unique Inputs Sorted by '[GWP (kg CO2 equiv.) per kg API']]],Table_Process_Details[Unique Process Inputs],0))</f>
        <v>#N/A</v>
      </c>
      <c r="FK53" s="22" t="e">
        <f ca="1">INDEX(Table_Process_Details[Total '[GWP (kg CO2 equiv.) per kg API'] of Unique Inputs (METAL)], MATCH(Table_Process_Details[[#This Row],[Unique Inputs Sorted by '[GWP (kg CO2 equiv.) per kg API']]],Table_Process_Details[Unique Process Inputs],0))</f>
        <v>#N/A</v>
      </c>
      <c r="FL53" s="22" t="e">
        <f ca="1">INDEX(Table_Process_Details[Total '[GWP (kg CO2 equiv.) per kg API'] of Unique Inputs (SOLVENT)], MATCH(Table_Process_Details[[#This Row],[Unique Inputs Sorted by '[GWP (kg CO2 equiv.) per kg API']]],Table_Process_Details[Unique Process Inputs],0))</f>
        <v>#N/A</v>
      </c>
      <c r="FM53" s="22" t="e">
        <f ca="1">INDEX(Table_Process_Details[Total '[GWP (kg CO2 equiv.) per kg API'] of Unique Inputs (WATER)], MATCH(Table_Process_Details[[#This Row],[Unique Inputs Sorted by '[GWP (kg CO2 equiv.) per kg API']]],Table_Process_Details[Unique Process Inputs],0))</f>
        <v>#N/A</v>
      </c>
      <c r="FN53" s="22" t="e">
        <f ca="1">INDEX(Table_Process_Details[Total '[GWP (kg CO2 equiv.) per kg API'] of Unique Inputs (ENZ&amp;PLNT)], MATCH(Table_Process_Details[[#This Row],[Unique Inputs Sorted by '[GWP (kg CO2 equiv.) per kg API']]],Table_Process_Details[Unique Process Inputs],0))</f>
        <v>#N/A</v>
      </c>
      <c r="FO53" s="22" t="e">
        <f ca="1">INDEX(Table_Process_Details[Total '[GWP (kg CO2 equiv.) per kg API'] of Unique Inputs (OTHER)], MATCH(Table_Process_Details[[#This Row],[Unique Inputs Sorted by '[GWP (kg CO2 equiv.) per kg API']]],Table_Process_Details[Unique Process Inputs],0))</f>
        <v>#N/A</v>
      </c>
      <c r="FP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3" s="22">
        <f ca="1">SUMIFS(Table_Process_Details[RV Acidification (kg SO2 equiv.) per kg API],Table_Process_Details[Display Name],Table_Process_Details[[#This Row],[Unique Process Inputs]],Table_Process_Details[Input or Output],"Input")</f>
        <v>8.9784909948387101E-3</v>
      </c>
      <c r="FX53" s="1">
        <f ca="1">SUMIFS(Table_Process_Details[RV Acidification (kg SO2 equiv.) per kg API (REAGENT)],Table_Process_Details[Display Name],Table_Process_Details[[#This Row],[Unique Process Inputs]],Table_Process_Details[Input or Output],"Input")</f>
        <v>8.9784909948387101E-3</v>
      </c>
      <c r="FY53" s="1">
        <f ca="1">SUMIFS(Table_Process_Details[RV Acidification (kg SO2 equiv.) per kg API (METAL)],Table_Process_Details[Display Name],Table_Process_Details[[#This Row],[Unique Process Inputs]],Table_Process_Details[Input or Output],"Input")</f>
        <v>0</v>
      </c>
      <c r="FZ53" s="1">
        <f ca="1">SUMIFS(Table_Process_Details[RV Acidification (kg SO2 equiv.) per kg API (SOLVENT)],Table_Process_Details[Display Name],Table_Process_Details[[#This Row],[Unique Process Inputs]],Table_Process_Details[Input or Output],"Input")</f>
        <v>0</v>
      </c>
      <c r="GA53" s="1">
        <f ca="1">SUMIFS(Table_Process_Details[RV Acidification (kg SO2 equiv.) per kg API (WATER)],Table_Process_Details[Display Name],Table_Process_Details[[#This Row],[Unique Process Inputs]],Table_Process_Details[Input or Output],"Input")</f>
        <v>0</v>
      </c>
      <c r="GB53" s="1">
        <f ca="1">SUMIFS(Table_Process_Details[RV Acidification (kg SO2 equiv.) per kg API (ENZ&amp;PLNT)],Table_Process_Details[Display Name],Table_Process_Details[[#This Row],[Unique Process Inputs]],Table_Process_Details[Input or Output],"Input")</f>
        <v>0</v>
      </c>
      <c r="GC53" s="1">
        <f ca="1">SUMIFS(Table_Process_Details[RV Acidification (kg SO2 equiv.) per kg API (OTHER)],Table_Process_Details[Display Name],Table_Process_Details[[#This Row],[Unique Process Inputs]],Table_Process_Details[Input or Output],"Input")</f>
        <v>0</v>
      </c>
      <c r="GD53"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3"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3" s="22" t="e">
        <f ca="1">SUM(OFFSET(Table_Process_Details['[Acidification (kg SO2 equiv.) per kg API'] of Unique Inputs Sorted by '[Acidification (kg SO2 equiv.) per kg API']],0,0,Table_Process_Details[[#This Row],[Table Row]]))</f>
        <v>#N/A</v>
      </c>
      <c r="GG53"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3" s="22" t="e">
        <f ca="1">INDEX(Table_Process_Details[Total '[Acidification (kg SO2 equiv.) per kg API'] of Unique Inputs (REAGENT)], MATCH(Table_Process_Details[[#This Row],[Unique Inputs Sorted by '[Acidification (kg SO2 equiv.) per kg API']]],Table_Process_Details[Unique Process Inputs],0))</f>
        <v>#N/A</v>
      </c>
      <c r="GI53" s="22" t="e">
        <f ca="1">INDEX(Table_Process_Details[Total '[Acidification (kg SO2 equiv.) per kg API'] of Unique Inputs (METAL)], MATCH(Table_Process_Details[[#This Row],[Unique Inputs Sorted by '[Acidification (kg SO2 equiv.) per kg API']]],Table_Process_Details[Unique Process Inputs],0))</f>
        <v>#N/A</v>
      </c>
      <c r="GJ53" s="22" t="e">
        <f ca="1">INDEX(Table_Process_Details[Total '[Acidification (kg SO2 equiv.) per kg API'] of Unique Inputs (SOLVENT)], MATCH(Table_Process_Details[[#This Row],[Unique Inputs Sorted by '[Acidification (kg SO2 equiv.) per kg API']]],Table_Process_Details[Unique Process Inputs],0))</f>
        <v>#N/A</v>
      </c>
      <c r="GK53" s="22" t="e">
        <f ca="1">INDEX(Table_Process_Details[Total '[Acidification (kg SO2 equiv.) per kg API'] of Unique Inputs (WATER)], MATCH(Table_Process_Details[[#This Row],[Unique Inputs Sorted by '[Acidification (kg SO2 equiv.) per kg API']]],Table_Process_Details[Unique Process Inputs],0))</f>
        <v>#N/A</v>
      </c>
      <c r="GL53" s="22" t="e">
        <f ca="1">INDEX(Table_Process_Details[Total '[Acidification (kg SO2 equiv.) per kg API'] of Unique Inputs (ENZ&amp;PLNT)], MATCH(Table_Process_Details[[#This Row],[Unique Inputs Sorted by '[Acidification (kg SO2 equiv.) per kg API']]],Table_Process_Details[Unique Process Inputs],0))</f>
        <v>#N/A</v>
      </c>
      <c r="GM53" s="22" t="e">
        <f ca="1">INDEX(Table_Process_Details[Total '[Acidification (kg SO2 equiv.) per kg API'] of Unique Inputs (OTHER)], MATCH(Table_Process_Details[[#This Row],[Unique Inputs Sorted by '[Acidification (kg SO2 equiv.) per kg API']]],Table_Process_Details[Unique Process Inputs],0))</f>
        <v>#N/A</v>
      </c>
      <c r="GN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3" s="22">
        <f ca="1">SUMIFS(Table_Process_Details[RV Eutrophication (kg phosphate equiv.) per kg API],Table_Process_Details[Display Name],Table_Process_Details[[#This Row],[Unique Process Inputs]],Table_Process_Details[Input or Output],"Input")</f>
        <v>7.1891628980645167E-3</v>
      </c>
      <c r="GV53" s="1">
        <f ca="1">SUMIFS(Table_Process_Details[RV Eutrophication (kg phosphate equiv.) per kg API (REAGENT)],Table_Process_Details[Display Name],Table_Process_Details[[#This Row],[Unique Process Inputs]],Table_Process_Details[Input or Output],"Input")</f>
        <v>7.1891628980645167E-3</v>
      </c>
      <c r="GW53" s="1">
        <f ca="1">SUMIFS(Table_Process_Details[RV Eutrophication (kg phosphate equiv.) per kg API (METAL)],Table_Process_Details[Display Name],Table_Process_Details[[#This Row],[Unique Process Inputs]],Table_Process_Details[Input or Output],"Input")</f>
        <v>0</v>
      </c>
      <c r="GX53" s="1">
        <f ca="1">SUMIFS(Table_Process_Details[RV Eutrophication (kg phosphate equiv.) per kg API (SOLVENT)],Table_Process_Details[Display Name],Table_Process_Details[[#This Row],[Unique Process Inputs]],Table_Process_Details[Input or Output],"Input")</f>
        <v>0</v>
      </c>
      <c r="GY53" s="1">
        <f ca="1">SUMIFS(Table_Process_Details[RV Eutrophication (kg phosphate equiv.) per kg API (WATER)],Table_Process_Details[Display Name],Table_Process_Details[[#This Row],[Unique Process Inputs]],Table_Process_Details[Input or Output],"Input")</f>
        <v>0</v>
      </c>
      <c r="GZ53" s="1">
        <f ca="1">SUMIFS(Table_Process_Details[RV Eutrophication (kg phosphate equiv.) per kg API (ENZ&amp;PLNT)],Table_Process_Details[Display Name],Table_Process_Details[[#This Row],[Unique Process Inputs]],Table_Process_Details[Input or Output],"Input")</f>
        <v>0</v>
      </c>
      <c r="HA53" s="1">
        <f ca="1">SUMIFS(Table_Process_Details[RV Eutrophication (kg phosphate equiv.) per kg API (OTHER)],Table_Process_Details[Display Name],Table_Process_Details[[#This Row],[Unique Process Inputs]],Table_Process_Details[Input or Output],"Input")</f>
        <v>0</v>
      </c>
      <c r="HB53"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3"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3" s="22" t="e">
        <f ca="1">SUM(OFFSET(Table_Process_Details['[Eutrophication (kg posphate equiv.) per kg API'] of Unique Inputs Sorted by '[Eutrophication (kg posphate equiv.) per kg API']],0,0,Table_Process_Details[[#This Row],[Table Row]]))</f>
        <v>#N/A</v>
      </c>
      <c r="HE53"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3" s="1" t="e">
        <f ca="1">INDEX(Table_Process_Details[Total '[Eutrophication (kg posphate equiv.) per kg API'] of Unique Inputs (REAGENT)], MATCH(Table_Process_Details[[#This Row],[Unique Inputs Sorted by '[Eutrophication (kg posphate equiv.) per kg API']]],Table_Process_Details[Unique Process Inputs],0))</f>
        <v>#N/A</v>
      </c>
      <c r="HG53" s="1" t="e">
        <f ca="1">INDEX(Table_Process_Details[Total '[Eutrophication (kg posphate equiv.) per kg API'] of Unique Inputs (METAL)], MATCH(Table_Process_Details[[#This Row],[Unique Inputs Sorted by '[Eutrophication (kg posphate equiv.) per kg API']]],Table_Process_Details[Unique Process Inputs],0))</f>
        <v>#N/A</v>
      </c>
      <c r="HH53" s="1" t="e">
        <f ca="1">INDEX(Table_Process_Details[Total '[Eutrophication (kg posphate equiv.) per kg API'] of Unique Inputs (SOLVENT)], MATCH(Table_Process_Details[[#This Row],[Unique Inputs Sorted by '[Eutrophication (kg posphate equiv.) per kg API']]],Table_Process_Details[Unique Process Inputs],0))</f>
        <v>#N/A</v>
      </c>
      <c r="HI53" s="1" t="e">
        <f ca="1">INDEX(Table_Process_Details[Total '[Eutrophication (kg posphate equiv.) per kg API'] of Unique Inputs (WATER)], MATCH(Table_Process_Details[[#This Row],[Unique Inputs Sorted by '[Eutrophication (kg posphate equiv.) per kg API']]],Table_Process_Details[Unique Process Inputs],0))</f>
        <v>#N/A</v>
      </c>
      <c r="HJ53" s="1" t="e">
        <f ca="1">INDEX(Table_Process_Details[Total '[Eutrophication (kg posphate equiv.) per kg API'] of Unique Inputs (ENZ&amp;PLNT)], MATCH(Table_Process_Details[[#This Row],[Unique Inputs Sorted by '[Eutrophication (kg posphate equiv.) per kg API']]],Table_Process_Details[Unique Process Inputs],0))</f>
        <v>#N/A</v>
      </c>
      <c r="HK53" s="1" t="e">
        <f ca="1">INDEX(Table_Process_Details[Total '[Eutrophication (kg posphate equiv.) per kg API'] of Unique Inputs (OTHER)], MATCH(Table_Process_Details[[#This Row],[Unique Inputs Sorted by '[Eutrophication (kg posphate equiv.) per kg API']]],Table_Process_Details[Unique Process Inputs],0))</f>
        <v>#N/A</v>
      </c>
      <c r="HL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3" s="1">
        <f ca="1">SUMIFS(Table_Process_Details[RV Water (kg) per kg API],Table_Process_Details[Display Name],Table_Process_Details[[#This Row],[Unique Process Inputs]],Table_Process_Details[Input or Output],"Input")</f>
        <v>11.756255358580646</v>
      </c>
      <c r="HT53" s="1">
        <f ca="1">SUMIFS(Table_Process_Details[RV Water (kg) per kg API (REAGENT)],Table_Process_Details[Display Name],Table_Process_Details[[#This Row],[Unique Process Inputs]],Table_Process_Details[Input or Output],"Input")</f>
        <v>11.756255358580646</v>
      </c>
      <c r="HU53" s="1">
        <f ca="1">SUMIFS(Table_Process_Details[RV Water (kg) per kg API (METAL)],Table_Process_Details[Display Name],Table_Process_Details[[#This Row],[Unique Process Inputs]],Table_Process_Details[Input or Output],"Input")</f>
        <v>0</v>
      </c>
      <c r="HV53" s="1">
        <f ca="1">SUMIFS(Table_Process_Details[RV Water (kg) per kg API (SOLVENT)],Table_Process_Details[Display Name],Table_Process_Details[[#This Row],[Unique Process Inputs]],Table_Process_Details[Input or Output],"Input")</f>
        <v>0</v>
      </c>
      <c r="HW53" s="1">
        <f ca="1">SUMIFS(Table_Process_Details[RV Water (kg) per kg API (WATER)],Table_Process_Details[Display Name],Table_Process_Details[[#This Row],[Unique Process Inputs]],Table_Process_Details[Input or Output],"Input")</f>
        <v>0</v>
      </c>
      <c r="HX53" s="1">
        <f ca="1">SUMIFS(Table_Process_Details[RV Water (kg) per kg API (ENZ&amp;PLNT)],Table_Process_Details[Display Name],Table_Process_Details[[#This Row],[Unique Process Inputs]],Table_Process_Details[Input or Output],"Input")</f>
        <v>0</v>
      </c>
      <c r="HY53" s="1">
        <f ca="1">SUMIFS(Table_Process_Details[RV Water (kg) per kg API (OTHER)],Table_Process_Details[Display Name],Table_Process_Details[[#This Row],[Unique Process Inputs]],Table_Process_Details[Input or Output],"Input")</f>
        <v>0</v>
      </c>
      <c r="HZ53" s="22" t="e">
        <f ca="1">INDEX(Table_Process_Details[Unique Process Inputs],MATCH(Table_Process_Details[[#This Row],['[Water (kg) per kg API'] of Unique Inputs Sorted by '[Water (kg) per kg API']]],Table_Process_Details[Total '[Water (kg) per kg API'] of Unique Inputs],0))</f>
        <v>#N/A</v>
      </c>
      <c r="IA53" s="22" t="e">
        <f ca="1">IF(LARGE(Table_Process_Details[Total '[Water (kg) per kg API'] of Unique Inputs],Table_Process_Details[[#This Row],[Table Row]])=0,NA(),LARGE(Table_Process_Details[Total '[Water (kg) per kg API'] of Unique Inputs],Table_Process_Details[[#This Row],[Table Row]]))</f>
        <v>#N/A</v>
      </c>
      <c r="IB53" s="1" t="e">
        <f ca="1">SUM(OFFSET(Table_Process_Details['[Water (kg) per kg API'] of Unique Inputs Sorted by '[Water (kg) per kg API']],0,0,Table_Process_Details[[#This Row],[Table Row]]))</f>
        <v>#N/A</v>
      </c>
      <c r="IC53" s="1" t="e">
        <f ca="1">"("&amp;TEXT(Table_Process_Details[[#This Row],['[Water (kg) per kg API'] of Unique Inputs Sorted by '[Water (kg) per kg API']]]/SUMIF(Table_Process_Details['[Water (kg) per kg API'] of Unique Inputs Sorted by '[Water (kg) per kg API']],"&lt;&gt;#N/A"),"0%")&amp;")"</f>
        <v>#N/A</v>
      </c>
      <c r="ID53" s="1" t="e">
        <f ca="1">INDEX(Table_Process_Details[Total '[Water (kg) per kg API'] of Unique Inputs (REAGENT)], MATCH(Table_Process_Details[[#This Row],[Unique Inputs Sorted by '[Water (kg) per kg API']]],Table_Process_Details[Unique Process Inputs],0))</f>
        <v>#N/A</v>
      </c>
      <c r="IE53" s="1" t="e">
        <f ca="1">INDEX(Table_Process_Details[Total '[Water (kg) per kg API'] of Unique Inputs (METAL)], MATCH(Table_Process_Details[[#This Row],[Unique Inputs Sorted by '[Water (kg) per kg API']]],Table_Process_Details[Unique Process Inputs],0))</f>
        <v>#N/A</v>
      </c>
      <c r="IF53" s="1" t="e">
        <f ca="1">INDEX(Table_Process_Details[Total '[Water (kg) per kg API'] of Unique Inputs (SOLVENT)], MATCH(Table_Process_Details[[#This Row],[Unique Inputs Sorted by '[Water (kg) per kg API']]],Table_Process_Details[Unique Process Inputs],0))</f>
        <v>#N/A</v>
      </c>
      <c r="IG53" s="1" t="e">
        <f ca="1">INDEX(Table_Process_Details[Total '[Water (kg) per kg API'] of Unique Inputs (WATER)], MATCH(Table_Process_Details[[#This Row],[Unique Inputs Sorted by '[Water (kg) per kg API']]],Table_Process_Details[Unique Process Inputs],0))</f>
        <v>#N/A</v>
      </c>
      <c r="IH53" s="1" t="e">
        <f ca="1">INDEX(Table_Process_Details[Total '[Water (kg) per kg API'] of Unique Inputs (ENZ&amp;PLNT)], MATCH(Table_Process_Details[[#This Row],[Unique Inputs Sorted by '[Water (kg) per kg API']]],Table_Process_Details[Unique Process Inputs],0))</f>
        <v>#N/A</v>
      </c>
      <c r="II53" s="1" t="e">
        <f ca="1">INDEX(Table_Process_Details[Total '[Water (kg) per kg API'] of Unique Inputs (OTHER)], MATCH(Table_Process_Details[[#This Row],[Unique Inputs Sorted by '[Water (kg) per kg API']]],Table_Process_Details[Unique Process Inputs],0))</f>
        <v>#N/A</v>
      </c>
    </row>
    <row r="54" spans="1:243" customFormat="1" x14ac:dyDescent="0.25">
      <c r="A54" s="22" t="str">
        <f t="shared" ref="A54:A61" si="1">A53</f>
        <v>2) Synthesis of Intermediate (2)</v>
      </c>
      <c r="B54" s="21" t="s">
        <v>4</v>
      </c>
      <c r="C54" s="21" t="s">
        <v>153</v>
      </c>
      <c r="D54" s="22" t="s">
        <v>156</v>
      </c>
      <c r="E54" s="22" t="s">
        <v>830</v>
      </c>
      <c r="F54" s="26">
        <v>20</v>
      </c>
      <c r="G54" s="26"/>
      <c r="H54" s="26"/>
      <c r="I54" s="26"/>
      <c r="J54" s="26" t="str">
        <f>INDEX(Process_Steps[Reference],MATCH(Table_Process_Details[[#This Row],[Step Name]],Process_Steps[Name],0))</f>
        <v>Reference Document for Step 2</v>
      </c>
      <c r="K54" s="27" t="str">
        <f>INDEX(Process_Steps[Real or Virtual?],MATCH(Table_Process_Details[[#This Row],[Step Name]],Process_Steps[Name],0))</f>
        <v>Real</v>
      </c>
      <c r="L5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5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54" s="26">
        <f>INDEX(Table_Process_Details[Physical Mass (kg)],MATCH(1,INDEX(((Table_Process_Details[Step Name]=Table_Process_Details[[#This Row],[Step Name]])*(Table_Process_Details[Input or Output]="Output")),0),0))</f>
        <v>157.52551020408163</v>
      </c>
      <c r="O54" s="29">
        <f ca="1">INDEX(Process_Steps[Step Scale Factor for 1kg Packaged API],MATCH(Table_Process_Details[[#This Row],[Step Name]],Process_Steps[Name],0))</f>
        <v>6.9901025556824191E-3</v>
      </c>
      <c r="P5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11.25</v>
      </c>
      <c r="Q5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8.25</v>
      </c>
      <c r="R54" s="26">
        <f ca="1">_xlfn.SWITCH(Run_Reset_PNG,"Reset",Table_Process_Details[[#This Row],[X Init]],"Run",Table_Process_Details[[#This Row],[X Moved]],"Freeze",Table_Process_Details[[#This Row],[X Mover]])</f>
        <v>4.1043248148070122</v>
      </c>
      <c r="S54" s="26">
        <f ca="1">_xlfn.SWITCH(Run_Reset_PNG,"Reset",Table_Process_Details[[#This Row],[Y Init]],"Run",Table_Process_Details[[#This Row],[Y Moved]],"Freeze",Table_Process_Details[[#This Row],[Y Mover]])</f>
        <v>5.1932905357454375</v>
      </c>
      <c r="T54" s="26" cm="1">
        <f t="array" aca="1" ref="T5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2.0154128842542165</v>
      </c>
      <c r="U54" s="26" cm="1">
        <f t="array" aca="1" ref="U5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-3.9460975840623593</v>
      </c>
      <c r="V54" s="26" cm="1">
        <f t="array" aca="1" ref="V54" ca="1">SUM(--(SQRT((Table_Process_Details[[#This Row],[X Mover]]-Table_Process_Details[X Mover])^2+(Table_Process_Details[[#This Row],[Y Mover]]-Table_Process_Details[Y Mover])^2)&lt;Collision_Distance))</f>
        <v>19</v>
      </c>
      <c r="W54" s="26" cm="1">
        <f t="array" aca="1" ref="W5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-0.15569176512933486</v>
      </c>
      <c r="X54" s="26" cm="1">
        <f t="array" aca="1" ref="X5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0.19668366954277189</v>
      </c>
      <c r="Y54" s="26" cm="1">
        <f t="array" aca="1" ref="Y5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4" s="26">
        <f>0</f>
        <v>0</v>
      </c>
      <c r="AA54" s="26">
        <f>0</f>
        <v>0</v>
      </c>
      <c r="AB5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-2.0521624074035061</v>
      </c>
      <c r="AC54" s="26" cm="1">
        <f t="array" aca="1" ref="AC5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-2.5966452678727188</v>
      </c>
      <c r="AD54" s="26">
        <f>MIN(1,COUNTA(Table_Process_Details[[#This Row],[target x]]),COUNTA(Table_Process_Details[[#This Row],[target y]]))*COUNTA(Table_Process_Details[Step Name])</f>
        <v>98</v>
      </c>
      <c r="AE5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4.0337669792782389</v>
      </c>
      <c r="AF5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5.1557884784741956</v>
      </c>
      <c r="AG5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54" s="26" cm="1">
        <f t="array" aca="1" ref="AH54" ca="1">INDEX(Table_Process_Details[X Mover],MATCH(1,INDEX((Table_Process_Details[Input or Output]="Output")*(Table_Process_Details[Step Name]=Table_Process_Details[[#This Row],[Step Name]])*(Table_Process_Details[[#This Row],[Input or Output]]="Input"),0),0))</f>
        <v>1.9309511115841147</v>
      </c>
      <c r="AI54" s="26" cm="1">
        <f t="array" aca="1" ref="AI54" ca="1">INDEX(Table_Process_Details[Y Mover],MATCH(1,INDEX((Table_Process_Details[Input or Output]="Output")*(Table_Process_Details[Step Name]=Table_Process_Details[[#This Row],[Step Name]])*(Table_Process_Details[[#This Row],[Input or Output]]="Input"),0),0))</f>
        <v>7.9388892826190514</v>
      </c>
      <c r="AJ54" s="26">
        <f ca="1">SQRT((Table_Process_Details[[#This Row],[X End (To Node Center)]]-Table_Process_Details[[#This Row],[X Guide]])^2+(Table_Process_Details[[#This Row],[Y End (to Node Center)]]-Table_Process_Details[[#This Row],[Y Guide]])^2)</f>
        <v>3.5016946943865292</v>
      </c>
      <c r="AK54" s="26" t="e" cm="1">
        <f t="array" ref="AK54">INDEX(Table_Process_Details[X Mover],MATCH(1,INDEX((Table_Process_Details[Step Name]=Table_Process_Details[[#This Row],[LCA Data Source Subclass]])*(Table_Process_Details[Input or Output]="Output"),0)*(Table_Process_Details[[#This Row],[Input or Output]]="Input"),0))</f>
        <v>#N/A</v>
      </c>
      <c r="AL54" s="26" cm="1">
        <f t="array" aca="1" ref="AL54" ca="1">INDEX(Table_Process_Details[X Mover],MATCH(1,INDEX(((Table_Process_Details[Table Row]=Table_Process_Details[[#This Row],[Table Row]])*(1)),0)*(Table_Process_Details[[#This Row],[Input or Output]]="Input"),0))</f>
        <v>4.1043248148070122</v>
      </c>
      <c r="AM54" s="26" cm="1">
        <f t="array" aca="1" ref="AM54" ca="1">(Table_Process_Details[[#This Row],[X End (To Node Center)]]*Table_Process_Details[[#This Row],[r0]]-Table_Process_Details[[#This Row],[X End (To Node Center)]]*Arrow_Offset+Table_Process_Details[[#This Row],[X Guide]]*Arrow_Offset)/Table_Process_Details[[#This Row],[r0]]</f>
        <v>2.427481824374575</v>
      </c>
      <c r="AN54" s="26" t="e">
        <f>IF(NOT(Table_Process_Details[[#This Row],[Display As]]="None"),Table_Process_Details[[#This Row],[X Start Prefilter]],NA())</f>
        <v>#N/A</v>
      </c>
      <c r="AO54" s="26">
        <f ca="1">IF(NOT(Table_Process_Details[[#This Row],[Display As]]="None"),Table_Process_Details[[#This Row],[X Guide Prefilter]],NA())</f>
        <v>4.1043248148070122</v>
      </c>
      <c r="AP54" s="26">
        <f ca="1">IF(NOT(Table_Process_Details[[#This Row],[Display As]]="None"),Table_Process_Details[[#This Row],[X End (to Stop Radius) Prefilter]],NA())</f>
        <v>2.427481824374575</v>
      </c>
      <c r="AQ54" s="26" t="e">
        <f>NA()</f>
        <v>#N/A</v>
      </c>
      <c r="AR54" s="26" t="e" cm="1">
        <f t="array" ref="AR54">INDEX(Table_Process_Details[Y Mover],MATCH(1,INDEX((Table_Process_Details[Step Name]=Table_Process_Details[[#This Row],[LCA Data Source Subclass]])*(Table_Process_Details[Input or Output]="Output"),0)*(Table_Process_Details[[#This Row],[Input or Output]]="Input"),0))</f>
        <v>#N/A</v>
      </c>
      <c r="AS54" s="26" cm="1">
        <f t="array" aca="1" ref="AS54" ca="1">INDEX(Table_Process_Details[Y Mover],MATCH(1,INDEX(((Table_Process_Details[Table Row]=Table_Process_Details[[#This Row],[Table Row]])*(1)),0)*(Table_Process_Details[[#This Row],[Input or Output]]="Input"),0))</f>
        <v>5.1932905357454375</v>
      </c>
      <c r="AT54" s="26" cm="1">
        <f t="array" aca="1" ref="AT54" ca="1">(Table_Process_Details[[#This Row],[Y Guide]]*Arrow_Offset-Table_Process_Details[[#This Row],[Y End (to Node Center)]]*Arrow_Offset+Table_Process_Details[[#This Row],[Y End (to Node Center)]]*Table_Process_Details[[#This Row],[r0]])/Table_Process_Details[[#This Row],[r0]]</f>
        <v>7.3116275738755663</v>
      </c>
      <c r="AU54" s="26" t="e">
        <f>IF(NOT(Table_Process_Details[[#This Row],[Display As]]="None"),Table_Process_Details[[#This Row],[Y Start Prefilter]],NA())</f>
        <v>#N/A</v>
      </c>
      <c r="AV54" s="26">
        <f ca="1">IF(NOT(Table_Process_Details[[#This Row],[Display As]]="None"),Table_Process_Details[[#This Row],[Y Guide Prefilter]],NA())</f>
        <v>5.1932905357454375</v>
      </c>
      <c r="AW54" s="26">
        <f ca="1">IF(NOT(Table_Process_Details[[#This Row],[Display As]]="None"),Table_Process_Details[[#This Row],[Y End (to Stop Radius) Prefilter]],NA())</f>
        <v>7.3116275738755663</v>
      </c>
      <c r="AX54" s="26" t="e">
        <f>NA()</f>
        <v>#N/A</v>
      </c>
      <c r="AY54" s="26" t="e">
        <f>IF(Table_Process_Details[[#This Row],[Display As]]="Real Step",Table_Process_Details[[#This Row],[X Mover]],NA())</f>
        <v>#N/A</v>
      </c>
      <c r="AZ54" s="26" t="e">
        <f>IF(Table_Process_Details[[#This Row],[Display As]]="Real Step",Table_Process_Details[[#This Row],[Y Mover]],NA())</f>
        <v>#N/A</v>
      </c>
      <c r="BA54" s="26">
        <f ca="1">IF(Table_Process_Details[[#This Row],[Display As]]="Raw Material",Table_Process_Details[[#This Row],[X Mover]],NA())</f>
        <v>4.1043248148070122</v>
      </c>
      <c r="BB54" s="26">
        <f ca="1">IF(Table_Process_Details[[#This Row],[Display As]]="Raw Material",Table_Process_Details[[#This Row],[Y Mover]],NA())</f>
        <v>5.1932905357454375</v>
      </c>
      <c r="BC54" s="26">
        <f ca="1">IF(OR(Table_Process_Details[[#This Row],[Display As]]="Real Step",Table_Process_Details[[#This Row],[Display As]]="Raw Material"),Table_Process_Details[[#This Row],[X Mover]],NA())</f>
        <v>4.1043248148070122</v>
      </c>
      <c r="BD54" s="26">
        <f ca="1">IF(OR(Table_Process_Details[[#This Row],[Display As]]="Real Step",Table_Process_Details[[#This Row],[Display As]]="Raw Material"),Table_Process_Details[[#This Row],[Y Mover]],NA())</f>
        <v>5.1932905357454375</v>
      </c>
      <c r="BE54" s="22">
        <f>ROW()-ROW(Table_Process_Details[[#Headers],[Table Row]])</f>
        <v>50</v>
      </c>
      <c r="BF54" s="23" t="str" cm="1">
        <f t="array" aca="1" ref="BF54" ca="1">INDEX(Table_Process_Details[Display Name],MATCH(0,IF(Table_Process_Details[Input or Output]="Input",INDEX(COUNTIF(OFFSET(Table_Process_Details[[#Headers],[Unique Process Inputs]],0,0,Table_Process_Details[[#This Row],[Table Row]],1),Table_Process_Details[Display Name]),),""),0))</f>
        <v>reagent M (organic)</v>
      </c>
      <c r="BG54" s="23">
        <f ca="1">Table_Process_Details[[#This Row],[Physical Mass (kg)]]*Table_Process_Details[[#This Row],[Step Scale Factor for 1kg Packaged API]]</f>
        <v>0.13980205111364838</v>
      </c>
      <c r="BH5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4" s="23">
        <f ca="1">MATCH(Table_Process_Details[[#This Row],[LCA Data Source Class]],INDIRECT(Table_Process_Details[[#This Row],[Input or Output]]),0)</f>
        <v>3</v>
      </c>
      <c r="BJ54" s="23">
        <f ca="1">MATCH(Table_Process_Details[[#This Row],[LCA Data Source Subclass]],INDIRECT(Table_Process_Details[[#This Row],[LCA Data Source Class]]&amp;"[Name]"),0)</f>
        <v>1</v>
      </c>
      <c r="BK54" s="23">
        <f ca="1">IFERROR(INDEX(INDIRECT(Table_Process_Details[[#This Row],[LCA Data Source Class]]&amp;"[Mass Net (kg)]"),MATCH(Table_Process_Details[[#This Row],[LCA Data Source Subclass]],INDIRECT(Table_Process_Details[[#This Row],[LCA Data Source Class]]&amp;"[Name]"),0)),0)</f>
        <v>2.0861208174193546</v>
      </c>
      <c r="BL54" s="23">
        <f ca="1">IFERROR(INDEX(INDIRECT(Table_Process_Details[[#This Row],[LCA Data Source Class]]&amp;"[Energy (MJ)]"),MATCH(Table_Process_Details[[#This Row],[LCA Data Source Subclass]],INDIRECT(Table_Process_Details[[#This Row],[LCA Data Source Class]]&amp;"[Name]"),0)),0)</f>
        <v>74.867288612903238</v>
      </c>
      <c r="BM54" s="23">
        <f ca="1">IFERROR(INDEX(INDIRECT(Table_Process_Details[[#This Row],[LCA Data Source Class]]&amp;"[GWP (kg CO2 equiv.)]"),MATCH(Table_Process_Details[[#This Row],[LCA Data Source Subclass]],INDIRECT(Table_Process_Details[[#This Row],[LCA Data Source Class]]&amp;"[Name]"),0)),0)</f>
        <v>2.6244035558064511</v>
      </c>
      <c r="BN54" s="23">
        <f ca="1">IFERROR(INDEX(INDIRECT(Table_Process_Details[[#This Row],[LCA Data Source Class]]&amp;"[Acidification (kg SO2 equiv.)]"),MATCH(Table_Process_Details[[#This Row],[LCA Data Source Subclass]],INDIRECT(Table_Process_Details[[#This Row],[LCA Data Source Class]]&amp;"[Name]"),0)),0)</f>
        <v>1.1223113743548388E-2</v>
      </c>
      <c r="BO54" s="23">
        <f ca="1">IFERROR(INDEX(INDIRECT(Table_Process_Details[[#This Row],[LCA Data Source Class]]&amp;"[Eutrophication (kg posphate equiv.)]"),MATCH(Table_Process_Details[[#This Row],[LCA Data Source Subclass]],INDIRECT(Table_Process_Details[[#This Row],[LCA Data Source Class]]&amp;"[Name]"),0)),0)</f>
        <v>8.9864536225806452E-3</v>
      </c>
      <c r="BP54" s="23">
        <f ca="1">IFERROR(INDEX(INDIRECT(Table_Process_Details[[#This Row],[LCA Data Source Class]]&amp;"[Water (kg)]"),MATCH(Table_Process_Details[[#This Row],[LCA Data Source Subclass]],INDIRECT(Table_Process_Details[[#This Row],[LCA Data Source Class]]&amp;"[Name]"),0)),0)</f>
        <v>14.695319198225807</v>
      </c>
      <c r="BQ54" s="27">
        <f ca="1">(Table_Process_Details[[#This Row],[Input or Output]]="Input")*(Table_Process_Details[[#This Row],[LCA Data Source Class]]&lt;&gt;"Process_Steps")*Table_Process_Details[[#This Row],[Scaled Physical Mass per kg API for All Inputs &amp; Outputs]]</f>
        <v>0.13980205111364838</v>
      </c>
      <c r="BR54" s="27">
        <f ca="1">(Table_Process_Details[[#This Row],[Material Class]]="REAGENT")*Table_Process_Details[[#This Row],[Physical Mass per kg API]]</f>
        <v>0.13980205111364838</v>
      </c>
      <c r="BS54" s="27">
        <f ca="1">(Table_Process_Details[[#This Row],[Material Class]]="METAL")*Table_Process_Details[[#This Row],[Physical Mass per kg API]]</f>
        <v>0</v>
      </c>
      <c r="BT54" s="27">
        <f ca="1">(Table_Process_Details[[#This Row],[Material Class]]="SOLVENT")*Table_Process_Details[[#This Row],[Physical Mass per kg API]]</f>
        <v>0</v>
      </c>
      <c r="BU54" s="27">
        <f ca="1">(Table_Process_Details[[#This Row],[Material Class]]="WATER")*Table_Process_Details[[#This Row],[Physical Mass per kg API]]</f>
        <v>0</v>
      </c>
      <c r="BV54" s="27">
        <f ca="1">(Table_Process_Details[[#This Row],[Material Class]]="ENZ&amp;PLNT")*Table_Process_Details[[#This Row],[Physical Mass per kg API]]</f>
        <v>0</v>
      </c>
      <c r="BW54" s="27">
        <f ca="1">(Table_Process_Details[[#This Row],[Material Class]]="OTHER")*Table_Process_Details[[#This Row],[Physical Mass per kg API]]</f>
        <v>0</v>
      </c>
      <c r="BX5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0.13980205111364838</v>
      </c>
      <c r="BY5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0.13980205111364838</v>
      </c>
      <c r="BZ5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4" s="1">
        <f ca="1">SUMIFS(Table_Process_Details[RV Physical Mass per kg API],Table_Process_Details[Display Name],Table_Process_Details[[#This Row],[Unique Process Inputs]],Table_Process_Details[Input or Output],"Input")</f>
        <v>1.1200000000000001</v>
      </c>
      <c r="CF54" s="1">
        <f ca="1">SUMIFS(Table_Process_Details[RV Physical Mass per kg API (REAGENT)],Table_Process_Details[Display Name],Table_Process_Details[[#This Row],[Unique Process Inputs]],Table_Process_Details[Input or Output],"Input")</f>
        <v>1.1200000000000001</v>
      </c>
      <c r="CG54" s="1">
        <f ca="1">SUMIFS(Table_Process_Details[RV Physical Mass per kg API (METAL)],Table_Process_Details[Display Name],Table_Process_Details[[#This Row],[Unique Process Inputs]],Table_Process_Details[Input or Output],"Input")</f>
        <v>0</v>
      </c>
      <c r="CH54" s="1">
        <f ca="1">SUMIFS(Table_Process_Details[RV Physical Mass per kg API (SOLVENT)],Table_Process_Details[Display Name],Table_Process_Details[[#This Row],[Unique Process Inputs]],Table_Process_Details[Input or Output],"Input")</f>
        <v>0</v>
      </c>
      <c r="CI54" s="1">
        <f ca="1">SUMIFS(Table_Process_Details[RV Physical Mass per kg API (WATER)],Table_Process_Details[Display Name],Table_Process_Details[[#This Row],[Unique Process Inputs]],Table_Process_Details[Input or Output],"Input")</f>
        <v>0</v>
      </c>
      <c r="CJ54" s="1">
        <f ca="1">SUMIFS(Table_Process_Details[RV Physical Mass per kg API (ENZ&amp;PLNT)],Table_Process_Details[Display Name],Table_Process_Details[[#This Row],[Unique Process Inputs]],Table_Process_Details[Input or Output],"Input")</f>
        <v>0</v>
      </c>
      <c r="CK54" s="1">
        <f ca="1">SUMIFS(Table_Process_Details[RV Physical Mass per kg API (OTHER)],Table_Process_Details[Display Name],Table_Process_Details[[#This Row],[Unique Process Inputs]],Table_Process_Details[Input or Output],"Input")</f>
        <v>0</v>
      </c>
      <c r="CL54" s="22" t="e">
        <f ca="1">INDEX(Table_Process_Details[Unique Process Inputs],MATCH(Table_Process_Details[[#This Row],['[Physical Mass per kg API'] of Unique Inputs Sorted by '[Physical Mass per kg API']]],Table_Process_Details[Total '[Physical Mass per kg API'] of Unique Inputs],0))</f>
        <v>#N/A</v>
      </c>
      <c r="CM54" s="22" t="e">
        <f ca="1">IF(LARGE(Table_Process_Details[Total '[Physical Mass per kg API'] of Unique Inputs],Table_Process_Details[[#This Row],[Table Row]])=0,NA(),LARGE(Table_Process_Details[Total '[Physical Mass per kg API'] of Unique Inputs],Table_Process_Details[[#This Row],[Table Row]]))</f>
        <v>#N/A</v>
      </c>
      <c r="CN54" s="22" t="e">
        <f ca="1">SUM(OFFSET(Table_Process_Details['[Physical Mass per kg API'] of Unique Inputs Sorted by '[Physical Mass per kg API']],0,0,Table_Process_Details[[#This Row],[Table Row]]))</f>
        <v>#N/A</v>
      </c>
      <c r="CO54" s="22" t="e">
        <f ca="1">"("&amp;TEXT(Table_Process_Details[[#This Row],['[Physical Mass per kg API'] of Unique Inputs Sorted by '[Physical Mass per kg API']]]/SUMIF(Table_Process_Details['[Physical Mass per kg API'] of Unique Inputs Sorted by '[Physical Mass per kg API']],"&lt;&gt;#N/A"),"0%")&amp;")"</f>
        <v>#N/A</v>
      </c>
      <c r="CP54" s="22" t="e">
        <f ca="1">INDEX(Table_Process_Details[Total '[Physical Mass per kg API'] of Unique Inputs (REAGENT)],MATCH(Table_Process_Details[[#This Row],[Unique Inputs Sorted by '[Physical Mass per kg API']]],Table_Process_Details[Unique Process Inputs],0))</f>
        <v>#N/A</v>
      </c>
      <c r="CQ54" s="22" t="e">
        <f ca="1">INDEX(Table_Process_Details[Total '[Physical Mass per kg API'] of Unique Inputs (METAL)],MATCH(Table_Process_Details[[#This Row],[Unique Inputs Sorted by '[Physical Mass per kg API']]],Table_Process_Details[Unique Process Inputs],0))</f>
        <v>#N/A</v>
      </c>
      <c r="CR54" s="22" t="e">
        <f ca="1">INDEX(Table_Process_Details[Total '[Physical Mass per kg API'] of Unique Inputs (SOLVENT)],MATCH(Table_Process_Details[[#This Row],[Unique Inputs Sorted by '[Physical Mass per kg API']]],Table_Process_Details[Unique Process Inputs],0))</f>
        <v>#N/A</v>
      </c>
      <c r="CS54" s="22" t="e">
        <f ca="1">INDEX(Table_Process_Details[Total '[Physical Mass per kg API'] of Unique Inputs (WATER)],MATCH(Table_Process_Details[[#This Row],[Unique Inputs Sorted by '[Physical Mass per kg API']]],Table_Process_Details[Unique Process Inputs],0))</f>
        <v>#N/A</v>
      </c>
      <c r="CT54" s="22" t="e">
        <f ca="1">INDEX(Table_Process_Details[Total '[Physical Mass per kg API'] of Unique Inputs (ENZ&amp;PLNT)],MATCH(Table_Process_Details[[#This Row],[Unique Inputs Sorted by '[Physical Mass per kg API']]],Table_Process_Details[Unique Process Inputs],0))</f>
        <v>#N/A</v>
      </c>
      <c r="CU54" s="22" t="e">
        <f ca="1">INDEX(Table_Process_Details[Total '[Physical Mass per kg API'] of Unique Inputs (OTHER)],MATCH(Table_Process_Details[[#This Row],[Unique Inputs Sorted by '[Physical Mass per kg API']]],Table_Process_Details[Unique Process Inputs],0))</f>
        <v>#N/A</v>
      </c>
      <c r="CV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0.29164396914610657</v>
      </c>
      <c r="CW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0.29164396914610657</v>
      </c>
      <c r="CX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4" s="22">
        <f ca="1">SUMIFS(Table_Process_Details[RV Mass Net (kg) per kg API],Table_Process_Details[Display Name],Table_Process_Details[[#This Row],[Unique Process Inputs]],Table_Process_Details[Input or Output],"Input")</f>
        <v>2.3364553155096774</v>
      </c>
      <c r="DD54" s="22">
        <f ca="1">SUMIFS(Table_Process_Details[RV Mass Net (kg) per kg API (REAGENT)],Table_Process_Details[Display Name],Table_Process_Details[[#This Row],[Unique Process Inputs]],Table_Process_Details[Input or Output],"Input")</f>
        <v>2.3364553155096774</v>
      </c>
      <c r="DE54" s="22">
        <f ca="1">SUMIFS(Table_Process_Details[RV Mass Net (kg) per kg API (METAL)],Table_Process_Details[Display Name],Table_Process_Details[[#This Row],[Unique Process Inputs]],Table_Process_Details[Input or Output],"Input")</f>
        <v>0</v>
      </c>
      <c r="DF54" s="22">
        <f ca="1">SUMIFS(Table_Process_Details[RV Mass Net (kg) per kg API (SOLVENT)],Table_Process_Details[Display Name],Table_Process_Details[[#This Row],[Unique Process Inputs]],Table_Process_Details[Input or Output],"Input")</f>
        <v>0</v>
      </c>
      <c r="DG54" s="22">
        <f ca="1">SUMIFS(Table_Process_Details[RV Mass Net (kg) per kg API (WATER)],Table_Process_Details[Display Name],Table_Process_Details[[#This Row],[Unique Process Inputs]],Table_Process_Details[Input or Output],"Input")</f>
        <v>0</v>
      </c>
      <c r="DH54" s="22">
        <f ca="1">SUMIFS(Table_Process_Details[RV Mass Net (kg) per kg API (ENZ&amp;PLNT)],Table_Process_Details[Display Name],Table_Process_Details[[#This Row],[Unique Process Inputs]],Table_Process_Details[Input or Output],"Input")</f>
        <v>0</v>
      </c>
      <c r="DI54" s="22">
        <f ca="1">SUMIFS(Table_Process_Details[RV Mass Net (kg) per kg API (OTHER)],Table_Process_Details[Display Name],Table_Process_Details[[#This Row],[Unique Process Inputs]],Table_Process_Details[Input or Output],"Input")</f>
        <v>0</v>
      </c>
      <c r="DJ54" s="22" t="e">
        <f ca="1">INDEX(Table_Process_Details[Unique Process Inputs],MATCH(Table_Process_Details[[#This Row],['[Mass Net (kg) per kg API'] of Unique Inputs Sorted by '[Mass Net (kg) per kg API']]],Table_Process_Details[Total '[Mass Net (kg) per kg API'] of Unique Inputs],0))</f>
        <v>#N/A</v>
      </c>
      <c r="DK54" s="22" t="e">
        <f ca="1">IF(LARGE(Table_Process_Details[Total '[Mass Net (kg) per kg API'] of Unique Inputs],Table_Process_Details[[#This Row],[Table Row]])=0,NA(),LARGE(Table_Process_Details[Total '[Mass Net (kg) per kg API'] of Unique Inputs],Table_Process_Details[[#This Row],[Table Row]]))</f>
        <v>#N/A</v>
      </c>
      <c r="DL54" s="22" t="e">
        <f ca="1">SUM(OFFSET(Table_Process_Details['[Mass Net (kg) per kg API'] of Unique Inputs Sorted by '[Mass Net (kg) per kg API']],0,0,Table_Process_Details[[#This Row],[Table Row]]))</f>
        <v>#N/A</v>
      </c>
      <c r="DM54" s="22" t="e">
        <f ca="1">"("&amp;TEXT(Table_Process_Details[[#This Row],['[Mass Net (kg) per kg API'] of Unique Inputs Sorted by '[Mass Net (kg) per kg API']]]/SUMIF(Table_Process_Details['[Mass Net (kg) per kg API'] of Unique Inputs Sorted by '[Mass Net (kg) per kg API']],"&lt;&gt;#N/A"),"0%")&amp;")"</f>
        <v>#N/A</v>
      </c>
      <c r="DN54" s="22" t="e">
        <f ca="1">INDEX(Table_Process_Details[Total '[Mass Net (kg) per kg API'] of Unique Inputs (REAGENT)], MATCH(Table_Process_Details[[#This Row],[Unique Inputs Sorted by '[Mass Net (kg) per kg API']]],Table_Process_Details[Unique Process Inputs],0))</f>
        <v>#N/A</v>
      </c>
      <c r="DO54" s="22" t="e">
        <f ca="1">INDEX(Table_Process_Details[Total '[Mass Net (kg) per kg API'] of Unique Inputs (METAL)], MATCH(Table_Process_Details[[#This Row],[Unique Inputs Sorted by '[Mass Net (kg) per kg API']]],Table_Process_Details[Unique Process Inputs],0))</f>
        <v>#N/A</v>
      </c>
      <c r="DP54" s="22" t="e">
        <f ca="1">INDEX(Table_Process_Details[Total '[Mass Net (kg) per kg API'] of Unique Inputs (SOLVENT)], MATCH(Table_Process_Details[[#This Row],[Unique Inputs Sorted by '[Mass Net (kg) per kg API']]],Table_Process_Details[Unique Process Inputs],0))</f>
        <v>#N/A</v>
      </c>
      <c r="DQ54" s="22" t="e">
        <f ca="1">INDEX(Table_Process_Details[Total '[Mass Net (kg) per kg API'] of Unique Inputs (WATER)], MATCH(Table_Process_Details[[#This Row],[Unique Inputs Sorted by '[Mass Net (kg) per kg API']]],Table_Process_Details[Unique Process Inputs],0))</f>
        <v>#N/A</v>
      </c>
      <c r="DR54" s="22" t="e">
        <f ca="1">INDEX(Table_Process_Details[Total '[Mass Net (kg) per kg API'] of Unique Inputs (ENZ&amp;PLNT)], MATCH(Table_Process_Details[[#This Row],[Unique Inputs Sorted by '[Mass Net (kg) per kg API']]],Table_Process_Details[Unique Process Inputs],0))</f>
        <v>#N/A</v>
      </c>
      <c r="DS54" s="22" t="e">
        <f ca="1">INDEX(Table_Process_Details[Total '[Mass Net (kg) per kg API'] of Unique Inputs (OTHER)], MATCH(Table_Process_Details[[#This Row],[Unique Inputs Sorted by '[Mass Net (kg) per kg API']]],Table_Process_Details[Unique Process Inputs],0))</f>
        <v>#N/A</v>
      </c>
      <c r="DT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10.466600509401363</v>
      </c>
      <c r="DU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10.466600509401363</v>
      </c>
      <c r="DV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4" s="1">
        <f ca="1">SUMIFS(Table_Process_Details[RV Energy (MJ) per kg API],Table_Process_Details[Display Name],Table_Process_Details[[#This Row],[Unique Process Inputs]],Table_Process_Details[Input or Output],"Input")</f>
        <v>83.851363246451641</v>
      </c>
      <c r="EB54" s="1">
        <f ca="1">SUMIFS(Table_Process_Details[RV Energy (MJ) per kg API (REAGENT)],Table_Process_Details[Display Name],Table_Process_Details[[#This Row],[Unique Process Inputs]],Table_Process_Details[Input or Output],"Input")</f>
        <v>83.851363246451641</v>
      </c>
      <c r="EC54" s="1">
        <f ca="1">SUMIFS(Table_Process_Details[RV Energy (MJ) per kg API (METAL)],Table_Process_Details[Display Name],Table_Process_Details[[#This Row],[Unique Process Inputs]],Table_Process_Details[Input or Output],"Input")</f>
        <v>0</v>
      </c>
      <c r="ED54" s="1">
        <f ca="1">SUMIFS(Table_Process_Details[RV Energy (MJ) per kg API (SOLVENT)],Table_Process_Details[Display Name],Table_Process_Details[[#This Row],[Unique Process Inputs]],Table_Process_Details[Input or Output],"Input")</f>
        <v>0</v>
      </c>
      <c r="EE54" s="1">
        <f ca="1">SUMIFS(Table_Process_Details[RV Energy (MJ) per kg API (WATER)],Table_Process_Details[Display Name],Table_Process_Details[[#This Row],[Unique Process Inputs]],Table_Process_Details[Input or Output],"Input")</f>
        <v>0</v>
      </c>
      <c r="EF54" s="1">
        <f ca="1">SUMIFS(Table_Process_Details[RV Energy (MJ) per kg API (ENZ&amp;PLNT)],Table_Process_Details[Display Name],Table_Process_Details[[#This Row],[Unique Process Inputs]],Table_Process_Details[Input or Output],"Input")</f>
        <v>0</v>
      </c>
      <c r="EG54" s="1">
        <f ca="1">SUMIFS(Table_Process_Details[RV Energy (MJ) per kg API (OTHER)],Table_Process_Details[Display Name],Table_Process_Details[[#This Row],[Unique Process Inputs]],Table_Process_Details[Input or Output],"Input")</f>
        <v>0</v>
      </c>
      <c r="EH54" s="1" t="e">
        <f ca="1">INDEX(Table_Process_Details[Unique Process Inputs],MATCH(Table_Process_Details[[#This Row],['[Energy (MJ) per kg API'] of Unique Inputs Sorted by '[Energy (MJ) per kg API']]],Table_Process_Details[Total '[Energy (MJ) per kg API'] of Unique Inputs],0))</f>
        <v>#N/A</v>
      </c>
      <c r="EI54" s="22" t="e">
        <f ca="1">IF(LARGE(Table_Process_Details[Total '[Energy (MJ) per kg API'] of Unique Inputs],Table_Process_Details[[#This Row],[Table Row]])=0,NA(),LARGE(Table_Process_Details[Total '[Energy (MJ) per kg API'] of Unique Inputs],Table_Process_Details[[#This Row],[Table Row]]))</f>
        <v>#N/A</v>
      </c>
      <c r="EJ54" s="22" t="e">
        <f ca="1">SUM(OFFSET(Table_Process_Details['[Energy (MJ) per kg API'] of Unique Inputs Sorted by '[Energy (MJ) per kg API']],0,0,Table_Process_Details[[#This Row],[Table Row]]))</f>
        <v>#N/A</v>
      </c>
      <c r="EK54" s="22" t="e">
        <f ca="1">"("&amp;TEXT(Table_Process_Details[[#This Row],['[Energy (MJ) per kg API'] of Unique Inputs Sorted by '[Energy (MJ) per kg API']]]/SUMIF(Table_Process_Details['[Energy (MJ) per kg API'] of Unique Inputs Sorted by '[Energy (MJ) per kg API']],"&lt;&gt;#N/A"),"0%")&amp;")"</f>
        <v>#N/A</v>
      </c>
      <c r="EL54" s="22" t="e">
        <f ca="1">INDEX(Table_Process_Details[Total '[Energy (MJ) per kg API'] of Unique Inputs (REAGENT)], MATCH(Table_Process_Details[[#This Row],[Unique Inputs Sorted by '[Energy (MJ) per kg API']]],Table_Process_Details[Unique Process Inputs],0))</f>
        <v>#N/A</v>
      </c>
      <c r="EM54" s="22" t="e">
        <f ca="1">INDEX(Table_Process_Details[Total '[Energy (MJ) per kg API'] of Unique Inputs (METAL)], MATCH(Table_Process_Details[[#This Row],[Unique Inputs Sorted by '[Energy (MJ) per kg API']]],Table_Process_Details[Unique Process Inputs],0))</f>
        <v>#N/A</v>
      </c>
      <c r="EN54" s="22" t="e">
        <f ca="1">INDEX(Table_Process_Details[Total '[Energy (MJ) per kg API'] of Unique Inputs (SOLVENT)], MATCH(Table_Process_Details[[#This Row],[Unique Inputs Sorted by '[Energy (MJ) per kg API']]],Table_Process_Details[Unique Process Inputs],0))</f>
        <v>#N/A</v>
      </c>
      <c r="EO54" s="22" t="e">
        <f ca="1">INDEX(Table_Process_Details[Total '[Energy (MJ) per kg API'] of Unique Inputs (WATER)], MATCH(Table_Process_Details[[#This Row],[Unique Inputs Sorted by '[Energy (MJ) per kg API']]],Table_Process_Details[Unique Process Inputs],0))</f>
        <v>#N/A</v>
      </c>
      <c r="EP54" s="22" t="e">
        <f ca="1">INDEX(Table_Process_Details[Total '[Energy (MJ) per kg API'] of Unique Inputs (ENZ&amp;PLNT)], MATCH(Table_Process_Details[[#This Row],[Unique Inputs Sorted by '[Energy (MJ) per kg API']]],Table_Process_Details[Unique Process Inputs],0))</f>
        <v>#N/A</v>
      </c>
      <c r="EQ54" s="22" t="e">
        <f ca="1">INDEX(Table_Process_Details[Total '[Energy (MJ) per kg API'] of Unique Inputs (OTHER)], MATCH(Table_Process_Details[[#This Row],[Unique Inputs Sorted by '[Energy (MJ) per kg API']]],Table_Process_Details[Unique Process Inputs],0))</f>
        <v>#N/A</v>
      </c>
      <c r="ER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0.36689700005169401</v>
      </c>
      <c r="ES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0.36689700005169401</v>
      </c>
      <c r="ET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4" s="22">
        <f ca="1">SUMIFS(Table_Process_Details[RV GWP (kg CO2 equiv.) per kg API],Table_Process_Details[Display Name],Table_Process_Details[[#This Row],[Unique Process Inputs]],Table_Process_Details[Input or Output],"Input")</f>
        <v>2.9393319825032256</v>
      </c>
      <c r="EZ54" s="1">
        <f ca="1">SUMIFS(Table_Process_Details[RV GWP (kg CO2 equiv.) per kg API (REAGENT)],Table_Process_Details[Display Name],Table_Process_Details[[#This Row],[Unique Process Inputs]],Table_Process_Details[Input or Output],"Input")</f>
        <v>2.9393319825032256</v>
      </c>
      <c r="FA54" s="1">
        <f ca="1">SUMIFS(Table_Process_Details[RV GWP (kg CO2 equiv.) per kg API (METAL)],Table_Process_Details[Display Name],Table_Process_Details[[#This Row],[Unique Process Inputs]],Table_Process_Details[Input or Output],"Input")</f>
        <v>0</v>
      </c>
      <c r="FB54" s="1">
        <f ca="1">SUMIFS(Table_Process_Details[RV GWP (kg CO2 equiv.) per kg API (SOLVENT)],Table_Process_Details[Display Name],Table_Process_Details[[#This Row],[Unique Process Inputs]],Table_Process_Details[Input or Output],"Input")</f>
        <v>0</v>
      </c>
      <c r="FC54" s="1">
        <f ca="1">SUMIFS(Table_Process_Details[RV GWP (kg CO2 equiv.) per kg API (WATER)],Table_Process_Details[Display Name],Table_Process_Details[[#This Row],[Unique Process Inputs]],Table_Process_Details[Input or Output],"Input")</f>
        <v>0</v>
      </c>
      <c r="FD54" s="1">
        <f ca="1">SUMIFS(Table_Process_Details[RV GWP (kg CO2 equiv.) per kg API (ENZ&amp;PLNT)],Table_Process_Details[Display Name],Table_Process_Details[[#This Row],[Unique Process Inputs]],Table_Process_Details[Input or Output],"Input")</f>
        <v>0</v>
      </c>
      <c r="FE54" s="1">
        <f ca="1">SUMIFS(Table_Process_Details[RV GWP (kg CO2 equiv.) per kg API (OTHER)],Table_Process_Details[Display Name],Table_Process_Details[[#This Row],[Unique Process Inputs]],Table_Process_Details[Input or Output],"Input")</f>
        <v>0</v>
      </c>
      <c r="FF54" s="22" t="e">
        <f ca="1">INDEX(Table_Process_Details[Unique Process Inputs],MATCH(Table_Process_Details[[#This Row],['[GWP (kg CO2 equiv.) per kg API'] of Unique Inputs Sorted by '[GWP (kg CO2 equiv.) per kg API']]],Table_Process_Details[Total '[GWP (kg CO2 equiv.) per kg API'] of Unique Inputs],0))</f>
        <v>#N/A</v>
      </c>
      <c r="FG54" s="22" t="e">
        <f ca="1">IF(LARGE(Table_Process_Details[Total '[GWP (kg CO2 equiv.) per kg API'] of Unique Inputs],Table_Process_Details[[#This Row],[Table Row]])=0,NA(),LARGE(Table_Process_Details[Total '[GWP (kg CO2 equiv.) per kg API'] of Unique Inputs],Table_Process_Details[[#This Row],[Table Row]]))</f>
        <v>#N/A</v>
      </c>
      <c r="FH54" s="22" t="e">
        <f ca="1">SUM(OFFSET(Table_Process_Details['[GWP (kg CO2 equiv.) per kg API'] of Unique Inputs Sorted by '[GWP (kg CO2 equiv.) per kg API']],0,0,Table_Process_Details[[#This Row],[Table Row]]))</f>
        <v>#N/A</v>
      </c>
      <c r="FI54" s="22" t="e">
        <f ca="1">"("&amp;TEXT(Table_Process_Details[[#This Row],['[GWP (kg CO2 equiv.) per kg API'] of Unique Inputs Sorted by '[GWP (kg CO2 equiv.) per kg API']]]/SUMIF(Table_Process_Details['[GWP (kg CO2 equiv.) per kg API'] of Unique Inputs Sorted by '[GWP (kg CO2 equiv.) per kg API']],"&lt;&gt;#N/A"),"0%")&amp;")"</f>
        <v>#N/A</v>
      </c>
      <c r="FJ54" s="22" t="e">
        <f ca="1">INDEX(Table_Process_Details[Total '[GWP (kg CO2 equiv.) per kg API'] of Unique Inputs (REAGENT)], MATCH(Table_Process_Details[[#This Row],[Unique Inputs Sorted by '[GWP (kg CO2 equiv.) per kg API']]],Table_Process_Details[Unique Process Inputs],0))</f>
        <v>#N/A</v>
      </c>
      <c r="FK54" s="22" t="e">
        <f ca="1">INDEX(Table_Process_Details[Total '[GWP (kg CO2 equiv.) per kg API'] of Unique Inputs (METAL)], MATCH(Table_Process_Details[[#This Row],[Unique Inputs Sorted by '[GWP (kg CO2 equiv.) per kg API']]],Table_Process_Details[Unique Process Inputs],0))</f>
        <v>#N/A</v>
      </c>
      <c r="FL54" s="22" t="e">
        <f ca="1">INDEX(Table_Process_Details[Total '[GWP (kg CO2 equiv.) per kg API'] of Unique Inputs (SOLVENT)], MATCH(Table_Process_Details[[#This Row],[Unique Inputs Sorted by '[GWP (kg CO2 equiv.) per kg API']]],Table_Process_Details[Unique Process Inputs],0))</f>
        <v>#N/A</v>
      </c>
      <c r="FM54" s="22" t="e">
        <f ca="1">INDEX(Table_Process_Details[Total '[GWP (kg CO2 equiv.) per kg API'] of Unique Inputs (WATER)], MATCH(Table_Process_Details[[#This Row],[Unique Inputs Sorted by '[GWP (kg CO2 equiv.) per kg API']]],Table_Process_Details[Unique Process Inputs],0))</f>
        <v>#N/A</v>
      </c>
      <c r="FN54" s="22" t="e">
        <f ca="1">INDEX(Table_Process_Details[Total '[GWP (kg CO2 equiv.) per kg API'] of Unique Inputs (ENZ&amp;PLNT)], MATCH(Table_Process_Details[[#This Row],[Unique Inputs Sorted by '[GWP (kg CO2 equiv.) per kg API']]],Table_Process_Details[Unique Process Inputs],0))</f>
        <v>#N/A</v>
      </c>
      <c r="FO54" s="22" t="e">
        <f ca="1">INDEX(Table_Process_Details[Total '[GWP (kg CO2 equiv.) per kg API'] of Unique Inputs (OTHER)], MATCH(Table_Process_Details[[#This Row],[Unique Inputs Sorted by '[GWP (kg CO2 equiv.) per kg API']]],Table_Process_Details[Unique Process Inputs],0))</f>
        <v>#N/A</v>
      </c>
      <c r="FP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1.5690143212298412E-3</v>
      </c>
      <c r="FQ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1.5690143212298412E-3</v>
      </c>
      <c r="FR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4" s="22">
        <f ca="1">SUMIFS(Table_Process_Details[RV Acidification (kg SO2 equiv.) per kg API],Table_Process_Details[Display Name],Table_Process_Details[[#This Row],[Unique Process Inputs]],Table_Process_Details[Input or Output],"Input")</f>
        <v>1.2569887392774195E-2</v>
      </c>
      <c r="FX54" s="1">
        <f ca="1">SUMIFS(Table_Process_Details[RV Acidification (kg SO2 equiv.) per kg API (REAGENT)],Table_Process_Details[Display Name],Table_Process_Details[[#This Row],[Unique Process Inputs]],Table_Process_Details[Input or Output],"Input")</f>
        <v>1.2569887392774195E-2</v>
      </c>
      <c r="FY54" s="1">
        <f ca="1">SUMIFS(Table_Process_Details[RV Acidification (kg SO2 equiv.) per kg API (METAL)],Table_Process_Details[Display Name],Table_Process_Details[[#This Row],[Unique Process Inputs]],Table_Process_Details[Input or Output],"Input")</f>
        <v>0</v>
      </c>
      <c r="FZ54" s="1">
        <f ca="1">SUMIFS(Table_Process_Details[RV Acidification (kg SO2 equiv.) per kg API (SOLVENT)],Table_Process_Details[Display Name],Table_Process_Details[[#This Row],[Unique Process Inputs]],Table_Process_Details[Input or Output],"Input")</f>
        <v>0</v>
      </c>
      <c r="GA54" s="1">
        <f ca="1">SUMIFS(Table_Process_Details[RV Acidification (kg SO2 equiv.) per kg API (WATER)],Table_Process_Details[Display Name],Table_Process_Details[[#This Row],[Unique Process Inputs]],Table_Process_Details[Input or Output],"Input")</f>
        <v>0</v>
      </c>
      <c r="GB54" s="1">
        <f ca="1">SUMIFS(Table_Process_Details[RV Acidification (kg SO2 equiv.) per kg API (ENZ&amp;PLNT)],Table_Process_Details[Display Name],Table_Process_Details[[#This Row],[Unique Process Inputs]],Table_Process_Details[Input or Output],"Input")</f>
        <v>0</v>
      </c>
      <c r="GC54" s="1">
        <f ca="1">SUMIFS(Table_Process_Details[RV Acidification (kg SO2 equiv.) per kg API (OTHER)],Table_Process_Details[Display Name],Table_Process_Details[[#This Row],[Unique Process Inputs]],Table_Process_Details[Input or Output],"Input")</f>
        <v>0</v>
      </c>
      <c r="GD54"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4"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4" s="22" t="e">
        <f ca="1">SUM(OFFSET(Table_Process_Details['[Acidification (kg SO2 equiv.) per kg API'] of Unique Inputs Sorted by '[Acidification (kg SO2 equiv.) per kg API']],0,0,Table_Process_Details[[#This Row],[Table Row]]))</f>
        <v>#N/A</v>
      </c>
      <c r="GG54"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4" s="22" t="e">
        <f ca="1">INDEX(Table_Process_Details[Total '[Acidification (kg SO2 equiv.) per kg API'] of Unique Inputs (REAGENT)], MATCH(Table_Process_Details[[#This Row],[Unique Inputs Sorted by '[Acidification (kg SO2 equiv.) per kg API']]],Table_Process_Details[Unique Process Inputs],0))</f>
        <v>#N/A</v>
      </c>
      <c r="GI54" s="22" t="e">
        <f ca="1">INDEX(Table_Process_Details[Total '[Acidification (kg SO2 equiv.) per kg API'] of Unique Inputs (METAL)], MATCH(Table_Process_Details[[#This Row],[Unique Inputs Sorted by '[Acidification (kg SO2 equiv.) per kg API']]],Table_Process_Details[Unique Process Inputs],0))</f>
        <v>#N/A</v>
      </c>
      <c r="GJ54" s="22" t="e">
        <f ca="1">INDEX(Table_Process_Details[Total '[Acidification (kg SO2 equiv.) per kg API'] of Unique Inputs (SOLVENT)], MATCH(Table_Process_Details[[#This Row],[Unique Inputs Sorted by '[Acidification (kg SO2 equiv.) per kg API']]],Table_Process_Details[Unique Process Inputs],0))</f>
        <v>#N/A</v>
      </c>
      <c r="GK54" s="22" t="e">
        <f ca="1">INDEX(Table_Process_Details[Total '[Acidification (kg SO2 equiv.) per kg API'] of Unique Inputs (WATER)], MATCH(Table_Process_Details[[#This Row],[Unique Inputs Sorted by '[Acidification (kg SO2 equiv.) per kg API']]],Table_Process_Details[Unique Process Inputs],0))</f>
        <v>#N/A</v>
      </c>
      <c r="GL54" s="22" t="e">
        <f ca="1">INDEX(Table_Process_Details[Total '[Acidification (kg SO2 equiv.) per kg API'] of Unique Inputs (ENZ&amp;PLNT)], MATCH(Table_Process_Details[[#This Row],[Unique Inputs Sorted by '[Acidification (kg SO2 equiv.) per kg API']]],Table_Process_Details[Unique Process Inputs],0))</f>
        <v>#N/A</v>
      </c>
      <c r="GM54" s="22" t="e">
        <f ca="1">INDEX(Table_Process_Details[Total '[Acidification (kg SO2 equiv.) per kg API'] of Unique Inputs (OTHER)], MATCH(Table_Process_Details[[#This Row],[Unique Inputs Sorted by '[Acidification (kg SO2 equiv.) per kg API']]],Table_Process_Details[Unique Process Inputs],0))</f>
        <v>#N/A</v>
      </c>
      <c r="GN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1.2563246486744499E-3</v>
      </c>
      <c r="GO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1.2563246486744499E-3</v>
      </c>
      <c r="GP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4" s="22">
        <f ca="1">SUMIFS(Table_Process_Details[RV Eutrophication (kg phosphate equiv.) per kg API],Table_Process_Details[Display Name],Table_Process_Details[[#This Row],[Unique Process Inputs]],Table_Process_Details[Input or Output],"Input")</f>
        <v>1.0064828057290323E-2</v>
      </c>
      <c r="GV54" s="1">
        <f ca="1">SUMIFS(Table_Process_Details[RV Eutrophication (kg phosphate equiv.) per kg API (REAGENT)],Table_Process_Details[Display Name],Table_Process_Details[[#This Row],[Unique Process Inputs]],Table_Process_Details[Input or Output],"Input")</f>
        <v>1.0064828057290323E-2</v>
      </c>
      <c r="GW54" s="1">
        <f ca="1">SUMIFS(Table_Process_Details[RV Eutrophication (kg phosphate equiv.) per kg API (METAL)],Table_Process_Details[Display Name],Table_Process_Details[[#This Row],[Unique Process Inputs]],Table_Process_Details[Input or Output],"Input")</f>
        <v>0</v>
      </c>
      <c r="GX54" s="1">
        <f ca="1">SUMIFS(Table_Process_Details[RV Eutrophication (kg phosphate equiv.) per kg API (SOLVENT)],Table_Process_Details[Display Name],Table_Process_Details[[#This Row],[Unique Process Inputs]],Table_Process_Details[Input or Output],"Input")</f>
        <v>0</v>
      </c>
      <c r="GY54" s="1">
        <f ca="1">SUMIFS(Table_Process_Details[RV Eutrophication (kg phosphate equiv.) per kg API (WATER)],Table_Process_Details[Display Name],Table_Process_Details[[#This Row],[Unique Process Inputs]],Table_Process_Details[Input or Output],"Input")</f>
        <v>0</v>
      </c>
      <c r="GZ54" s="1">
        <f ca="1">SUMIFS(Table_Process_Details[RV Eutrophication (kg phosphate equiv.) per kg API (ENZ&amp;PLNT)],Table_Process_Details[Display Name],Table_Process_Details[[#This Row],[Unique Process Inputs]],Table_Process_Details[Input or Output],"Input")</f>
        <v>0</v>
      </c>
      <c r="HA54" s="1">
        <f ca="1">SUMIFS(Table_Process_Details[RV Eutrophication (kg phosphate equiv.) per kg API (OTHER)],Table_Process_Details[Display Name],Table_Process_Details[[#This Row],[Unique Process Inputs]],Table_Process_Details[Input or Output],"Input")</f>
        <v>0</v>
      </c>
      <c r="HB54"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4"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4" s="22" t="e">
        <f ca="1">SUM(OFFSET(Table_Process_Details['[Eutrophication (kg posphate equiv.) per kg API'] of Unique Inputs Sorted by '[Eutrophication (kg posphate equiv.) per kg API']],0,0,Table_Process_Details[[#This Row],[Table Row]]))</f>
        <v>#N/A</v>
      </c>
      <c r="HE54"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4" s="1" t="e">
        <f ca="1">INDEX(Table_Process_Details[Total '[Eutrophication (kg posphate equiv.) per kg API'] of Unique Inputs (REAGENT)], MATCH(Table_Process_Details[[#This Row],[Unique Inputs Sorted by '[Eutrophication (kg posphate equiv.) per kg API']]],Table_Process_Details[Unique Process Inputs],0))</f>
        <v>#N/A</v>
      </c>
      <c r="HG54" s="1" t="e">
        <f ca="1">INDEX(Table_Process_Details[Total '[Eutrophication (kg posphate equiv.) per kg API'] of Unique Inputs (METAL)], MATCH(Table_Process_Details[[#This Row],[Unique Inputs Sorted by '[Eutrophication (kg posphate equiv.) per kg API']]],Table_Process_Details[Unique Process Inputs],0))</f>
        <v>#N/A</v>
      </c>
      <c r="HH54" s="1" t="e">
        <f ca="1">INDEX(Table_Process_Details[Total '[Eutrophication (kg posphate equiv.) per kg API'] of Unique Inputs (SOLVENT)], MATCH(Table_Process_Details[[#This Row],[Unique Inputs Sorted by '[Eutrophication (kg posphate equiv.) per kg API']]],Table_Process_Details[Unique Process Inputs],0))</f>
        <v>#N/A</v>
      </c>
      <c r="HI54" s="1" t="e">
        <f ca="1">INDEX(Table_Process_Details[Total '[Eutrophication (kg posphate equiv.) per kg API'] of Unique Inputs (WATER)], MATCH(Table_Process_Details[[#This Row],[Unique Inputs Sorted by '[Eutrophication (kg posphate equiv.) per kg API']]],Table_Process_Details[Unique Process Inputs],0))</f>
        <v>#N/A</v>
      </c>
      <c r="HJ54" s="1" t="e">
        <f ca="1">INDEX(Table_Process_Details[Total '[Eutrophication (kg posphate equiv.) per kg API'] of Unique Inputs (ENZ&amp;PLNT)], MATCH(Table_Process_Details[[#This Row],[Unique Inputs Sorted by '[Eutrophication (kg posphate equiv.) per kg API']]],Table_Process_Details[Unique Process Inputs],0))</f>
        <v>#N/A</v>
      </c>
      <c r="HK54" s="1" t="e">
        <f ca="1">INDEX(Table_Process_Details[Total '[Eutrophication (kg posphate equiv.) per kg API'] of Unique Inputs (OTHER)], MATCH(Table_Process_Details[[#This Row],[Unique Inputs Sorted by '[Eutrophication (kg posphate equiv.) per kg API']]],Table_Process_Details[Unique Process Inputs],0))</f>
        <v>#N/A</v>
      </c>
      <c r="HL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2.0544357656817427</v>
      </c>
      <c r="HM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2.0544357656817427</v>
      </c>
      <c r="HN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4" s="1">
        <f ca="1">SUMIFS(Table_Process_Details[RV Water (kg) per kg API],Table_Process_Details[Display Name],Table_Process_Details[[#This Row],[Unique Process Inputs]],Table_Process_Details[Input or Output],"Input")</f>
        <v>16.458757502012904</v>
      </c>
      <c r="HT54" s="1">
        <f ca="1">SUMIFS(Table_Process_Details[RV Water (kg) per kg API (REAGENT)],Table_Process_Details[Display Name],Table_Process_Details[[#This Row],[Unique Process Inputs]],Table_Process_Details[Input or Output],"Input")</f>
        <v>16.458757502012904</v>
      </c>
      <c r="HU54" s="1">
        <f ca="1">SUMIFS(Table_Process_Details[RV Water (kg) per kg API (METAL)],Table_Process_Details[Display Name],Table_Process_Details[[#This Row],[Unique Process Inputs]],Table_Process_Details[Input or Output],"Input")</f>
        <v>0</v>
      </c>
      <c r="HV54" s="1">
        <f ca="1">SUMIFS(Table_Process_Details[RV Water (kg) per kg API (SOLVENT)],Table_Process_Details[Display Name],Table_Process_Details[[#This Row],[Unique Process Inputs]],Table_Process_Details[Input or Output],"Input")</f>
        <v>0</v>
      </c>
      <c r="HW54" s="1">
        <f ca="1">SUMIFS(Table_Process_Details[RV Water (kg) per kg API (WATER)],Table_Process_Details[Display Name],Table_Process_Details[[#This Row],[Unique Process Inputs]],Table_Process_Details[Input or Output],"Input")</f>
        <v>0</v>
      </c>
      <c r="HX54" s="1">
        <f ca="1">SUMIFS(Table_Process_Details[RV Water (kg) per kg API (ENZ&amp;PLNT)],Table_Process_Details[Display Name],Table_Process_Details[[#This Row],[Unique Process Inputs]],Table_Process_Details[Input or Output],"Input")</f>
        <v>0</v>
      </c>
      <c r="HY54" s="1">
        <f ca="1">SUMIFS(Table_Process_Details[RV Water (kg) per kg API (OTHER)],Table_Process_Details[Display Name],Table_Process_Details[[#This Row],[Unique Process Inputs]],Table_Process_Details[Input or Output],"Input")</f>
        <v>0</v>
      </c>
      <c r="HZ54" s="22" t="e">
        <f ca="1">INDEX(Table_Process_Details[Unique Process Inputs],MATCH(Table_Process_Details[[#This Row],['[Water (kg) per kg API'] of Unique Inputs Sorted by '[Water (kg) per kg API']]],Table_Process_Details[Total '[Water (kg) per kg API'] of Unique Inputs],0))</f>
        <v>#N/A</v>
      </c>
      <c r="IA54" s="22" t="e">
        <f ca="1">IF(LARGE(Table_Process_Details[Total '[Water (kg) per kg API'] of Unique Inputs],Table_Process_Details[[#This Row],[Table Row]])=0,NA(),LARGE(Table_Process_Details[Total '[Water (kg) per kg API'] of Unique Inputs],Table_Process_Details[[#This Row],[Table Row]]))</f>
        <v>#N/A</v>
      </c>
      <c r="IB54" s="1" t="e">
        <f ca="1">SUM(OFFSET(Table_Process_Details['[Water (kg) per kg API'] of Unique Inputs Sorted by '[Water (kg) per kg API']],0,0,Table_Process_Details[[#This Row],[Table Row]]))</f>
        <v>#N/A</v>
      </c>
      <c r="IC54" s="1" t="e">
        <f ca="1">"("&amp;TEXT(Table_Process_Details[[#This Row],['[Water (kg) per kg API'] of Unique Inputs Sorted by '[Water (kg) per kg API']]]/SUMIF(Table_Process_Details['[Water (kg) per kg API'] of Unique Inputs Sorted by '[Water (kg) per kg API']],"&lt;&gt;#N/A"),"0%")&amp;")"</f>
        <v>#N/A</v>
      </c>
      <c r="ID54" s="1" t="e">
        <f ca="1">INDEX(Table_Process_Details[Total '[Water (kg) per kg API'] of Unique Inputs (REAGENT)], MATCH(Table_Process_Details[[#This Row],[Unique Inputs Sorted by '[Water (kg) per kg API']]],Table_Process_Details[Unique Process Inputs],0))</f>
        <v>#N/A</v>
      </c>
      <c r="IE54" s="1" t="e">
        <f ca="1">INDEX(Table_Process_Details[Total '[Water (kg) per kg API'] of Unique Inputs (METAL)], MATCH(Table_Process_Details[[#This Row],[Unique Inputs Sorted by '[Water (kg) per kg API']]],Table_Process_Details[Unique Process Inputs],0))</f>
        <v>#N/A</v>
      </c>
      <c r="IF54" s="1" t="e">
        <f ca="1">INDEX(Table_Process_Details[Total '[Water (kg) per kg API'] of Unique Inputs (SOLVENT)], MATCH(Table_Process_Details[[#This Row],[Unique Inputs Sorted by '[Water (kg) per kg API']]],Table_Process_Details[Unique Process Inputs],0))</f>
        <v>#N/A</v>
      </c>
      <c r="IG54" s="1" t="e">
        <f ca="1">INDEX(Table_Process_Details[Total '[Water (kg) per kg API'] of Unique Inputs (WATER)], MATCH(Table_Process_Details[[#This Row],[Unique Inputs Sorted by '[Water (kg) per kg API']]],Table_Process_Details[Unique Process Inputs],0))</f>
        <v>#N/A</v>
      </c>
      <c r="IH54" s="1" t="e">
        <f ca="1">INDEX(Table_Process_Details[Total '[Water (kg) per kg API'] of Unique Inputs (ENZ&amp;PLNT)], MATCH(Table_Process_Details[[#This Row],[Unique Inputs Sorted by '[Water (kg) per kg API']]],Table_Process_Details[Unique Process Inputs],0))</f>
        <v>#N/A</v>
      </c>
      <c r="II54" s="1" t="e">
        <f ca="1">INDEX(Table_Process_Details[Total '[Water (kg) per kg API'] of Unique Inputs (OTHER)], MATCH(Table_Process_Details[[#This Row],[Unique Inputs Sorted by '[Water (kg) per kg API']]],Table_Process_Details[Unique Process Inputs],0))</f>
        <v>#N/A</v>
      </c>
    </row>
    <row r="55" spans="1:243" customFormat="1" x14ac:dyDescent="0.25">
      <c r="A55" s="22" t="str">
        <f t="shared" si="1"/>
        <v>2) Synthesis of Intermediate (2)</v>
      </c>
      <c r="B55" s="21" t="s">
        <v>4</v>
      </c>
      <c r="C55" s="21" t="s">
        <v>170</v>
      </c>
      <c r="D55" s="22" t="str">
        <f>A43</f>
        <v>2a) Virtual solution prep for (2): 25 wt% reagent E (inorganic) in water</v>
      </c>
      <c r="E55" s="22" t="str">
        <f>E43</f>
        <v>25 wt% reagent E (inorganic) in water</v>
      </c>
      <c r="F55" s="26">
        <v>20</v>
      </c>
      <c r="G55" s="26"/>
      <c r="H55" s="26"/>
      <c r="I55" s="26"/>
      <c r="J55" s="26" t="str">
        <f>INDEX(Process_Steps[Reference],MATCH(Table_Process_Details[[#This Row],[Step Name]],Process_Steps[Name],0))</f>
        <v>Reference Document for Step 2</v>
      </c>
      <c r="K55" s="27" t="str">
        <f>INDEX(Process_Steps[Real or Virtual?],MATCH(Table_Process_Details[[#This Row],[Step Name]],Process_Steps[Name],0))</f>
        <v>Real</v>
      </c>
      <c r="L5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5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55" s="26">
        <f>INDEX(Table_Process_Details[Physical Mass (kg)],MATCH(1,INDEX(((Table_Process_Details[Step Name]=Table_Process_Details[[#This Row],[Step Name]])*(Table_Process_Details[Input or Output]="Output")),0),0))</f>
        <v>157.52551020408163</v>
      </c>
      <c r="O55" s="29">
        <f ca="1">INDEX(Process_Steps[Step Scale Factor for 1kg Packaged API],MATCH(Table_Process_Details[[#This Row],[Step Name]],Process_Steps[Name],0))</f>
        <v>6.9901025556824191E-3</v>
      </c>
      <c r="P5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v>
      </c>
      <c r="Q5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v>
      </c>
      <c r="R55" s="26">
        <f ca="1">_xlfn.SWITCH(Run_Reset_PNG,"Reset",Table_Process_Details[[#This Row],[X Init]],"Run",Table_Process_Details[[#This Row],[X Moved]],"Freeze",Table_Process_Details[[#This Row],[X Mover]])</f>
        <v>-3.4192439202003326</v>
      </c>
      <c r="S55" s="26">
        <f ca="1">_xlfn.SWITCH(Run_Reset_PNG,"Reset",Table_Process_Details[[#This Row],[Y Init]],"Run",Table_Process_Details[[#This Row],[Y Moved]],"Freeze",Table_Process_Details[[#This Row],[Y Mover]])</f>
        <v>6.2166926735102397</v>
      </c>
      <c r="T55" s="26" cm="1">
        <f t="array" aca="1" ref="T5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-3.9747420426765325</v>
      </c>
      <c r="U55" s="26" cm="1">
        <f t="array" aca="1" ref="U5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-0.41384854842251884</v>
      </c>
      <c r="V55" s="26" cm="1">
        <f t="array" aca="1" ref="V55" ca="1">SUM(--(SQRT((Table_Process_Details[[#This Row],[X Mover]]-Table_Process_Details[X Mover])^2+(Table_Process_Details[[#This Row],[Y Mover]]-Table_Process_Details[Y Mover])^2)&lt;Collision_Distance))</f>
        <v>18</v>
      </c>
      <c r="W55" s="26" cm="1">
        <f t="array" aca="1" ref="W5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0.25782258277916781</v>
      </c>
      <c r="X55" s="26" cm="1">
        <f t="array" aca="1" ref="X5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3.77961015474646E-2</v>
      </c>
      <c r="Y55" s="26" cm="1">
        <f t="array" aca="1" ref="Y5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55" s="26">
        <f>0</f>
        <v>0</v>
      </c>
      <c r="AA55" s="26">
        <f>0</f>
        <v>0</v>
      </c>
      <c r="AB5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1.7096219601001663</v>
      </c>
      <c r="AC55" s="26" cm="1">
        <f t="array" aca="1" ref="AC5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-3.1083463367551198</v>
      </c>
      <c r="AD55" s="26">
        <f>MIN(1,COUNTA(Table_Process_Details[[#This Row],[target x]]),COUNTA(Table_Process_Details[[#This Row],[target y]]))*COUNTA(Table_Process_Details[Step Name])</f>
        <v>98</v>
      </c>
      <c r="AE5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-3.4937065091398289</v>
      </c>
      <c r="AF5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6.1808813184976907</v>
      </c>
      <c r="AG5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55" s="26" cm="1">
        <f t="array" aca="1" ref="AH55" ca="1">INDEX(Table_Process_Details[X Mover],MATCH(1,INDEX((Table_Process_Details[Input or Output]="Output")*(Table_Process_Details[Step Name]=Table_Process_Details[[#This Row],[Step Name]])*(Table_Process_Details[[#This Row],[Input or Output]]="Input"),0),0))</f>
        <v>1.9309511115841147</v>
      </c>
      <c r="AI55" s="26" cm="1">
        <f t="array" aca="1" ref="AI55" ca="1">INDEX(Table_Process_Details[Y Mover],MATCH(1,INDEX((Table_Process_Details[Input or Output]="Output")*(Table_Process_Details[Step Name]=Table_Process_Details[[#This Row],[Step Name]])*(Table_Process_Details[[#This Row],[Input or Output]]="Input"),0),0))</f>
        <v>7.9388892826190514</v>
      </c>
      <c r="AJ55" s="26">
        <f ca="1">SQRT((Table_Process_Details[[#This Row],[X End (To Node Center)]]-Table_Process_Details[[#This Row],[X Guide]])^2+(Table_Process_Details[[#This Row],[Y End (to Node Center)]]-Table_Process_Details[[#This Row],[Y Guide]])^2)</f>
        <v>5.6205469519039575</v>
      </c>
      <c r="AK55" s="26" cm="1">
        <f t="array" aca="1" ref="AK55" ca="1">INDEX(Table_Process_Details[X Mover],MATCH(1,INDEX((Table_Process_Details[Step Name]=Table_Process_Details[[#This Row],[LCA Data Source Subclass]])*(Table_Process_Details[Input or Output]="Output"),0)*(Table_Process_Details[[#This Row],[Input or Output]]="Input"),0))</f>
        <v>-8.2138992091278542</v>
      </c>
      <c r="AL55" s="26" cm="1">
        <f t="array" aca="1" ref="AL55" ca="1">INDEX(Table_Process_Details[X Mover],MATCH(1,INDEX(((Table_Process_Details[Table Row]=Table_Process_Details[[#This Row],[Table Row]])*(1)),0)*(Table_Process_Details[[#This Row],[Input or Output]]="Input"),0))</f>
        <v>-3.4192439202003326</v>
      </c>
      <c r="AM55" s="26" cm="1">
        <f t="array" aca="1" ref="AM55" ca="1">(Table_Process_Details[[#This Row],[X End (To Node Center)]]*Table_Process_Details[[#This Row],[r0]]-Table_Process_Details[[#This Row],[X End (To Node Center)]]*Arrow_Offset+Table_Process_Details[[#This Row],[X Guide]]*Arrow_Offset)/Table_Process_Details[[#This Row],[r0]]</f>
        <v>1.1694316256597679</v>
      </c>
      <c r="AN55" s="26">
        <f ca="1">IF(NOT(Table_Process_Details[[#This Row],[Display As]]="None"),Table_Process_Details[[#This Row],[X Start Prefilter]],NA())</f>
        <v>-8.2138992091278542</v>
      </c>
      <c r="AO55" s="26">
        <f ca="1">IF(NOT(Table_Process_Details[[#This Row],[Display As]]="None"),Table_Process_Details[[#This Row],[X Guide Prefilter]],NA())</f>
        <v>-3.4192439202003326</v>
      </c>
      <c r="AP55" s="26">
        <f ca="1">IF(NOT(Table_Process_Details[[#This Row],[Display As]]="None"),Table_Process_Details[[#This Row],[X End (to Stop Radius) Prefilter]],NA())</f>
        <v>1.1694316256597679</v>
      </c>
      <c r="AQ55" s="26" t="e">
        <f>NA()</f>
        <v>#N/A</v>
      </c>
      <c r="AR55" s="26" cm="1">
        <f t="array" aca="1" ref="AR55" ca="1">INDEX(Table_Process_Details[Y Mover],MATCH(1,INDEX((Table_Process_Details[Step Name]=Table_Process_Details[[#This Row],[LCA Data Source Subclass]])*(Table_Process_Details[Input or Output]="Output"),0)*(Table_Process_Details[[#This Row],[Input or Output]]="Input"),0))</f>
        <v>4.4543084341448207</v>
      </c>
      <c r="AS55" s="26" cm="1">
        <f t="array" aca="1" ref="AS55" ca="1">INDEX(Table_Process_Details[Y Mover],MATCH(1,INDEX(((Table_Process_Details[Table Row]=Table_Process_Details[[#This Row],[Table Row]])*(1)),0)*(Table_Process_Details[[#This Row],[Input or Output]]="Input"),0))</f>
        <v>6.2166926735102397</v>
      </c>
      <c r="AT55" s="26" cm="1">
        <f t="array" aca="1" ref="AT55" ca="1">(Table_Process_Details[[#This Row],[Y Guide]]*Arrow_Offset-Table_Process_Details[[#This Row],[Y End (to Node Center)]]*Arrow_Offset+Table_Process_Details[[#This Row],[Y End (to Node Center)]]*Table_Process_Details[[#This Row],[r0]])/Table_Process_Details[[#This Row],[r0]]</f>
        <v>7.693760596909855</v>
      </c>
      <c r="AU55" s="26">
        <f ca="1">IF(NOT(Table_Process_Details[[#This Row],[Display As]]="None"),Table_Process_Details[[#This Row],[Y Start Prefilter]],NA())</f>
        <v>4.4543084341448207</v>
      </c>
      <c r="AV55" s="26">
        <f ca="1">IF(NOT(Table_Process_Details[[#This Row],[Display As]]="None"),Table_Process_Details[[#This Row],[Y Guide Prefilter]],NA())</f>
        <v>6.2166926735102397</v>
      </c>
      <c r="AW55" s="26">
        <f ca="1">IF(NOT(Table_Process_Details[[#This Row],[Display As]]="None"),Table_Process_Details[[#This Row],[Y End (to Stop Radius) Prefilter]],NA())</f>
        <v>7.693760596909855</v>
      </c>
      <c r="AX55" s="26" t="e">
        <f>NA()</f>
        <v>#N/A</v>
      </c>
      <c r="AY55" s="26" t="e">
        <f>IF(Table_Process_Details[[#This Row],[Display As]]="Real Step",Table_Process_Details[[#This Row],[X Mover]],NA())</f>
        <v>#N/A</v>
      </c>
      <c r="AZ55" s="26" t="e">
        <f>IF(Table_Process_Details[[#This Row],[Display As]]="Real Step",Table_Process_Details[[#This Row],[Y Mover]],NA())</f>
        <v>#N/A</v>
      </c>
      <c r="BA55" s="26" t="e">
        <f>IF(Table_Process_Details[[#This Row],[Display As]]="Raw Material",Table_Process_Details[[#This Row],[X Mover]],NA())</f>
        <v>#N/A</v>
      </c>
      <c r="BB55" s="26" t="e">
        <f>IF(Table_Process_Details[[#This Row],[Display As]]="Raw Material",Table_Process_Details[[#This Row],[Y Mover]],NA())</f>
        <v>#N/A</v>
      </c>
      <c r="BC55" s="26" t="e">
        <f>IF(OR(Table_Process_Details[[#This Row],[Display As]]="Real Step",Table_Process_Details[[#This Row],[Display As]]="Raw Material"),Table_Process_Details[[#This Row],[X Mover]],NA())</f>
        <v>#N/A</v>
      </c>
      <c r="BD55" s="26" t="e">
        <f>IF(OR(Table_Process_Details[[#This Row],[Display As]]="Real Step",Table_Process_Details[[#This Row],[Display As]]="Raw Material"),Table_Process_Details[[#This Row],[Y Mover]],NA())</f>
        <v>#N/A</v>
      </c>
      <c r="BE55" s="22">
        <f>ROW()-ROW(Table_Process_Details[[#Headers],[Table Row]])</f>
        <v>51</v>
      </c>
      <c r="BF55" s="23" t="str" cm="1">
        <f t="array" aca="1" ref="BF55" ca="1">INDEX(Table_Process_Details[Display Name],MATCH(0,IF(Table_Process_Details[Input or Output]="Input",INDEX(COUNTIF(OFFSET(Table_Process_Details[[#Headers],[Unique Process Inputs]],0,0,Table_Process_Details[[#This Row],[Table Row]],1),Table_Process_Details[Display Name]),),""),0))</f>
        <v>Fictional API</v>
      </c>
      <c r="BG55" s="23">
        <f ca="1">Table_Process_Details[[#This Row],[Physical Mass (kg)]]*Table_Process_Details[[#This Row],[Step Scale Factor for 1kg Packaged API]]</f>
        <v>0.13980205111364838</v>
      </c>
      <c r="BH5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0.99999999999943701</v>
      </c>
      <c r="BI55" s="23">
        <f ca="1">MATCH(Table_Process_Details[[#This Row],[LCA Data Source Class]],INDIRECT(Table_Process_Details[[#This Row],[Input or Output]]),0)</f>
        <v>1</v>
      </c>
      <c r="BJ55" s="23">
        <f ca="1">MATCH(Table_Process_Details[[#This Row],[LCA Data Source Subclass]],INDIRECT(Table_Process_Details[[#This Row],[LCA Data Source Class]]&amp;"[Name]"),0)</f>
        <v>8</v>
      </c>
      <c r="BK55" s="23">
        <f ca="1">IFERROR(INDEX(INDIRECT(Table_Process_Details[[#This Row],[LCA Data Source Class]]&amp;"[Mass Net (kg)]"),MATCH(Table_Process_Details[[#This Row],[LCA Data Source Subclass]],INDIRECT(Table_Process_Details[[#This Row],[LCA Data Source Class]]&amp;"[Name]"),0)),0)</f>
        <v>0</v>
      </c>
      <c r="BL55" s="23">
        <f ca="1">IFERROR(INDEX(INDIRECT(Table_Process_Details[[#This Row],[LCA Data Source Class]]&amp;"[Energy (MJ)]"),MATCH(Table_Process_Details[[#This Row],[LCA Data Source Subclass]],INDIRECT(Table_Process_Details[[#This Row],[LCA Data Source Class]]&amp;"[Name]"),0)),0)</f>
        <v>0</v>
      </c>
      <c r="BM55" s="23">
        <f ca="1">IFERROR(INDEX(INDIRECT(Table_Process_Details[[#This Row],[LCA Data Source Class]]&amp;"[GWP (kg CO2 equiv.)]"),MATCH(Table_Process_Details[[#This Row],[LCA Data Source Subclass]],INDIRECT(Table_Process_Details[[#This Row],[LCA Data Source Class]]&amp;"[Name]"),0)),0)</f>
        <v>0</v>
      </c>
      <c r="BN55" s="23">
        <f ca="1">IFERROR(INDEX(INDIRECT(Table_Process_Details[[#This Row],[LCA Data Source Class]]&amp;"[Acidification (kg SO2 equiv.)]"),MATCH(Table_Process_Details[[#This Row],[LCA Data Source Subclass]],INDIRECT(Table_Process_Details[[#This Row],[LCA Data Source Class]]&amp;"[Name]"),0)),0)</f>
        <v>0</v>
      </c>
      <c r="BO55" s="23">
        <f ca="1">IFERROR(INDEX(INDIRECT(Table_Process_Details[[#This Row],[LCA Data Source Class]]&amp;"[Eutrophication (kg posphate equiv.)]"),MATCH(Table_Process_Details[[#This Row],[LCA Data Source Subclass]],INDIRECT(Table_Process_Details[[#This Row],[LCA Data Source Class]]&amp;"[Name]"),0)),0)</f>
        <v>0</v>
      </c>
      <c r="BP55" s="23">
        <f ca="1">IFERROR(INDEX(INDIRECT(Table_Process_Details[[#This Row],[LCA Data Source Class]]&amp;"[Water (kg)]"),MATCH(Table_Process_Details[[#This Row],[LCA Data Source Subclass]],INDIRECT(Table_Process_Details[[#This Row],[LCA Data Source Class]]&amp;"[Name]"),0)),0)</f>
        <v>0</v>
      </c>
      <c r="BQ55" s="27">
        <f ca="1">(Table_Process_Details[[#This Row],[Input or Output]]="Input")*(Table_Process_Details[[#This Row],[LCA Data Source Class]]&lt;&gt;"Process_Steps")*Table_Process_Details[[#This Row],[Scaled Physical Mass per kg API for All Inputs &amp; Outputs]]</f>
        <v>0</v>
      </c>
      <c r="BR55" s="27">
        <f ca="1">(Table_Process_Details[[#This Row],[Material Class]]="REAGENT")*Table_Process_Details[[#This Row],[Physical Mass per kg API]]</f>
        <v>0</v>
      </c>
      <c r="BS55" s="27">
        <f ca="1">(Table_Process_Details[[#This Row],[Material Class]]="METAL")*Table_Process_Details[[#This Row],[Physical Mass per kg API]]</f>
        <v>0</v>
      </c>
      <c r="BT55" s="27">
        <f ca="1">(Table_Process_Details[[#This Row],[Material Class]]="SOLVENT")*Table_Process_Details[[#This Row],[Physical Mass per kg API]]</f>
        <v>0</v>
      </c>
      <c r="BU55" s="27">
        <f ca="1">(Table_Process_Details[[#This Row],[Material Class]]="WATER")*Table_Process_Details[[#This Row],[Physical Mass per kg API]]</f>
        <v>0</v>
      </c>
      <c r="BV55" s="27">
        <f ca="1">(Table_Process_Details[[#This Row],[Material Class]]="ENZ&amp;PLNT")*Table_Process_Details[[#This Row],[Physical Mass per kg API]]</f>
        <v>0</v>
      </c>
      <c r="BW55" s="27">
        <f ca="1">(Table_Process_Details[[#This Row],[Material Class]]="OTHER")*Table_Process_Details[[#This Row],[Physical Mass per kg API]]</f>
        <v>0</v>
      </c>
      <c r="BX5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0.13980205111364838</v>
      </c>
      <c r="BY5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3.4950512778412095E-2</v>
      </c>
      <c r="BZ5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0.10485153833523629</v>
      </c>
      <c r="CC5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5" s="1">
        <f ca="1">SUMIFS(Table_Process_Details[RV Physical Mass per kg API],Table_Process_Details[Display Name],Table_Process_Details[[#This Row],[Unique Process Inputs]],Table_Process_Details[Input or Output],"Input")</f>
        <v>0</v>
      </c>
      <c r="CF55" s="1">
        <f ca="1">SUMIFS(Table_Process_Details[RV Physical Mass per kg API (REAGENT)],Table_Process_Details[Display Name],Table_Process_Details[[#This Row],[Unique Process Inputs]],Table_Process_Details[Input or Output],"Input")</f>
        <v>0</v>
      </c>
      <c r="CG55" s="1">
        <f ca="1">SUMIFS(Table_Process_Details[RV Physical Mass per kg API (METAL)],Table_Process_Details[Display Name],Table_Process_Details[[#This Row],[Unique Process Inputs]],Table_Process_Details[Input or Output],"Input")</f>
        <v>0</v>
      </c>
      <c r="CH55" s="1">
        <f ca="1">SUMIFS(Table_Process_Details[RV Physical Mass per kg API (SOLVENT)],Table_Process_Details[Display Name],Table_Process_Details[[#This Row],[Unique Process Inputs]],Table_Process_Details[Input or Output],"Input")</f>
        <v>0</v>
      </c>
      <c r="CI55" s="1">
        <f ca="1">SUMIFS(Table_Process_Details[RV Physical Mass per kg API (WATER)],Table_Process_Details[Display Name],Table_Process_Details[[#This Row],[Unique Process Inputs]],Table_Process_Details[Input or Output],"Input")</f>
        <v>0</v>
      </c>
      <c r="CJ55" s="1">
        <f ca="1">SUMIFS(Table_Process_Details[RV Physical Mass per kg API (ENZ&amp;PLNT)],Table_Process_Details[Display Name],Table_Process_Details[[#This Row],[Unique Process Inputs]],Table_Process_Details[Input or Output],"Input")</f>
        <v>0</v>
      </c>
      <c r="CK55" s="1">
        <f ca="1">SUMIFS(Table_Process_Details[RV Physical Mass per kg API (OTHER)],Table_Process_Details[Display Name],Table_Process_Details[[#This Row],[Unique Process Inputs]],Table_Process_Details[Input or Output],"Input")</f>
        <v>0</v>
      </c>
      <c r="CL55" s="22" t="e">
        <f ca="1">INDEX(Table_Process_Details[Unique Process Inputs],MATCH(Table_Process_Details[[#This Row],['[Physical Mass per kg API'] of Unique Inputs Sorted by '[Physical Mass per kg API']]],Table_Process_Details[Total '[Physical Mass per kg API'] of Unique Inputs],0))</f>
        <v>#N/A</v>
      </c>
      <c r="CM55" s="22" t="e">
        <f ca="1">IF(LARGE(Table_Process_Details[Total '[Physical Mass per kg API'] of Unique Inputs],Table_Process_Details[[#This Row],[Table Row]])=0,NA(),LARGE(Table_Process_Details[Total '[Physical Mass per kg API'] of Unique Inputs],Table_Process_Details[[#This Row],[Table Row]]))</f>
        <v>#N/A</v>
      </c>
      <c r="CN55" s="22" t="e">
        <f ca="1">SUM(OFFSET(Table_Process_Details['[Physical Mass per kg API'] of Unique Inputs Sorted by '[Physical Mass per kg API']],0,0,Table_Process_Details[[#This Row],[Table Row]]))</f>
        <v>#N/A</v>
      </c>
      <c r="CO55" s="22" t="e">
        <f ca="1">"("&amp;TEXT(Table_Process_Details[[#This Row],['[Physical Mass per kg API'] of Unique Inputs Sorted by '[Physical Mass per kg API']]]/SUMIF(Table_Process_Details['[Physical Mass per kg API'] of Unique Inputs Sorted by '[Physical Mass per kg API']],"&lt;&gt;#N/A"),"0%")&amp;")"</f>
        <v>#N/A</v>
      </c>
      <c r="CP55" s="22" t="e">
        <f ca="1">INDEX(Table_Process_Details[Total '[Physical Mass per kg API'] of Unique Inputs (REAGENT)],MATCH(Table_Process_Details[[#This Row],[Unique Inputs Sorted by '[Physical Mass per kg API']]],Table_Process_Details[Unique Process Inputs],0))</f>
        <v>#N/A</v>
      </c>
      <c r="CQ55" s="22" t="e">
        <f ca="1">INDEX(Table_Process_Details[Total '[Physical Mass per kg API'] of Unique Inputs (METAL)],MATCH(Table_Process_Details[[#This Row],[Unique Inputs Sorted by '[Physical Mass per kg API']]],Table_Process_Details[Unique Process Inputs],0))</f>
        <v>#N/A</v>
      </c>
      <c r="CR55" s="22" t="e">
        <f ca="1">INDEX(Table_Process_Details[Total '[Physical Mass per kg API'] of Unique Inputs (SOLVENT)],MATCH(Table_Process_Details[[#This Row],[Unique Inputs Sorted by '[Physical Mass per kg API']]],Table_Process_Details[Unique Process Inputs],0))</f>
        <v>#N/A</v>
      </c>
      <c r="CS55" s="22" t="e">
        <f ca="1">INDEX(Table_Process_Details[Total '[Physical Mass per kg API'] of Unique Inputs (WATER)],MATCH(Table_Process_Details[[#This Row],[Unique Inputs Sorted by '[Physical Mass per kg API']]],Table_Process_Details[Unique Process Inputs],0))</f>
        <v>#N/A</v>
      </c>
      <c r="CT55" s="22" t="e">
        <f ca="1">INDEX(Table_Process_Details[Total '[Physical Mass per kg API'] of Unique Inputs (ENZ&amp;PLNT)],MATCH(Table_Process_Details[[#This Row],[Unique Inputs Sorted by '[Physical Mass per kg API']]],Table_Process_Details[Unique Process Inputs],0))</f>
        <v>#N/A</v>
      </c>
      <c r="CU55" s="22" t="e">
        <f ca="1">INDEX(Table_Process_Details[Total '[Physical Mass per kg API'] of Unique Inputs (OTHER)],MATCH(Table_Process_Details[[#This Row],[Unique Inputs Sorted by '[Physical Mass per kg API']]],Table_Process_Details[Unique Process Inputs],0))</f>
        <v>#N/A</v>
      </c>
      <c r="CV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4.6994137793838243E-2</v>
      </c>
      <c r="CW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4.6833687123072211E-2</v>
      </c>
      <c r="CX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1.6045067076603185E-4</v>
      </c>
      <c r="DA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5" s="22">
        <f ca="1">SUMIFS(Table_Process_Details[RV Mass Net (kg) per kg API],Table_Process_Details[Display Name],Table_Process_Details[[#This Row],[Unique Process Inputs]],Table_Process_Details[Input or Output],"Input")</f>
        <v>0</v>
      </c>
      <c r="DD55" s="22">
        <f ca="1">SUMIFS(Table_Process_Details[RV Mass Net (kg) per kg API (REAGENT)],Table_Process_Details[Display Name],Table_Process_Details[[#This Row],[Unique Process Inputs]],Table_Process_Details[Input or Output],"Input")</f>
        <v>0</v>
      </c>
      <c r="DE55" s="22">
        <f ca="1">SUMIFS(Table_Process_Details[RV Mass Net (kg) per kg API (METAL)],Table_Process_Details[Display Name],Table_Process_Details[[#This Row],[Unique Process Inputs]],Table_Process_Details[Input or Output],"Input")</f>
        <v>0</v>
      </c>
      <c r="DF55" s="22">
        <f ca="1">SUMIFS(Table_Process_Details[RV Mass Net (kg) per kg API (SOLVENT)],Table_Process_Details[Display Name],Table_Process_Details[[#This Row],[Unique Process Inputs]],Table_Process_Details[Input or Output],"Input")</f>
        <v>0</v>
      </c>
      <c r="DG55" s="22">
        <f ca="1">SUMIFS(Table_Process_Details[RV Mass Net (kg) per kg API (WATER)],Table_Process_Details[Display Name],Table_Process_Details[[#This Row],[Unique Process Inputs]],Table_Process_Details[Input or Output],"Input")</f>
        <v>0</v>
      </c>
      <c r="DH55" s="22">
        <f ca="1">SUMIFS(Table_Process_Details[RV Mass Net (kg) per kg API (ENZ&amp;PLNT)],Table_Process_Details[Display Name],Table_Process_Details[[#This Row],[Unique Process Inputs]],Table_Process_Details[Input or Output],"Input")</f>
        <v>0</v>
      </c>
      <c r="DI55" s="22">
        <f ca="1">SUMIFS(Table_Process_Details[RV Mass Net (kg) per kg API (OTHER)],Table_Process_Details[Display Name],Table_Process_Details[[#This Row],[Unique Process Inputs]],Table_Process_Details[Input or Output],"Input")</f>
        <v>0</v>
      </c>
      <c r="DJ55" s="22" t="e">
        <f ca="1">INDEX(Table_Process_Details[Unique Process Inputs],MATCH(Table_Process_Details[[#This Row],['[Mass Net (kg) per kg API'] of Unique Inputs Sorted by '[Mass Net (kg) per kg API']]],Table_Process_Details[Total '[Mass Net (kg) per kg API'] of Unique Inputs],0))</f>
        <v>#N/A</v>
      </c>
      <c r="DK55" s="22" t="e">
        <f ca="1">IF(LARGE(Table_Process_Details[Total '[Mass Net (kg) per kg API'] of Unique Inputs],Table_Process_Details[[#This Row],[Table Row]])=0,NA(),LARGE(Table_Process_Details[Total '[Mass Net (kg) per kg API'] of Unique Inputs],Table_Process_Details[[#This Row],[Table Row]]))</f>
        <v>#N/A</v>
      </c>
      <c r="DL55" s="22" t="e">
        <f ca="1">SUM(OFFSET(Table_Process_Details['[Mass Net (kg) per kg API'] of Unique Inputs Sorted by '[Mass Net (kg) per kg API']],0,0,Table_Process_Details[[#This Row],[Table Row]]))</f>
        <v>#N/A</v>
      </c>
      <c r="DM55" s="22" t="e">
        <f ca="1">"("&amp;TEXT(Table_Process_Details[[#This Row],['[Mass Net (kg) per kg API'] of Unique Inputs Sorted by '[Mass Net (kg) per kg API']]]/SUMIF(Table_Process_Details['[Mass Net (kg) per kg API'] of Unique Inputs Sorted by '[Mass Net (kg) per kg API']],"&lt;&gt;#N/A"),"0%")&amp;")"</f>
        <v>#N/A</v>
      </c>
      <c r="DN55" s="22" t="e">
        <f ca="1">INDEX(Table_Process_Details[Total '[Mass Net (kg) per kg API'] of Unique Inputs (REAGENT)], MATCH(Table_Process_Details[[#This Row],[Unique Inputs Sorted by '[Mass Net (kg) per kg API']]],Table_Process_Details[Unique Process Inputs],0))</f>
        <v>#N/A</v>
      </c>
      <c r="DO55" s="22" t="e">
        <f ca="1">INDEX(Table_Process_Details[Total '[Mass Net (kg) per kg API'] of Unique Inputs (METAL)], MATCH(Table_Process_Details[[#This Row],[Unique Inputs Sorted by '[Mass Net (kg) per kg API']]],Table_Process_Details[Unique Process Inputs],0))</f>
        <v>#N/A</v>
      </c>
      <c r="DP55" s="22" t="e">
        <f ca="1">INDEX(Table_Process_Details[Total '[Mass Net (kg) per kg API'] of Unique Inputs (SOLVENT)], MATCH(Table_Process_Details[[#This Row],[Unique Inputs Sorted by '[Mass Net (kg) per kg API']]],Table_Process_Details[Unique Process Inputs],0))</f>
        <v>#N/A</v>
      </c>
      <c r="DQ55" s="22" t="e">
        <f ca="1">INDEX(Table_Process_Details[Total '[Mass Net (kg) per kg API'] of Unique Inputs (WATER)], MATCH(Table_Process_Details[[#This Row],[Unique Inputs Sorted by '[Mass Net (kg) per kg API']]],Table_Process_Details[Unique Process Inputs],0))</f>
        <v>#N/A</v>
      </c>
      <c r="DR55" s="22" t="e">
        <f ca="1">INDEX(Table_Process_Details[Total '[Mass Net (kg) per kg API'] of Unique Inputs (ENZ&amp;PLNT)], MATCH(Table_Process_Details[[#This Row],[Unique Inputs Sorted by '[Mass Net (kg) per kg API']]],Table_Process_Details[Unique Process Inputs],0))</f>
        <v>#N/A</v>
      </c>
      <c r="DS55" s="22" t="e">
        <f ca="1">INDEX(Table_Process_Details[Total '[Mass Net (kg) per kg API'] of Unique Inputs (OTHER)], MATCH(Table_Process_Details[[#This Row],[Unique Inputs Sorted by '[Mass Net (kg) per kg API']]],Table_Process_Details[Unique Process Inputs],0))</f>
        <v>#N/A</v>
      </c>
      <c r="DT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0.37352223158360892</v>
      </c>
      <c r="DU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0.37152395083452061</v>
      </c>
      <c r="DV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1.9982807490882938E-3</v>
      </c>
      <c r="DY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5" s="1">
        <f ca="1">SUMIFS(Table_Process_Details[RV Energy (MJ) per kg API],Table_Process_Details[Display Name],Table_Process_Details[[#This Row],[Unique Process Inputs]],Table_Process_Details[Input or Output],"Input")</f>
        <v>0</v>
      </c>
      <c r="EB55" s="1">
        <f ca="1">SUMIFS(Table_Process_Details[RV Energy (MJ) per kg API (REAGENT)],Table_Process_Details[Display Name],Table_Process_Details[[#This Row],[Unique Process Inputs]],Table_Process_Details[Input or Output],"Input")</f>
        <v>0</v>
      </c>
      <c r="EC55" s="1">
        <f ca="1">SUMIFS(Table_Process_Details[RV Energy (MJ) per kg API (METAL)],Table_Process_Details[Display Name],Table_Process_Details[[#This Row],[Unique Process Inputs]],Table_Process_Details[Input or Output],"Input")</f>
        <v>0</v>
      </c>
      <c r="ED55" s="1">
        <f ca="1">SUMIFS(Table_Process_Details[RV Energy (MJ) per kg API (SOLVENT)],Table_Process_Details[Display Name],Table_Process_Details[[#This Row],[Unique Process Inputs]],Table_Process_Details[Input or Output],"Input")</f>
        <v>0</v>
      </c>
      <c r="EE55" s="1">
        <f ca="1">SUMIFS(Table_Process_Details[RV Energy (MJ) per kg API (WATER)],Table_Process_Details[Display Name],Table_Process_Details[[#This Row],[Unique Process Inputs]],Table_Process_Details[Input or Output],"Input")</f>
        <v>0</v>
      </c>
      <c r="EF55" s="1">
        <f ca="1">SUMIFS(Table_Process_Details[RV Energy (MJ) per kg API (ENZ&amp;PLNT)],Table_Process_Details[Display Name],Table_Process_Details[[#This Row],[Unique Process Inputs]],Table_Process_Details[Input or Output],"Input")</f>
        <v>0</v>
      </c>
      <c r="EG55" s="1">
        <f ca="1">SUMIFS(Table_Process_Details[RV Energy (MJ) per kg API (OTHER)],Table_Process_Details[Display Name],Table_Process_Details[[#This Row],[Unique Process Inputs]],Table_Process_Details[Input or Output],"Input")</f>
        <v>0</v>
      </c>
      <c r="EH55" s="1" t="e">
        <f ca="1">INDEX(Table_Process_Details[Unique Process Inputs],MATCH(Table_Process_Details[[#This Row],['[Energy (MJ) per kg API'] of Unique Inputs Sorted by '[Energy (MJ) per kg API']]],Table_Process_Details[Total '[Energy (MJ) per kg API'] of Unique Inputs],0))</f>
        <v>#N/A</v>
      </c>
      <c r="EI55" s="22" t="e">
        <f ca="1">IF(LARGE(Table_Process_Details[Total '[Energy (MJ) per kg API'] of Unique Inputs],Table_Process_Details[[#This Row],[Table Row]])=0,NA(),LARGE(Table_Process_Details[Total '[Energy (MJ) per kg API'] of Unique Inputs],Table_Process_Details[[#This Row],[Table Row]]))</f>
        <v>#N/A</v>
      </c>
      <c r="EJ55" s="22" t="e">
        <f ca="1">SUM(OFFSET(Table_Process_Details['[Energy (MJ) per kg API'] of Unique Inputs Sorted by '[Energy (MJ) per kg API']],0,0,Table_Process_Details[[#This Row],[Table Row]]))</f>
        <v>#N/A</v>
      </c>
      <c r="EK55" s="22" t="e">
        <f ca="1">"("&amp;TEXT(Table_Process_Details[[#This Row],['[Energy (MJ) per kg API'] of Unique Inputs Sorted by '[Energy (MJ) per kg API']]]/SUMIF(Table_Process_Details['[Energy (MJ) per kg API'] of Unique Inputs Sorted by '[Energy (MJ) per kg API']],"&lt;&gt;#N/A"),"0%")&amp;")"</f>
        <v>#N/A</v>
      </c>
      <c r="EL55" s="22" t="e">
        <f ca="1">INDEX(Table_Process_Details[Total '[Energy (MJ) per kg API'] of Unique Inputs (REAGENT)], MATCH(Table_Process_Details[[#This Row],[Unique Inputs Sorted by '[Energy (MJ) per kg API']]],Table_Process_Details[Unique Process Inputs],0))</f>
        <v>#N/A</v>
      </c>
      <c r="EM55" s="22" t="e">
        <f ca="1">INDEX(Table_Process_Details[Total '[Energy (MJ) per kg API'] of Unique Inputs (METAL)], MATCH(Table_Process_Details[[#This Row],[Unique Inputs Sorted by '[Energy (MJ) per kg API']]],Table_Process_Details[Unique Process Inputs],0))</f>
        <v>#N/A</v>
      </c>
      <c r="EN55" s="22" t="e">
        <f ca="1">INDEX(Table_Process_Details[Total '[Energy (MJ) per kg API'] of Unique Inputs (SOLVENT)], MATCH(Table_Process_Details[[#This Row],[Unique Inputs Sorted by '[Energy (MJ) per kg API']]],Table_Process_Details[Unique Process Inputs],0))</f>
        <v>#N/A</v>
      </c>
      <c r="EO55" s="22" t="e">
        <f ca="1">INDEX(Table_Process_Details[Total '[Energy (MJ) per kg API'] of Unique Inputs (WATER)], MATCH(Table_Process_Details[[#This Row],[Unique Inputs Sorted by '[Energy (MJ) per kg API']]],Table_Process_Details[Unique Process Inputs],0))</f>
        <v>#N/A</v>
      </c>
      <c r="EP55" s="22" t="e">
        <f ca="1">INDEX(Table_Process_Details[Total '[Energy (MJ) per kg API'] of Unique Inputs (ENZ&amp;PLNT)], MATCH(Table_Process_Details[[#This Row],[Unique Inputs Sorted by '[Energy (MJ) per kg API']]],Table_Process_Details[Unique Process Inputs],0))</f>
        <v>#N/A</v>
      </c>
      <c r="EQ55" s="22" t="e">
        <f ca="1">INDEX(Table_Process_Details[Total '[Energy (MJ) per kg API'] of Unique Inputs (OTHER)], MATCH(Table_Process_Details[[#This Row],[Unique Inputs Sorted by '[Energy (MJ) per kg API']]],Table_Process_Details[Unique Process Inputs],0))</f>
        <v>#N/A</v>
      </c>
      <c r="ER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4.8526942514463822E-2</v>
      </c>
      <c r="ES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4.8420440403212112E-2</v>
      </c>
      <c r="ET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1.0650211125170959E-4</v>
      </c>
      <c r="EW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5" s="22">
        <f ca="1">SUMIFS(Table_Process_Details[RV GWP (kg CO2 equiv.) per kg API],Table_Process_Details[Display Name],Table_Process_Details[[#This Row],[Unique Process Inputs]],Table_Process_Details[Input or Output],"Input")</f>
        <v>0</v>
      </c>
      <c r="EZ55" s="1">
        <f ca="1">SUMIFS(Table_Process_Details[RV GWP (kg CO2 equiv.) per kg API (REAGENT)],Table_Process_Details[Display Name],Table_Process_Details[[#This Row],[Unique Process Inputs]],Table_Process_Details[Input or Output],"Input")</f>
        <v>0</v>
      </c>
      <c r="FA55" s="1">
        <f ca="1">SUMIFS(Table_Process_Details[RV GWP (kg CO2 equiv.) per kg API (METAL)],Table_Process_Details[Display Name],Table_Process_Details[[#This Row],[Unique Process Inputs]],Table_Process_Details[Input or Output],"Input")</f>
        <v>0</v>
      </c>
      <c r="FB55" s="1">
        <f ca="1">SUMIFS(Table_Process_Details[RV GWP (kg CO2 equiv.) per kg API (SOLVENT)],Table_Process_Details[Display Name],Table_Process_Details[[#This Row],[Unique Process Inputs]],Table_Process_Details[Input or Output],"Input")</f>
        <v>0</v>
      </c>
      <c r="FC55" s="1">
        <f ca="1">SUMIFS(Table_Process_Details[RV GWP (kg CO2 equiv.) per kg API (WATER)],Table_Process_Details[Display Name],Table_Process_Details[[#This Row],[Unique Process Inputs]],Table_Process_Details[Input or Output],"Input")</f>
        <v>0</v>
      </c>
      <c r="FD55" s="1">
        <f ca="1">SUMIFS(Table_Process_Details[RV GWP (kg CO2 equiv.) per kg API (ENZ&amp;PLNT)],Table_Process_Details[Display Name],Table_Process_Details[[#This Row],[Unique Process Inputs]],Table_Process_Details[Input or Output],"Input")</f>
        <v>0</v>
      </c>
      <c r="FE55" s="1">
        <f ca="1">SUMIFS(Table_Process_Details[RV GWP (kg CO2 equiv.) per kg API (OTHER)],Table_Process_Details[Display Name],Table_Process_Details[[#This Row],[Unique Process Inputs]],Table_Process_Details[Input or Output],"Input")</f>
        <v>0</v>
      </c>
      <c r="FF55" s="22" t="e">
        <f ca="1">INDEX(Table_Process_Details[Unique Process Inputs],MATCH(Table_Process_Details[[#This Row],['[GWP (kg CO2 equiv.) per kg API'] of Unique Inputs Sorted by '[GWP (kg CO2 equiv.) per kg API']]],Table_Process_Details[Total '[GWP (kg CO2 equiv.) per kg API'] of Unique Inputs],0))</f>
        <v>#N/A</v>
      </c>
      <c r="FG55" s="22" t="e">
        <f ca="1">IF(LARGE(Table_Process_Details[Total '[GWP (kg CO2 equiv.) per kg API'] of Unique Inputs],Table_Process_Details[[#This Row],[Table Row]])=0,NA(),LARGE(Table_Process_Details[Total '[GWP (kg CO2 equiv.) per kg API'] of Unique Inputs],Table_Process_Details[[#This Row],[Table Row]]))</f>
        <v>#N/A</v>
      </c>
      <c r="FH55" s="22" t="e">
        <f ca="1">SUM(OFFSET(Table_Process_Details['[GWP (kg CO2 equiv.) per kg API'] of Unique Inputs Sorted by '[GWP (kg CO2 equiv.) per kg API']],0,0,Table_Process_Details[[#This Row],[Table Row]]))</f>
        <v>#N/A</v>
      </c>
      <c r="FI55" s="22" t="e">
        <f ca="1">"("&amp;TEXT(Table_Process_Details[[#This Row],['[GWP (kg CO2 equiv.) per kg API'] of Unique Inputs Sorted by '[GWP (kg CO2 equiv.) per kg API']]]/SUMIF(Table_Process_Details['[GWP (kg CO2 equiv.) per kg API'] of Unique Inputs Sorted by '[GWP (kg CO2 equiv.) per kg API']],"&lt;&gt;#N/A"),"0%")&amp;")"</f>
        <v>#N/A</v>
      </c>
      <c r="FJ55" s="22" t="e">
        <f ca="1">INDEX(Table_Process_Details[Total '[GWP (kg CO2 equiv.) per kg API'] of Unique Inputs (REAGENT)], MATCH(Table_Process_Details[[#This Row],[Unique Inputs Sorted by '[GWP (kg CO2 equiv.) per kg API']]],Table_Process_Details[Unique Process Inputs],0))</f>
        <v>#N/A</v>
      </c>
      <c r="FK55" s="22" t="e">
        <f ca="1">INDEX(Table_Process_Details[Total '[GWP (kg CO2 equiv.) per kg API'] of Unique Inputs (METAL)], MATCH(Table_Process_Details[[#This Row],[Unique Inputs Sorted by '[GWP (kg CO2 equiv.) per kg API']]],Table_Process_Details[Unique Process Inputs],0))</f>
        <v>#N/A</v>
      </c>
      <c r="FL55" s="22" t="e">
        <f ca="1">INDEX(Table_Process_Details[Total '[GWP (kg CO2 equiv.) per kg API'] of Unique Inputs (SOLVENT)], MATCH(Table_Process_Details[[#This Row],[Unique Inputs Sorted by '[GWP (kg CO2 equiv.) per kg API']]],Table_Process_Details[Unique Process Inputs],0))</f>
        <v>#N/A</v>
      </c>
      <c r="FM55" s="22" t="e">
        <f ca="1">INDEX(Table_Process_Details[Total '[GWP (kg CO2 equiv.) per kg API'] of Unique Inputs (WATER)], MATCH(Table_Process_Details[[#This Row],[Unique Inputs Sorted by '[GWP (kg CO2 equiv.) per kg API']]],Table_Process_Details[Unique Process Inputs],0))</f>
        <v>#N/A</v>
      </c>
      <c r="FN55" s="22" t="e">
        <f ca="1">INDEX(Table_Process_Details[Total '[GWP (kg CO2 equiv.) per kg API'] of Unique Inputs (ENZ&amp;PLNT)], MATCH(Table_Process_Details[[#This Row],[Unique Inputs Sorted by '[GWP (kg CO2 equiv.) per kg API']]],Table_Process_Details[Unique Process Inputs],0))</f>
        <v>#N/A</v>
      </c>
      <c r="FO55" s="22" t="e">
        <f ca="1">INDEX(Table_Process_Details[Total '[GWP (kg CO2 equiv.) per kg API'] of Unique Inputs (OTHER)], MATCH(Table_Process_Details[[#This Row],[Unique Inputs Sorted by '[GWP (kg CO2 equiv.) per kg API']]],Table_Process_Details[Unique Process Inputs],0))</f>
        <v>#N/A</v>
      </c>
      <c r="FP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4.8622015056600968E-4</v>
      </c>
      <c r="FQ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4.8581212761992815E-4</v>
      </c>
      <c r="FR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4.0802294608158025E-7</v>
      </c>
      <c r="FU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5" s="22">
        <f ca="1">SUMIFS(Table_Process_Details[RV Acidification (kg SO2 equiv.) per kg API],Table_Process_Details[Display Name],Table_Process_Details[[#This Row],[Unique Process Inputs]],Table_Process_Details[Input or Output],"Input")</f>
        <v>0</v>
      </c>
      <c r="FX55" s="1">
        <f ca="1">SUMIFS(Table_Process_Details[RV Acidification (kg SO2 equiv.) per kg API (REAGENT)],Table_Process_Details[Display Name],Table_Process_Details[[#This Row],[Unique Process Inputs]],Table_Process_Details[Input or Output],"Input")</f>
        <v>0</v>
      </c>
      <c r="FY55" s="1">
        <f ca="1">SUMIFS(Table_Process_Details[RV Acidification (kg SO2 equiv.) per kg API (METAL)],Table_Process_Details[Display Name],Table_Process_Details[[#This Row],[Unique Process Inputs]],Table_Process_Details[Input or Output],"Input")</f>
        <v>0</v>
      </c>
      <c r="FZ55" s="1">
        <f ca="1">SUMIFS(Table_Process_Details[RV Acidification (kg SO2 equiv.) per kg API (SOLVENT)],Table_Process_Details[Display Name],Table_Process_Details[[#This Row],[Unique Process Inputs]],Table_Process_Details[Input or Output],"Input")</f>
        <v>0</v>
      </c>
      <c r="GA55" s="1">
        <f ca="1">SUMIFS(Table_Process_Details[RV Acidification (kg SO2 equiv.) per kg API (WATER)],Table_Process_Details[Display Name],Table_Process_Details[[#This Row],[Unique Process Inputs]],Table_Process_Details[Input or Output],"Input")</f>
        <v>0</v>
      </c>
      <c r="GB55" s="1">
        <f ca="1">SUMIFS(Table_Process_Details[RV Acidification (kg SO2 equiv.) per kg API (ENZ&amp;PLNT)],Table_Process_Details[Display Name],Table_Process_Details[[#This Row],[Unique Process Inputs]],Table_Process_Details[Input or Output],"Input")</f>
        <v>0</v>
      </c>
      <c r="GC55" s="1">
        <f ca="1">SUMIFS(Table_Process_Details[RV Acidification (kg SO2 equiv.) per kg API (OTHER)],Table_Process_Details[Display Name],Table_Process_Details[[#This Row],[Unique Process Inputs]],Table_Process_Details[Input or Output],"Input")</f>
        <v>0</v>
      </c>
      <c r="GD55"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5"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5" s="22" t="e">
        <f ca="1">SUM(OFFSET(Table_Process_Details['[Acidification (kg SO2 equiv.) per kg API'] of Unique Inputs Sorted by '[Acidification (kg SO2 equiv.) per kg API']],0,0,Table_Process_Details[[#This Row],[Table Row]]))</f>
        <v>#N/A</v>
      </c>
      <c r="GG55"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5" s="22" t="e">
        <f ca="1">INDEX(Table_Process_Details[Total '[Acidification (kg SO2 equiv.) per kg API'] of Unique Inputs (REAGENT)], MATCH(Table_Process_Details[[#This Row],[Unique Inputs Sorted by '[Acidification (kg SO2 equiv.) per kg API']]],Table_Process_Details[Unique Process Inputs],0))</f>
        <v>#N/A</v>
      </c>
      <c r="GI55" s="22" t="e">
        <f ca="1">INDEX(Table_Process_Details[Total '[Acidification (kg SO2 equiv.) per kg API'] of Unique Inputs (METAL)], MATCH(Table_Process_Details[[#This Row],[Unique Inputs Sorted by '[Acidification (kg SO2 equiv.) per kg API']]],Table_Process_Details[Unique Process Inputs],0))</f>
        <v>#N/A</v>
      </c>
      <c r="GJ55" s="22" t="e">
        <f ca="1">INDEX(Table_Process_Details[Total '[Acidification (kg SO2 equiv.) per kg API'] of Unique Inputs (SOLVENT)], MATCH(Table_Process_Details[[#This Row],[Unique Inputs Sorted by '[Acidification (kg SO2 equiv.) per kg API']]],Table_Process_Details[Unique Process Inputs],0))</f>
        <v>#N/A</v>
      </c>
      <c r="GK55" s="22" t="e">
        <f ca="1">INDEX(Table_Process_Details[Total '[Acidification (kg SO2 equiv.) per kg API'] of Unique Inputs (WATER)], MATCH(Table_Process_Details[[#This Row],[Unique Inputs Sorted by '[Acidification (kg SO2 equiv.) per kg API']]],Table_Process_Details[Unique Process Inputs],0))</f>
        <v>#N/A</v>
      </c>
      <c r="GL55" s="22" t="e">
        <f ca="1">INDEX(Table_Process_Details[Total '[Acidification (kg SO2 equiv.) per kg API'] of Unique Inputs (ENZ&amp;PLNT)], MATCH(Table_Process_Details[[#This Row],[Unique Inputs Sorted by '[Acidification (kg SO2 equiv.) per kg API']]],Table_Process_Details[Unique Process Inputs],0))</f>
        <v>#N/A</v>
      </c>
      <c r="GM55" s="22" t="e">
        <f ca="1">INDEX(Table_Process_Details[Total '[Acidification (kg SO2 equiv.) per kg API'] of Unique Inputs (OTHER)], MATCH(Table_Process_Details[[#This Row],[Unique Inputs Sorted by '[Acidification (kg SO2 equiv.) per kg API']]],Table_Process_Details[Unique Process Inputs],0))</f>
        <v>#N/A</v>
      </c>
      <c r="GN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2.4708422572600136E-5</v>
      </c>
      <c r="GO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2.4465358944888468E-5</v>
      </c>
      <c r="GP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2.4306362771167172E-7</v>
      </c>
      <c r="GS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5" s="22">
        <f ca="1">SUMIFS(Table_Process_Details[RV Eutrophication (kg phosphate equiv.) per kg API],Table_Process_Details[Display Name],Table_Process_Details[[#This Row],[Unique Process Inputs]],Table_Process_Details[Input or Output],"Input")</f>
        <v>0</v>
      </c>
      <c r="GV55" s="1">
        <f ca="1">SUMIFS(Table_Process_Details[RV Eutrophication (kg phosphate equiv.) per kg API (REAGENT)],Table_Process_Details[Display Name],Table_Process_Details[[#This Row],[Unique Process Inputs]],Table_Process_Details[Input or Output],"Input")</f>
        <v>0</v>
      </c>
      <c r="GW55" s="1">
        <f ca="1">SUMIFS(Table_Process_Details[RV Eutrophication (kg phosphate equiv.) per kg API (METAL)],Table_Process_Details[Display Name],Table_Process_Details[[#This Row],[Unique Process Inputs]],Table_Process_Details[Input or Output],"Input")</f>
        <v>0</v>
      </c>
      <c r="GX55" s="1">
        <f ca="1">SUMIFS(Table_Process_Details[RV Eutrophication (kg phosphate equiv.) per kg API (SOLVENT)],Table_Process_Details[Display Name],Table_Process_Details[[#This Row],[Unique Process Inputs]],Table_Process_Details[Input or Output],"Input")</f>
        <v>0</v>
      </c>
      <c r="GY55" s="1">
        <f ca="1">SUMIFS(Table_Process_Details[RV Eutrophication (kg phosphate equiv.) per kg API (WATER)],Table_Process_Details[Display Name],Table_Process_Details[[#This Row],[Unique Process Inputs]],Table_Process_Details[Input or Output],"Input")</f>
        <v>0</v>
      </c>
      <c r="GZ55" s="1">
        <f ca="1">SUMIFS(Table_Process_Details[RV Eutrophication (kg phosphate equiv.) per kg API (ENZ&amp;PLNT)],Table_Process_Details[Display Name],Table_Process_Details[[#This Row],[Unique Process Inputs]],Table_Process_Details[Input or Output],"Input")</f>
        <v>0</v>
      </c>
      <c r="HA55" s="1">
        <f ca="1">SUMIFS(Table_Process_Details[RV Eutrophication (kg phosphate equiv.) per kg API (OTHER)],Table_Process_Details[Display Name],Table_Process_Details[[#This Row],[Unique Process Inputs]],Table_Process_Details[Input or Output],"Input")</f>
        <v>0</v>
      </c>
      <c r="HB55"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5"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5" s="22" t="e">
        <f ca="1">SUM(OFFSET(Table_Process_Details['[Eutrophication (kg posphate equiv.) per kg API'] of Unique Inputs Sorted by '[Eutrophication (kg posphate equiv.) per kg API']],0,0,Table_Process_Details[[#This Row],[Table Row]]))</f>
        <v>#N/A</v>
      </c>
      <c r="HE55"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5" s="1" t="e">
        <f ca="1">INDEX(Table_Process_Details[Total '[Eutrophication (kg posphate equiv.) per kg API'] of Unique Inputs (REAGENT)], MATCH(Table_Process_Details[[#This Row],[Unique Inputs Sorted by '[Eutrophication (kg posphate equiv.) per kg API']]],Table_Process_Details[Unique Process Inputs],0))</f>
        <v>#N/A</v>
      </c>
      <c r="HG55" s="1" t="e">
        <f ca="1">INDEX(Table_Process_Details[Total '[Eutrophication (kg posphate equiv.) per kg API'] of Unique Inputs (METAL)], MATCH(Table_Process_Details[[#This Row],[Unique Inputs Sorted by '[Eutrophication (kg posphate equiv.) per kg API']]],Table_Process_Details[Unique Process Inputs],0))</f>
        <v>#N/A</v>
      </c>
      <c r="HH55" s="1" t="e">
        <f ca="1">INDEX(Table_Process_Details[Total '[Eutrophication (kg posphate equiv.) per kg API'] of Unique Inputs (SOLVENT)], MATCH(Table_Process_Details[[#This Row],[Unique Inputs Sorted by '[Eutrophication (kg posphate equiv.) per kg API']]],Table_Process_Details[Unique Process Inputs],0))</f>
        <v>#N/A</v>
      </c>
      <c r="HI55" s="1" t="e">
        <f ca="1">INDEX(Table_Process_Details[Total '[Eutrophication (kg posphate equiv.) per kg API'] of Unique Inputs (WATER)], MATCH(Table_Process_Details[[#This Row],[Unique Inputs Sorted by '[Eutrophication (kg posphate equiv.) per kg API']]],Table_Process_Details[Unique Process Inputs],0))</f>
        <v>#N/A</v>
      </c>
      <c r="HJ55" s="1" t="e">
        <f ca="1">INDEX(Table_Process_Details[Total '[Eutrophication (kg posphate equiv.) per kg API'] of Unique Inputs (ENZ&amp;PLNT)], MATCH(Table_Process_Details[[#This Row],[Unique Inputs Sorted by '[Eutrophication (kg posphate equiv.) per kg API']]],Table_Process_Details[Unique Process Inputs],0))</f>
        <v>#N/A</v>
      </c>
      <c r="HK55" s="1" t="e">
        <f ca="1">INDEX(Table_Process_Details[Total '[Eutrophication (kg posphate equiv.) per kg API'] of Unique Inputs (OTHER)], MATCH(Table_Process_Details[[#This Row],[Unique Inputs Sorted by '[Eutrophication (kg posphate equiv.) per kg API']]],Table_Process_Details[Unique Process Inputs],0))</f>
        <v>#N/A</v>
      </c>
      <c r="HL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0.15662293953725806</v>
      </c>
      <c r="HM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2.4158842947821797E-2</v>
      </c>
      <c r="HN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0.13246409658943625</v>
      </c>
      <c r="HQ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5" s="1">
        <f ca="1">SUMIFS(Table_Process_Details[RV Water (kg) per kg API],Table_Process_Details[Display Name],Table_Process_Details[[#This Row],[Unique Process Inputs]],Table_Process_Details[Input or Output],"Input")</f>
        <v>0</v>
      </c>
      <c r="HT55" s="1">
        <f ca="1">SUMIFS(Table_Process_Details[RV Water (kg) per kg API (REAGENT)],Table_Process_Details[Display Name],Table_Process_Details[[#This Row],[Unique Process Inputs]],Table_Process_Details[Input or Output],"Input")</f>
        <v>0</v>
      </c>
      <c r="HU55" s="1">
        <f ca="1">SUMIFS(Table_Process_Details[RV Water (kg) per kg API (METAL)],Table_Process_Details[Display Name],Table_Process_Details[[#This Row],[Unique Process Inputs]],Table_Process_Details[Input or Output],"Input")</f>
        <v>0</v>
      </c>
      <c r="HV55" s="1">
        <f ca="1">SUMIFS(Table_Process_Details[RV Water (kg) per kg API (SOLVENT)],Table_Process_Details[Display Name],Table_Process_Details[[#This Row],[Unique Process Inputs]],Table_Process_Details[Input or Output],"Input")</f>
        <v>0</v>
      </c>
      <c r="HW55" s="1">
        <f ca="1">SUMIFS(Table_Process_Details[RV Water (kg) per kg API (WATER)],Table_Process_Details[Display Name],Table_Process_Details[[#This Row],[Unique Process Inputs]],Table_Process_Details[Input or Output],"Input")</f>
        <v>0</v>
      </c>
      <c r="HX55" s="1">
        <f ca="1">SUMIFS(Table_Process_Details[RV Water (kg) per kg API (ENZ&amp;PLNT)],Table_Process_Details[Display Name],Table_Process_Details[[#This Row],[Unique Process Inputs]],Table_Process_Details[Input or Output],"Input")</f>
        <v>0</v>
      </c>
      <c r="HY55" s="1">
        <f ca="1">SUMIFS(Table_Process_Details[RV Water (kg) per kg API (OTHER)],Table_Process_Details[Display Name],Table_Process_Details[[#This Row],[Unique Process Inputs]],Table_Process_Details[Input or Output],"Input")</f>
        <v>0</v>
      </c>
      <c r="HZ55" s="22" t="e">
        <f ca="1">INDEX(Table_Process_Details[Unique Process Inputs],MATCH(Table_Process_Details[[#This Row],['[Water (kg) per kg API'] of Unique Inputs Sorted by '[Water (kg) per kg API']]],Table_Process_Details[Total '[Water (kg) per kg API'] of Unique Inputs],0))</f>
        <v>#N/A</v>
      </c>
      <c r="IA55" s="22" t="e">
        <f ca="1">IF(LARGE(Table_Process_Details[Total '[Water (kg) per kg API'] of Unique Inputs],Table_Process_Details[[#This Row],[Table Row]])=0,NA(),LARGE(Table_Process_Details[Total '[Water (kg) per kg API'] of Unique Inputs],Table_Process_Details[[#This Row],[Table Row]]))</f>
        <v>#N/A</v>
      </c>
      <c r="IB55" s="1" t="e">
        <f ca="1">SUM(OFFSET(Table_Process_Details['[Water (kg) per kg API'] of Unique Inputs Sorted by '[Water (kg) per kg API']],0,0,Table_Process_Details[[#This Row],[Table Row]]))</f>
        <v>#N/A</v>
      </c>
      <c r="IC55" s="1" t="e">
        <f ca="1">"("&amp;TEXT(Table_Process_Details[[#This Row],['[Water (kg) per kg API'] of Unique Inputs Sorted by '[Water (kg) per kg API']]]/SUMIF(Table_Process_Details['[Water (kg) per kg API'] of Unique Inputs Sorted by '[Water (kg) per kg API']],"&lt;&gt;#N/A"),"0%")&amp;")"</f>
        <v>#N/A</v>
      </c>
      <c r="ID55" s="1" t="e">
        <f ca="1">INDEX(Table_Process_Details[Total '[Water (kg) per kg API'] of Unique Inputs (REAGENT)], MATCH(Table_Process_Details[[#This Row],[Unique Inputs Sorted by '[Water (kg) per kg API']]],Table_Process_Details[Unique Process Inputs],0))</f>
        <v>#N/A</v>
      </c>
      <c r="IE55" s="1" t="e">
        <f ca="1">INDEX(Table_Process_Details[Total '[Water (kg) per kg API'] of Unique Inputs (METAL)], MATCH(Table_Process_Details[[#This Row],[Unique Inputs Sorted by '[Water (kg) per kg API']]],Table_Process_Details[Unique Process Inputs],0))</f>
        <v>#N/A</v>
      </c>
      <c r="IF55" s="1" t="e">
        <f ca="1">INDEX(Table_Process_Details[Total '[Water (kg) per kg API'] of Unique Inputs (SOLVENT)], MATCH(Table_Process_Details[[#This Row],[Unique Inputs Sorted by '[Water (kg) per kg API']]],Table_Process_Details[Unique Process Inputs],0))</f>
        <v>#N/A</v>
      </c>
      <c r="IG55" s="1" t="e">
        <f ca="1">INDEX(Table_Process_Details[Total '[Water (kg) per kg API'] of Unique Inputs (WATER)], MATCH(Table_Process_Details[[#This Row],[Unique Inputs Sorted by '[Water (kg) per kg API']]],Table_Process_Details[Unique Process Inputs],0))</f>
        <v>#N/A</v>
      </c>
      <c r="IH55" s="1" t="e">
        <f ca="1">INDEX(Table_Process_Details[Total '[Water (kg) per kg API'] of Unique Inputs (ENZ&amp;PLNT)], MATCH(Table_Process_Details[[#This Row],[Unique Inputs Sorted by '[Water (kg) per kg API']]],Table_Process_Details[Unique Process Inputs],0))</f>
        <v>#N/A</v>
      </c>
      <c r="II55" s="1" t="e">
        <f ca="1">INDEX(Table_Process_Details[Total '[Water (kg) per kg API'] of Unique Inputs (OTHER)], MATCH(Table_Process_Details[[#This Row],[Unique Inputs Sorted by '[Water (kg) per kg API']]],Table_Process_Details[Unique Process Inputs],0))</f>
        <v>#N/A</v>
      </c>
    </row>
    <row r="56" spans="1:243" customFormat="1" x14ac:dyDescent="0.25">
      <c r="A56" s="22" t="str">
        <f t="shared" si="1"/>
        <v>2) Synthesis of Intermediate (2)</v>
      </c>
      <c r="B56" s="21" t="s">
        <v>4</v>
      </c>
      <c r="C56" s="21" t="s">
        <v>6</v>
      </c>
      <c r="D56" s="22" t="s">
        <v>122</v>
      </c>
      <c r="E56" s="22" t="s">
        <v>820</v>
      </c>
      <c r="F56" s="26">
        <v>300</v>
      </c>
      <c r="G56" s="26"/>
      <c r="H56" s="26"/>
      <c r="I56" s="26"/>
      <c r="J56" s="26" t="str">
        <f>INDEX(Process_Steps[Reference],MATCH(Table_Process_Details[[#This Row],[Step Name]],Process_Steps[Name],0))</f>
        <v>Reference Document for Step 2</v>
      </c>
      <c r="K56" s="27" t="str">
        <f>INDEX(Process_Steps[Real or Virtual?],MATCH(Table_Process_Details[[#This Row],[Step Name]],Process_Steps[Name],0))</f>
        <v>Real</v>
      </c>
      <c r="L5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68-12-2</v>
      </c>
      <c r="M5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56" s="26">
        <f>INDEX(Table_Process_Details[Physical Mass (kg)],MATCH(1,INDEX(((Table_Process_Details[Step Name]=Table_Process_Details[[#This Row],[Step Name]])*(Table_Process_Details[Input or Output]="Output")),0),0))</f>
        <v>157.52551020408163</v>
      </c>
      <c r="O56" s="29">
        <f ca="1">INDEX(Process_Steps[Step Scale Factor for 1kg Packaged API],MATCH(Table_Process_Details[[#This Row],[Step Name]],Process_Steps[Name],0))</f>
        <v>6.9901025556824191E-3</v>
      </c>
      <c r="P5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11.5</v>
      </c>
      <c r="Q5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8.5</v>
      </c>
      <c r="R56" s="26">
        <f ca="1">_xlfn.SWITCH(Run_Reset_PNG,"Reset",Table_Process_Details[[#This Row],[X Init]],"Run",Table_Process_Details[[#This Row],[X Moved]],"Freeze",Table_Process_Details[[#This Row],[X Mover]])</f>
        <v>-0.97795169655054348</v>
      </c>
      <c r="S56" s="26">
        <f ca="1">_xlfn.SWITCH(Run_Reset_PNG,"Reset",Table_Process_Details[[#This Row],[Y Init]],"Run",Table_Process_Details[[#This Row],[Y Moved]],"Freeze",Table_Process_Details[[#This Row],[Y Mover]])</f>
        <v>9.3860076454015413</v>
      </c>
      <c r="T56" s="26" cm="1">
        <f t="array" aca="1" ref="T5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-3.4905298011815198</v>
      </c>
      <c r="U56" s="26" cm="1">
        <f t="array" aca="1" ref="U5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1.5687885098189422</v>
      </c>
      <c r="V56" s="26" cm="1">
        <f t="array" aca="1" ref="V56" ca="1">SUM(--(SQRT((Table_Process_Details[[#This Row],[X Mover]]-Table_Process_Details[X Mover])^2+(Table_Process_Details[[#This Row],[Y Mover]]-Table_Process_Details[Y Mover])^2)&lt;Collision_Distance))</f>
        <v>18</v>
      </c>
      <c r="W56" s="26" cm="1">
        <f t="array" aca="1" ref="W5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0.11145913388884385</v>
      </c>
      <c r="X56" s="26" cm="1">
        <f t="array" aca="1" ref="X5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-5.5448590066097335E-2</v>
      </c>
      <c r="Y56" s="26" cm="1">
        <f t="array" aca="1" ref="Y5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6" s="26">
        <f>0</f>
        <v>0</v>
      </c>
      <c r="AA56" s="26">
        <f>0</f>
        <v>0</v>
      </c>
      <c r="AB5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0.48897584827527174</v>
      </c>
      <c r="AC56" s="26" cm="1">
        <f t="array" aca="1" ref="AC5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-4.6930038227007707</v>
      </c>
      <c r="AD56" s="26">
        <f>MIN(1,COUNTA(Table_Process_Details[[#This Row],[target x]]),COUNTA(Table_Process_Details[[#This Row],[target y]]))*COUNTA(Table_Process_Details[Step Name])</f>
        <v>98</v>
      </c>
      <c r="AE5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-1.0554213354773654</v>
      </c>
      <c r="AF5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9.3698261784384158</v>
      </c>
      <c r="AG5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56" s="26" cm="1">
        <f t="array" aca="1" ref="AH56" ca="1">INDEX(Table_Process_Details[X Mover],MATCH(1,INDEX((Table_Process_Details[Input or Output]="Output")*(Table_Process_Details[Step Name]=Table_Process_Details[[#This Row],[Step Name]])*(Table_Process_Details[[#This Row],[Input or Output]]="Input"),0),0))</f>
        <v>1.9309511115841147</v>
      </c>
      <c r="AI56" s="26" cm="1">
        <f t="array" aca="1" ref="AI56" ca="1">INDEX(Table_Process_Details[Y Mover],MATCH(1,INDEX((Table_Process_Details[Input or Output]="Output")*(Table_Process_Details[Step Name]=Table_Process_Details[[#This Row],[Step Name]])*(Table_Process_Details[[#This Row],[Input or Output]]="Input"),0),0))</f>
        <v>7.9388892826190514</v>
      </c>
      <c r="AJ56" s="26">
        <f ca="1">SQRT((Table_Process_Details[[#This Row],[X End (To Node Center)]]-Table_Process_Details[[#This Row],[X Guide]])^2+(Table_Process_Details[[#This Row],[Y End (to Node Center)]]-Table_Process_Details[[#This Row],[Y Guide]])^2)</f>
        <v>3.2489793940676162</v>
      </c>
      <c r="AK56" s="26" t="e" cm="1">
        <f t="array" ref="AK56">INDEX(Table_Process_Details[X Mover],MATCH(1,INDEX((Table_Process_Details[Step Name]=Table_Process_Details[[#This Row],[LCA Data Source Subclass]])*(Table_Process_Details[Input or Output]="Output"),0)*(Table_Process_Details[[#This Row],[Input or Output]]="Input"),0))</f>
        <v>#N/A</v>
      </c>
      <c r="AL56" s="26" cm="1">
        <f t="array" aca="1" ref="AL56" ca="1">INDEX(Table_Process_Details[X Mover],MATCH(1,INDEX(((Table_Process_Details[Table Row]=Table_Process_Details[[#This Row],[Table Row]])*(1)),0)*(Table_Process_Details[[#This Row],[Input or Output]]="Input"),0))</f>
        <v>-0.97795169655054348</v>
      </c>
      <c r="AM56" s="26" cm="1">
        <f t="array" aca="1" ref="AM56" ca="1">(Table_Process_Details[[#This Row],[X End (To Node Center)]]*Table_Process_Details[[#This Row],[r0]]-Table_Process_Details[[#This Row],[X End (To Node Center)]]*Arrow_Offset+Table_Process_Details[[#This Row],[X Guide]]*Arrow_Offset)/Table_Process_Details[[#This Row],[r0]]</f>
        <v>1.2146885674889225</v>
      </c>
      <c r="AN56" s="26" t="e">
        <f>IF(NOT(Table_Process_Details[[#This Row],[Display As]]="None"),Table_Process_Details[[#This Row],[X Start Prefilter]],NA())</f>
        <v>#N/A</v>
      </c>
      <c r="AO56" s="26">
        <f ca="1">IF(NOT(Table_Process_Details[[#This Row],[Display As]]="None"),Table_Process_Details[[#This Row],[X Guide Prefilter]],NA())</f>
        <v>-0.97795169655054348</v>
      </c>
      <c r="AP56" s="26">
        <f ca="1">IF(NOT(Table_Process_Details[[#This Row],[Display As]]="None"),Table_Process_Details[[#This Row],[X End (to Stop Radius) Prefilter]],NA())</f>
        <v>1.2146885674889225</v>
      </c>
      <c r="AQ56" s="26" t="e">
        <f>NA()</f>
        <v>#N/A</v>
      </c>
      <c r="AR56" s="26" t="e" cm="1">
        <f t="array" ref="AR56">INDEX(Table_Process_Details[Y Mover],MATCH(1,INDEX((Table_Process_Details[Step Name]=Table_Process_Details[[#This Row],[LCA Data Source Subclass]])*(Table_Process_Details[Input or Output]="Output"),0)*(Table_Process_Details[[#This Row],[Input or Output]]="Input"),0))</f>
        <v>#N/A</v>
      </c>
      <c r="AS56" s="26" cm="1">
        <f t="array" aca="1" ref="AS56" ca="1">INDEX(Table_Process_Details[Y Mover],MATCH(1,INDEX(((Table_Process_Details[Table Row]=Table_Process_Details[[#This Row],[Table Row]])*(1)),0)*(Table_Process_Details[[#This Row],[Input or Output]]="Input"),0))</f>
        <v>9.3860076454015413</v>
      </c>
      <c r="AT56" s="26" cm="1">
        <f t="array" aca="1" ref="AT56" ca="1">(Table_Process_Details[[#This Row],[Y Guide]]*Arrow_Offset-Table_Process_Details[[#This Row],[Y End (to Node Center)]]*Arrow_Offset+Table_Process_Details[[#This Row],[Y End (to Node Center)]]*Table_Process_Details[[#This Row],[r0]])/Table_Process_Details[[#This Row],[r0]]</f>
        <v>8.2952149313257966</v>
      </c>
      <c r="AU56" s="26" t="e">
        <f>IF(NOT(Table_Process_Details[[#This Row],[Display As]]="None"),Table_Process_Details[[#This Row],[Y Start Prefilter]],NA())</f>
        <v>#N/A</v>
      </c>
      <c r="AV56" s="26">
        <f ca="1">IF(NOT(Table_Process_Details[[#This Row],[Display As]]="None"),Table_Process_Details[[#This Row],[Y Guide Prefilter]],NA())</f>
        <v>9.3860076454015413</v>
      </c>
      <c r="AW56" s="26">
        <f ca="1">IF(NOT(Table_Process_Details[[#This Row],[Display As]]="None"),Table_Process_Details[[#This Row],[Y End (to Stop Radius) Prefilter]],NA())</f>
        <v>8.2952149313257966</v>
      </c>
      <c r="AX56" s="26" t="e">
        <f>NA()</f>
        <v>#N/A</v>
      </c>
      <c r="AY56" s="26" t="e">
        <f>IF(Table_Process_Details[[#This Row],[Display As]]="Real Step",Table_Process_Details[[#This Row],[X Mover]],NA())</f>
        <v>#N/A</v>
      </c>
      <c r="AZ56" s="26" t="e">
        <f>IF(Table_Process_Details[[#This Row],[Display As]]="Real Step",Table_Process_Details[[#This Row],[Y Mover]],NA())</f>
        <v>#N/A</v>
      </c>
      <c r="BA56" s="26">
        <f ca="1">IF(Table_Process_Details[[#This Row],[Display As]]="Raw Material",Table_Process_Details[[#This Row],[X Mover]],NA())</f>
        <v>-0.97795169655054348</v>
      </c>
      <c r="BB56" s="26">
        <f ca="1">IF(Table_Process_Details[[#This Row],[Display As]]="Raw Material",Table_Process_Details[[#This Row],[Y Mover]],NA())</f>
        <v>9.3860076454015413</v>
      </c>
      <c r="BC56" s="26">
        <f ca="1">IF(OR(Table_Process_Details[[#This Row],[Display As]]="Real Step",Table_Process_Details[[#This Row],[Display As]]="Raw Material"),Table_Process_Details[[#This Row],[X Mover]],NA())</f>
        <v>-0.97795169655054348</v>
      </c>
      <c r="BD56" s="26">
        <f ca="1">IF(OR(Table_Process_Details[[#This Row],[Display As]]="Real Step",Table_Process_Details[[#This Row],[Display As]]="Raw Material"),Table_Process_Details[[#This Row],[Y Mover]],NA())</f>
        <v>9.3860076454015413</v>
      </c>
      <c r="BE56" s="22">
        <f>ROW()-ROW(Table_Process_Details[[#Headers],[Table Row]])</f>
        <v>52</v>
      </c>
      <c r="BF56" s="23" t="str" cm="1">
        <f t="array" aca="1" ref="BF56" ca="1">INDEX(Table_Process_Details[Display Name],MATCH(0,IF(Table_Process_Details[Input or Output]="Input",INDEX(COUNTIF(OFFSET(Table_Process_Details[[#Headers],[Unique Process Inputs]],0,0,Table_Process_Details[[#This Row],[Table Row]],1),Table_Process_Details[Display Name]),),""),0))</f>
        <v>IPA</v>
      </c>
      <c r="BG56" s="23">
        <f ca="1">Table_Process_Details[[#This Row],[Physical Mass (kg)]]*Table_Process_Details[[#This Row],[Step Scale Factor for 1kg Packaged API]]</f>
        <v>2.0970307667047257</v>
      </c>
      <c r="BH5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6" s="23">
        <f ca="1">MATCH(Table_Process_Details[[#This Row],[LCA Data Source Class]],INDIRECT(Table_Process_Details[[#This Row],[Input or Output]]),0)</f>
        <v>2</v>
      </c>
      <c r="BJ56" s="23">
        <f ca="1">MATCH(Table_Process_Details[[#This Row],[LCA Data Source Subclass]],INDIRECT(Table_Process_Details[[#This Row],[LCA Data Source Class]]&amp;"[Name]"),0)</f>
        <v>51</v>
      </c>
      <c r="BK56" s="23">
        <f ca="1">IFERROR(INDEX(INDIRECT(Table_Process_Details[[#This Row],[LCA Data Source Class]]&amp;"[Mass Net (kg)]"),MATCH(Table_Process_Details[[#This Row],[LCA Data Source Subclass]],INDIRECT(Table_Process_Details[[#This Row],[LCA Data Source Class]]&amp;"[Name]"),0)),0)</f>
        <v>1.6613169000000001</v>
      </c>
      <c r="BL56" s="23">
        <f ca="1">IFERROR(INDEX(INDIRECT(Table_Process_Details[[#This Row],[LCA Data Source Class]]&amp;"[Energy (MJ)]"),MATCH(Table_Process_Details[[#This Row],[LCA Data Source Subclass]],INDIRECT(Table_Process_Details[[#This Row],[LCA Data Source Class]]&amp;"[Name]"),0)),0)</f>
        <v>57.590679999999999</v>
      </c>
      <c r="BM56" s="23">
        <f ca="1">IFERROR(INDEX(INDIRECT(Table_Process_Details[[#This Row],[LCA Data Source Class]]&amp;"[GWP (kg CO2 equiv.)]"),MATCH(Table_Process_Details[[#This Row],[LCA Data Source Subclass]],INDIRECT(Table_Process_Details[[#This Row],[LCA Data Source Class]]&amp;"[Name]"),0)),0)</f>
        <v>1.8856040999999999</v>
      </c>
      <c r="BN56" s="23">
        <f ca="1">IFERROR(INDEX(INDIRECT(Table_Process_Details[[#This Row],[LCA Data Source Class]]&amp;"[Acidification (kg SO2 equiv.)]"),MATCH(Table_Process_Details[[#This Row],[LCA Data Source Subclass]],INDIRECT(Table_Process_Details[[#This Row],[LCA Data Source Class]]&amp;"[Name]"),0)),0)</f>
        <v>8.3330487999999994E-3</v>
      </c>
      <c r="BO56" s="23">
        <f ca="1">IFERROR(INDEX(INDIRECT(Table_Process_Details[[#This Row],[LCA Data Source Class]]&amp;"[Eutrophication (kg posphate equiv.)]"),MATCH(Table_Process_Details[[#This Row],[LCA Data Source Subclass]],INDIRECT(Table_Process_Details[[#This Row],[LCA Data Source Class]]&amp;"[Name]"),0)),0)</f>
        <v>8.8847363999999998E-2</v>
      </c>
      <c r="BP56" s="23">
        <f ca="1">IFERROR(INDEX(INDIRECT(Table_Process_Details[[#This Row],[LCA Data Source Class]]&amp;"[Water (kg)]"),MATCH(Table_Process_Details[[#This Row],[LCA Data Source Subclass]],INDIRECT(Table_Process_Details[[#This Row],[LCA Data Source Class]]&amp;"[Name]"),0)),0)</f>
        <v>9.6611399999999996</v>
      </c>
      <c r="BQ56" s="27">
        <f ca="1">(Table_Process_Details[[#This Row],[Input or Output]]="Input")*(Table_Process_Details[[#This Row],[LCA Data Source Class]]&lt;&gt;"Process_Steps")*Table_Process_Details[[#This Row],[Scaled Physical Mass per kg API for All Inputs &amp; Outputs]]</f>
        <v>2.0970307667047257</v>
      </c>
      <c r="BR56" s="27">
        <f ca="1">(Table_Process_Details[[#This Row],[Material Class]]="REAGENT")*Table_Process_Details[[#This Row],[Physical Mass per kg API]]</f>
        <v>0</v>
      </c>
      <c r="BS56" s="27">
        <f ca="1">(Table_Process_Details[[#This Row],[Material Class]]="METAL")*Table_Process_Details[[#This Row],[Physical Mass per kg API]]</f>
        <v>0</v>
      </c>
      <c r="BT56" s="27">
        <f ca="1">(Table_Process_Details[[#This Row],[Material Class]]="SOLVENT")*Table_Process_Details[[#This Row],[Physical Mass per kg API]]</f>
        <v>2.0970307667047257</v>
      </c>
      <c r="BU56" s="27">
        <f ca="1">(Table_Process_Details[[#This Row],[Material Class]]="WATER")*Table_Process_Details[[#This Row],[Physical Mass per kg API]]</f>
        <v>0</v>
      </c>
      <c r="BV56" s="27">
        <f ca="1">(Table_Process_Details[[#This Row],[Material Class]]="ENZ&amp;PLNT")*Table_Process_Details[[#This Row],[Physical Mass per kg API]]</f>
        <v>0</v>
      </c>
      <c r="BW56" s="27">
        <f ca="1">(Table_Process_Details[[#This Row],[Material Class]]="OTHER")*Table_Process_Details[[#This Row],[Physical Mass per kg API]]</f>
        <v>0</v>
      </c>
      <c r="BX5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2.0970307667047257</v>
      </c>
      <c r="BY5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2.0970307667047257</v>
      </c>
      <c r="CB5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6" s="1">
        <f ca="1">SUMIFS(Table_Process_Details[RV Physical Mass per kg API],Table_Process_Details[Display Name],Table_Process_Details[[#This Row],[Unique Process Inputs]],Table_Process_Details[Input or Output],"Input")</f>
        <v>20</v>
      </c>
      <c r="CF56" s="1">
        <f ca="1">SUMIFS(Table_Process_Details[RV Physical Mass per kg API (REAGENT)],Table_Process_Details[Display Name],Table_Process_Details[[#This Row],[Unique Process Inputs]],Table_Process_Details[Input or Output],"Input")</f>
        <v>0</v>
      </c>
      <c r="CG56" s="1">
        <f ca="1">SUMIFS(Table_Process_Details[RV Physical Mass per kg API (METAL)],Table_Process_Details[Display Name],Table_Process_Details[[#This Row],[Unique Process Inputs]],Table_Process_Details[Input or Output],"Input")</f>
        <v>0</v>
      </c>
      <c r="CH56" s="1">
        <f ca="1">SUMIFS(Table_Process_Details[RV Physical Mass per kg API (SOLVENT)],Table_Process_Details[Display Name],Table_Process_Details[[#This Row],[Unique Process Inputs]],Table_Process_Details[Input or Output],"Input")</f>
        <v>20</v>
      </c>
      <c r="CI56" s="1">
        <f ca="1">SUMIFS(Table_Process_Details[RV Physical Mass per kg API (WATER)],Table_Process_Details[Display Name],Table_Process_Details[[#This Row],[Unique Process Inputs]],Table_Process_Details[Input or Output],"Input")</f>
        <v>0</v>
      </c>
      <c r="CJ56" s="1">
        <f ca="1">SUMIFS(Table_Process_Details[RV Physical Mass per kg API (ENZ&amp;PLNT)],Table_Process_Details[Display Name],Table_Process_Details[[#This Row],[Unique Process Inputs]],Table_Process_Details[Input or Output],"Input")</f>
        <v>0</v>
      </c>
      <c r="CK56" s="1">
        <f ca="1">SUMIFS(Table_Process_Details[RV Physical Mass per kg API (OTHER)],Table_Process_Details[Display Name],Table_Process_Details[[#This Row],[Unique Process Inputs]],Table_Process_Details[Input or Output],"Input")</f>
        <v>0</v>
      </c>
      <c r="CL56" s="22" t="e">
        <f ca="1">INDEX(Table_Process_Details[Unique Process Inputs],MATCH(Table_Process_Details[[#This Row],['[Physical Mass per kg API'] of Unique Inputs Sorted by '[Physical Mass per kg API']]],Table_Process_Details[Total '[Physical Mass per kg API'] of Unique Inputs],0))</f>
        <v>#N/A</v>
      </c>
      <c r="CM56" s="22" t="e">
        <f ca="1">IF(LARGE(Table_Process_Details[Total '[Physical Mass per kg API'] of Unique Inputs],Table_Process_Details[[#This Row],[Table Row]])=0,NA(),LARGE(Table_Process_Details[Total '[Physical Mass per kg API'] of Unique Inputs],Table_Process_Details[[#This Row],[Table Row]]))</f>
        <v>#N/A</v>
      </c>
      <c r="CN56" s="22" t="e">
        <f ca="1">SUM(OFFSET(Table_Process_Details['[Physical Mass per kg API'] of Unique Inputs Sorted by '[Physical Mass per kg API']],0,0,Table_Process_Details[[#This Row],[Table Row]]))</f>
        <v>#N/A</v>
      </c>
      <c r="CO56" s="22" t="e">
        <f ca="1">"("&amp;TEXT(Table_Process_Details[[#This Row],['[Physical Mass per kg API'] of Unique Inputs Sorted by '[Physical Mass per kg API']]]/SUMIF(Table_Process_Details['[Physical Mass per kg API'] of Unique Inputs Sorted by '[Physical Mass per kg API']],"&lt;&gt;#N/A"),"0%")&amp;")"</f>
        <v>#N/A</v>
      </c>
      <c r="CP56" s="22" t="e">
        <f ca="1">INDEX(Table_Process_Details[Total '[Physical Mass per kg API'] of Unique Inputs (REAGENT)],MATCH(Table_Process_Details[[#This Row],[Unique Inputs Sorted by '[Physical Mass per kg API']]],Table_Process_Details[Unique Process Inputs],0))</f>
        <v>#N/A</v>
      </c>
      <c r="CQ56" s="22" t="e">
        <f ca="1">INDEX(Table_Process_Details[Total '[Physical Mass per kg API'] of Unique Inputs (METAL)],MATCH(Table_Process_Details[[#This Row],[Unique Inputs Sorted by '[Physical Mass per kg API']]],Table_Process_Details[Unique Process Inputs],0))</f>
        <v>#N/A</v>
      </c>
      <c r="CR56" s="22" t="e">
        <f ca="1">INDEX(Table_Process_Details[Total '[Physical Mass per kg API'] of Unique Inputs (SOLVENT)],MATCH(Table_Process_Details[[#This Row],[Unique Inputs Sorted by '[Physical Mass per kg API']]],Table_Process_Details[Unique Process Inputs],0))</f>
        <v>#N/A</v>
      </c>
      <c r="CS56" s="22" t="e">
        <f ca="1">INDEX(Table_Process_Details[Total '[Physical Mass per kg API'] of Unique Inputs (WATER)],MATCH(Table_Process_Details[[#This Row],[Unique Inputs Sorted by '[Physical Mass per kg API']]],Table_Process_Details[Unique Process Inputs],0))</f>
        <v>#N/A</v>
      </c>
      <c r="CT56" s="22" t="e">
        <f ca="1">INDEX(Table_Process_Details[Total '[Physical Mass per kg API'] of Unique Inputs (ENZ&amp;PLNT)],MATCH(Table_Process_Details[[#This Row],[Unique Inputs Sorted by '[Physical Mass per kg API']]],Table_Process_Details[Unique Process Inputs],0))</f>
        <v>#N/A</v>
      </c>
      <c r="CU56" s="22" t="e">
        <f ca="1">INDEX(Table_Process_Details[Total '[Physical Mass per kg API'] of Unique Inputs (OTHER)],MATCH(Table_Process_Details[[#This Row],[Unique Inputs Sorted by '[Physical Mass per kg API']]],Table_Process_Details[Unique Process Inputs],0))</f>
        <v>#N/A</v>
      </c>
      <c r="CV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3.4838326525465182</v>
      </c>
      <c r="CW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3.4838326525465182</v>
      </c>
      <c r="CZ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6" s="22">
        <f ca="1">SUMIFS(Table_Process_Details[RV Mass Net (kg) per kg API],Table_Process_Details[Display Name],Table_Process_Details[[#This Row],[Unique Process Inputs]],Table_Process_Details[Input or Output],"Input")</f>
        <v>28.871877999999999</v>
      </c>
      <c r="DD56" s="22">
        <f ca="1">SUMIFS(Table_Process_Details[RV Mass Net (kg) per kg API (REAGENT)],Table_Process_Details[Display Name],Table_Process_Details[[#This Row],[Unique Process Inputs]],Table_Process_Details[Input or Output],"Input")</f>
        <v>0</v>
      </c>
      <c r="DE56" s="22">
        <f ca="1">SUMIFS(Table_Process_Details[RV Mass Net (kg) per kg API (METAL)],Table_Process_Details[Display Name],Table_Process_Details[[#This Row],[Unique Process Inputs]],Table_Process_Details[Input or Output],"Input")</f>
        <v>0</v>
      </c>
      <c r="DF56" s="22">
        <f ca="1">SUMIFS(Table_Process_Details[RV Mass Net (kg) per kg API (SOLVENT)],Table_Process_Details[Display Name],Table_Process_Details[[#This Row],[Unique Process Inputs]],Table_Process_Details[Input or Output],"Input")</f>
        <v>28.871877999999999</v>
      </c>
      <c r="DG56" s="22">
        <f ca="1">SUMIFS(Table_Process_Details[RV Mass Net (kg) per kg API (WATER)],Table_Process_Details[Display Name],Table_Process_Details[[#This Row],[Unique Process Inputs]],Table_Process_Details[Input or Output],"Input")</f>
        <v>0</v>
      </c>
      <c r="DH56" s="22">
        <f ca="1">SUMIFS(Table_Process_Details[RV Mass Net (kg) per kg API (ENZ&amp;PLNT)],Table_Process_Details[Display Name],Table_Process_Details[[#This Row],[Unique Process Inputs]],Table_Process_Details[Input or Output],"Input")</f>
        <v>0</v>
      </c>
      <c r="DI56" s="22">
        <f ca="1">SUMIFS(Table_Process_Details[RV Mass Net (kg) per kg API (OTHER)],Table_Process_Details[Display Name],Table_Process_Details[[#This Row],[Unique Process Inputs]],Table_Process_Details[Input or Output],"Input")</f>
        <v>0</v>
      </c>
      <c r="DJ56" s="22" t="e">
        <f ca="1">INDEX(Table_Process_Details[Unique Process Inputs],MATCH(Table_Process_Details[[#This Row],['[Mass Net (kg) per kg API'] of Unique Inputs Sorted by '[Mass Net (kg) per kg API']]],Table_Process_Details[Total '[Mass Net (kg) per kg API'] of Unique Inputs],0))</f>
        <v>#N/A</v>
      </c>
      <c r="DK56" s="22" t="e">
        <f ca="1">IF(LARGE(Table_Process_Details[Total '[Mass Net (kg) per kg API'] of Unique Inputs],Table_Process_Details[[#This Row],[Table Row]])=0,NA(),LARGE(Table_Process_Details[Total '[Mass Net (kg) per kg API'] of Unique Inputs],Table_Process_Details[[#This Row],[Table Row]]))</f>
        <v>#N/A</v>
      </c>
      <c r="DL56" s="22" t="e">
        <f ca="1">SUM(OFFSET(Table_Process_Details['[Mass Net (kg) per kg API'] of Unique Inputs Sorted by '[Mass Net (kg) per kg API']],0,0,Table_Process_Details[[#This Row],[Table Row]]))</f>
        <v>#N/A</v>
      </c>
      <c r="DM56" s="22" t="e">
        <f ca="1">"("&amp;TEXT(Table_Process_Details[[#This Row],['[Mass Net (kg) per kg API'] of Unique Inputs Sorted by '[Mass Net (kg) per kg API']]]/SUMIF(Table_Process_Details['[Mass Net (kg) per kg API'] of Unique Inputs Sorted by '[Mass Net (kg) per kg API']],"&lt;&gt;#N/A"),"0%")&amp;")"</f>
        <v>#N/A</v>
      </c>
      <c r="DN56" s="22" t="e">
        <f ca="1">INDEX(Table_Process_Details[Total '[Mass Net (kg) per kg API'] of Unique Inputs (REAGENT)], MATCH(Table_Process_Details[[#This Row],[Unique Inputs Sorted by '[Mass Net (kg) per kg API']]],Table_Process_Details[Unique Process Inputs],0))</f>
        <v>#N/A</v>
      </c>
      <c r="DO56" s="22" t="e">
        <f ca="1">INDEX(Table_Process_Details[Total '[Mass Net (kg) per kg API'] of Unique Inputs (METAL)], MATCH(Table_Process_Details[[#This Row],[Unique Inputs Sorted by '[Mass Net (kg) per kg API']]],Table_Process_Details[Unique Process Inputs],0))</f>
        <v>#N/A</v>
      </c>
      <c r="DP56" s="22" t="e">
        <f ca="1">INDEX(Table_Process_Details[Total '[Mass Net (kg) per kg API'] of Unique Inputs (SOLVENT)], MATCH(Table_Process_Details[[#This Row],[Unique Inputs Sorted by '[Mass Net (kg) per kg API']]],Table_Process_Details[Unique Process Inputs],0))</f>
        <v>#N/A</v>
      </c>
      <c r="DQ56" s="22" t="e">
        <f ca="1">INDEX(Table_Process_Details[Total '[Mass Net (kg) per kg API'] of Unique Inputs (WATER)], MATCH(Table_Process_Details[[#This Row],[Unique Inputs Sorted by '[Mass Net (kg) per kg API']]],Table_Process_Details[Unique Process Inputs],0))</f>
        <v>#N/A</v>
      </c>
      <c r="DR56" s="22" t="e">
        <f ca="1">INDEX(Table_Process_Details[Total '[Mass Net (kg) per kg API'] of Unique Inputs (ENZ&amp;PLNT)], MATCH(Table_Process_Details[[#This Row],[Unique Inputs Sorted by '[Mass Net (kg) per kg API']]],Table_Process_Details[Unique Process Inputs],0))</f>
        <v>#N/A</v>
      </c>
      <c r="DS56" s="22" t="e">
        <f ca="1">INDEX(Table_Process_Details[Total '[Mass Net (kg) per kg API'] of Unique Inputs (OTHER)], MATCH(Table_Process_Details[[#This Row],[Unique Inputs Sorted by '[Mass Net (kg) per kg API']]],Table_Process_Details[Unique Process Inputs],0))</f>
        <v>#N/A</v>
      </c>
      <c r="DT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120.76942783544651</v>
      </c>
      <c r="DU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120.76942783544651</v>
      </c>
      <c r="DX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6" s="1">
        <f ca="1">SUMIFS(Table_Process_Details[RV Energy (MJ) per kg API],Table_Process_Details[Display Name],Table_Process_Details[[#This Row],[Unique Process Inputs]],Table_Process_Details[Input or Output],"Input")</f>
        <v>1255.00866</v>
      </c>
      <c r="EB56" s="1">
        <f ca="1">SUMIFS(Table_Process_Details[RV Energy (MJ) per kg API (REAGENT)],Table_Process_Details[Display Name],Table_Process_Details[[#This Row],[Unique Process Inputs]],Table_Process_Details[Input or Output],"Input")</f>
        <v>0</v>
      </c>
      <c r="EC56" s="1">
        <f ca="1">SUMIFS(Table_Process_Details[RV Energy (MJ) per kg API (METAL)],Table_Process_Details[Display Name],Table_Process_Details[[#This Row],[Unique Process Inputs]],Table_Process_Details[Input or Output],"Input")</f>
        <v>0</v>
      </c>
      <c r="ED56" s="1">
        <f ca="1">SUMIFS(Table_Process_Details[RV Energy (MJ) per kg API (SOLVENT)],Table_Process_Details[Display Name],Table_Process_Details[[#This Row],[Unique Process Inputs]],Table_Process_Details[Input or Output],"Input")</f>
        <v>1255.00866</v>
      </c>
      <c r="EE56" s="1">
        <f ca="1">SUMIFS(Table_Process_Details[RV Energy (MJ) per kg API (WATER)],Table_Process_Details[Display Name],Table_Process_Details[[#This Row],[Unique Process Inputs]],Table_Process_Details[Input or Output],"Input")</f>
        <v>0</v>
      </c>
      <c r="EF56" s="1">
        <f ca="1">SUMIFS(Table_Process_Details[RV Energy (MJ) per kg API (ENZ&amp;PLNT)],Table_Process_Details[Display Name],Table_Process_Details[[#This Row],[Unique Process Inputs]],Table_Process_Details[Input or Output],"Input")</f>
        <v>0</v>
      </c>
      <c r="EG56" s="1">
        <f ca="1">SUMIFS(Table_Process_Details[RV Energy (MJ) per kg API (OTHER)],Table_Process_Details[Display Name],Table_Process_Details[[#This Row],[Unique Process Inputs]],Table_Process_Details[Input or Output],"Input")</f>
        <v>0</v>
      </c>
      <c r="EH56" s="1" t="e">
        <f ca="1">INDEX(Table_Process_Details[Unique Process Inputs],MATCH(Table_Process_Details[[#This Row],['[Energy (MJ) per kg API'] of Unique Inputs Sorted by '[Energy (MJ) per kg API']]],Table_Process_Details[Total '[Energy (MJ) per kg API'] of Unique Inputs],0))</f>
        <v>#N/A</v>
      </c>
      <c r="EI56" s="22" t="e">
        <f ca="1">IF(LARGE(Table_Process_Details[Total '[Energy (MJ) per kg API'] of Unique Inputs],Table_Process_Details[[#This Row],[Table Row]])=0,NA(),LARGE(Table_Process_Details[Total '[Energy (MJ) per kg API'] of Unique Inputs],Table_Process_Details[[#This Row],[Table Row]]))</f>
        <v>#N/A</v>
      </c>
      <c r="EJ56" s="22" t="e">
        <f ca="1">SUM(OFFSET(Table_Process_Details['[Energy (MJ) per kg API'] of Unique Inputs Sorted by '[Energy (MJ) per kg API']],0,0,Table_Process_Details[[#This Row],[Table Row]]))</f>
        <v>#N/A</v>
      </c>
      <c r="EK56" s="22" t="e">
        <f ca="1">"("&amp;TEXT(Table_Process_Details[[#This Row],['[Energy (MJ) per kg API'] of Unique Inputs Sorted by '[Energy (MJ) per kg API']]]/SUMIF(Table_Process_Details['[Energy (MJ) per kg API'] of Unique Inputs Sorted by '[Energy (MJ) per kg API']],"&lt;&gt;#N/A"),"0%")&amp;")"</f>
        <v>#N/A</v>
      </c>
      <c r="EL56" s="22" t="e">
        <f ca="1">INDEX(Table_Process_Details[Total '[Energy (MJ) per kg API'] of Unique Inputs (REAGENT)], MATCH(Table_Process_Details[[#This Row],[Unique Inputs Sorted by '[Energy (MJ) per kg API']]],Table_Process_Details[Unique Process Inputs],0))</f>
        <v>#N/A</v>
      </c>
      <c r="EM56" s="22" t="e">
        <f ca="1">INDEX(Table_Process_Details[Total '[Energy (MJ) per kg API'] of Unique Inputs (METAL)], MATCH(Table_Process_Details[[#This Row],[Unique Inputs Sorted by '[Energy (MJ) per kg API']]],Table_Process_Details[Unique Process Inputs],0))</f>
        <v>#N/A</v>
      </c>
      <c r="EN56" s="22" t="e">
        <f ca="1">INDEX(Table_Process_Details[Total '[Energy (MJ) per kg API'] of Unique Inputs (SOLVENT)], MATCH(Table_Process_Details[[#This Row],[Unique Inputs Sorted by '[Energy (MJ) per kg API']]],Table_Process_Details[Unique Process Inputs],0))</f>
        <v>#N/A</v>
      </c>
      <c r="EO56" s="22" t="e">
        <f ca="1">INDEX(Table_Process_Details[Total '[Energy (MJ) per kg API'] of Unique Inputs (WATER)], MATCH(Table_Process_Details[[#This Row],[Unique Inputs Sorted by '[Energy (MJ) per kg API']]],Table_Process_Details[Unique Process Inputs],0))</f>
        <v>#N/A</v>
      </c>
      <c r="EP56" s="22" t="e">
        <f ca="1">INDEX(Table_Process_Details[Total '[Energy (MJ) per kg API'] of Unique Inputs (ENZ&amp;PLNT)], MATCH(Table_Process_Details[[#This Row],[Unique Inputs Sorted by '[Energy (MJ) per kg API']]],Table_Process_Details[Unique Process Inputs],0))</f>
        <v>#N/A</v>
      </c>
      <c r="EQ56" s="22" t="e">
        <f ca="1">INDEX(Table_Process_Details[Total '[Energy (MJ) per kg API'] of Unique Inputs (OTHER)], MATCH(Table_Process_Details[[#This Row],[Unique Inputs Sorted by '[Energy (MJ) per kg API']]],Table_Process_Details[Unique Process Inputs],0))</f>
        <v>#N/A</v>
      </c>
      <c r="ER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3.954169811524574</v>
      </c>
      <c r="ES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3.954169811524574</v>
      </c>
      <c r="EV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6" s="22">
        <f ca="1">SUMIFS(Table_Process_Details[RV GWP (kg CO2 equiv.) per kg API],Table_Process_Details[Display Name],Table_Process_Details[[#This Row],[Unique Process Inputs]],Table_Process_Details[Input or Output],"Input")</f>
        <v>36.963594000000001</v>
      </c>
      <c r="EZ56" s="1">
        <f ca="1">SUMIFS(Table_Process_Details[RV GWP (kg CO2 equiv.) per kg API (REAGENT)],Table_Process_Details[Display Name],Table_Process_Details[[#This Row],[Unique Process Inputs]],Table_Process_Details[Input or Output],"Input")</f>
        <v>0</v>
      </c>
      <c r="FA56" s="1">
        <f ca="1">SUMIFS(Table_Process_Details[RV GWP (kg CO2 equiv.) per kg API (METAL)],Table_Process_Details[Display Name],Table_Process_Details[[#This Row],[Unique Process Inputs]],Table_Process_Details[Input or Output],"Input")</f>
        <v>0</v>
      </c>
      <c r="FB56" s="1">
        <f ca="1">SUMIFS(Table_Process_Details[RV GWP (kg CO2 equiv.) per kg API (SOLVENT)],Table_Process_Details[Display Name],Table_Process_Details[[#This Row],[Unique Process Inputs]],Table_Process_Details[Input or Output],"Input")</f>
        <v>36.963594000000001</v>
      </c>
      <c r="FC56" s="1">
        <f ca="1">SUMIFS(Table_Process_Details[RV GWP (kg CO2 equiv.) per kg API (WATER)],Table_Process_Details[Display Name],Table_Process_Details[[#This Row],[Unique Process Inputs]],Table_Process_Details[Input or Output],"Input")</f>
        <v>0</v>
      </c>
      <c r="FD56" s="1">
        <f ca="1">SUMIFS(Table_Process_Details[RV GWP (kg CO2 equiv.) per kg API (ENZ&amp;PLNT)],Table_Process_Details[Display Name],Table_Process_Details[[#This Row],[Unique Process Inputs]],Table_Process_Details[Input or Output],"Input")</f>
        <v>0</v>
      </c>
      <c r="FE56" s="1">
        <f ca="1">SUMIFS(Table_Process_Details[RV GWP (kg CO2 equiv.) per kg API (OTHER)],Table_Process_Details[Display Name],Table_Process_Details[[#This Row],[Unique Process Inputs]],Table_Process_Details[Input or Output],"Input")</f>
        <v>0</v>
      </c>
      <c r="FF56" s="22" t="e">
        <f ca="1">INDEX(Table_Process_Details[Unique Process Inputs],MATCH(Table_Process_Details[[#This Row],['[GWP (kg CO2 equiv.) per kg API'] of Unique Inputs Sorted by '[GWP (kg CO2 equiv.) per kg API']]],Table_Process_Details[Total '[GWP (kg CO2 equiv.) per kg API'] of Unique Inputs],0))</f>
        <v>#N/A</v>
      </c>
      <c r="FG56" s="22" t="e">
        <f ca="1">IF(LARGE(Table_Process_Details[Total '[GWP (kg CO2 equiv.) per kg API'] of Unique Inputs],Table_Process_Details[[#This Row],[Table Row]])=0,NA(),LARGE(Table_Process_Details[Total '[GWP (kg CO2 equiv.) per kg API'] of Unique Inputs],Table_Process_Details[[#This Row],[Table Row]]))</f>
        <v>#N/A</v>
      </c>
      <c r="FH56" s="22" t="e">
        <f ca="1">SUM(OFFSET(Table_Process_Details['[GWP (kg CO2 equiv.) per kg API'] of Unique Inputs Sorted by '[GWP (kg CO2 equiv.) per kg API']],0,0,Table_Process_Details[[#This Row],[Table Row]]))</f>
        <v>#N/A</v>
      </c>
      <c r="FI56" s="22" t="e">
        <f ca="1">"("&amp;TEXT(Table_Process_Details[[#This Row],['[GWP (kg CO2 equiv.) per kg API'] of Unique Inputs Sorted by '[GWP (kg CO2 equiv.) per kg API']]]/SUMIF(Table_Process_Details['[GWP (kg CO2 equiv.) per kg API'] of Unique Inputs Sorted by '[GWP (kg CO2 equiv.) per kg API']],"&lt;&gt;#N/A"),"0%")&amp;")"</f>
        <v>#N/A</v>
      </c>
      <c r="FJ56" s="22" t="e">
        <f ca="1">INDEX(Table_Process_Details[Total '[GWP (kg CO2 equiv.) per kg API'] of Unique Inputs (REAGENT)], MATCH(Table_Process_Details[[#This Row],[Unique Inputs Sorted by '[GWP (kg CO2 equiv.) per kg API']]],Table_Process_Details[Unique Process Inputs],0))</f>
        <v>#N/A</v>
      </c>
      <c r="FK56" s="22" t="e">
        <f ca="1">INDEX(Table_Process_Details[Total '[GWP (kg CO2 equiv.) per kg API'] of Unique Inputs (METAL)], MATCH(Table_Process_Details[[#This Row],[Unique Inputs Sorted by '[GWP (kg CO2 equiv.) per kg API']]],Table_Process_Details[Unique Process Inputs],0))</f>
        <v>#N/A</v>
      </c>
      <c r="FL56" s="22" t="e">
        <f ca="1">INDEX(Table_Process_Details[Total '[GWP (kg CO2 equiv.) per kg API'] of Unique Inputs (SOLVENT)], MATCH(Table_Process_Details[[#This Row],[Unique Inputs Sorted by '[GWP (kg CO2 equiv.) per kg API']]],Table_Process_Details[Unique Process Inputs],0))</f>
        <v>#N/A</v>
      </c>
      <c r="FM56" s="22" t="e">
        <f ca="1">INDEX(Table_Process_Details[Total '[GWP (kg CO2 equiv.) per kg API'] of Unique Inputs (WATER)], MATCH(Table_Process_Details[[#This Row],[Unique Inputs Sorted by '[GWP (kg CO2 equiv.) per kg API']]],Table_Process_Details[Unique Process Inputs],0))</f>
        <v>#N/A</v>
      </c>
      <c r="FN56" s="22" t="e">
        <f ca="1">INDEX(Table_Process_Details[Total '[GWP (kg CO2 equiv.) per kg API'] of Unique Inputs (ENZ&amp;PLNT)], MATCH(Table_Process_Details[[#This Row],[Unique Inputs Sorted by '[GWP (kg CO2 equiv.) per kg API']]],Table_Process_Details[Unique Process Inputs],0))</f>
        <v>#N/A</v>
      </c>
      <c r="FO56" s="22" t="e">
        <f ca="1">INDEX(Table_Process_Details[Total '[GWP (kg CO2 equiv.) per kg API'] of Unique Inputs (OTHER)], MATCH(Table_Process_Details[[#This Row],[Unique Inputs Sorted by '[GWP (kg CO2 equiv.) per kg API']]],Table_Process_Details[Unique Process Inputs],0))</f>
        <v>#N/A</v>
      </c>
      <c r="FP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1.7474659714051894E-2</v>
      </c>
      <c r="FQ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1.7474659714051894E-2</v>
      </c>
      <c r="FT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6" s="22">
        <f ca="1">SUMIFS(Table_Process_Details[RV Acidification (kg SO2 equiv.) per kg API],Table_Process_Details[Display Name],Table_Process_Details[[#This Row],[Unique Process Inputs]],Table_Process_Details[Input or Output],"Input")</f>
        <v>0.15487351999999999</v>
      </c>
      <c r="FX56" s="1">
        <f ca="1">SUMIFS(Table_Process_Details[RV Acidification (kg SO2 equiv.) per kg API (REAGENT)],Table_Process_Details[Display Name],Table_Process_Details[[#This Row],[Unique Process Inputs]],Table_Process_Details[Input or Output],"Input")</f>
        <v>0</v>
      </c>
      <c r="FY56" s="1">
        <f ca="1">SUMIFS(Table_Process_Details[RV Acidification (kg SO2 equiv.) per kg API (METAL)],Table_Process_Details[Display Name],Table_Process_Details[[#This Row],[Unique Process Inputs]],Table_Process_Details[Input or Output],"Input")</f>
        <v>0</v>
      </c>
      <c r="FZ56" s="1">
        <f ca="1">SUMIFS(Table_Process_Details[RV Acidification (kg SO2 equiv.) per kg API (SOLVENT)],Table_Process_Details[Display Name],Table_Process_Details[[#This Row],[Unique Process Inputs]],Table_Process_Details[Input or Output],"Input")</f>
        <v>0.15487351999999999</v>
      </c>
      <c r="GA56" s="1">
        <f ca="1">SUMIFS(Table_Process_Details[RV Acidification (kg SO2 equiv.) per kg API (WATER)],Table_Process_Details[Display Name],Table_Process_Details[[#This Row],[Unique Process Inputs]],Table_Process_Details[Input or Output],"Input")</f>
        <v>0</v>
      </c>
      <c r="GB56" s="1">
        <f ca="1">SUMIFS(Table_Process_Details[RV Acidification (kg SO2 equiv.) per kg API (ENZ&amp;PLNT)],Table_Process_Details[Display Name],Table_Process_Details[[#This Row],[Unique Process Inputs]],Table_Process_Details[Input or Output],"Input")</f>
        <v>0</v>
      </c>
      <c r="GC56" s="1">
        <f ca="1">SUMIFS(Table_Process_Details[RV Acidification (kg SO2 equiv.) per kg API (OTHER)],Table_Process_Details[Display Name],Table_Process_Details[[#This Row],[Unique Process Inputs]],Table_Process_Details[Input or Output],"Input")</f>
        <v>0</v>
      </c>
      <c r="GD56"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6"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6" s="22" t="e">
        <f ca="1">SUM(OFFSET(Table_Process_Details['[Acidification (kg SO2 equiv.) per kg API'] of Unique Inputs Sorted by '[Acidification (kg SO2 equiv.) per kg API']],0,0,Table_Process_Details[[#This Row],[Table Row]]))</f>
        <v>#N/A</v>
      </c>
      <c r="GG56"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6" s="22" t="e">
        <f ca="1">INDEX(Table_Process_Details[Total '[Acidification (kg SO2 equiv.) per kg API'] of Unique Inputs (REAGENT)], MATCH(Table_Process_Details[[#This Row],[Unique Inputs Sorted by '[Acidification (kg SO2 equiv.) per kg API']]],Table_Process_Details[Unique Process Inputs],0))</f>
        <v>#N/A</v>
      </c>
      <c r="GI56" s="22" t="e">
        <f ca="1">INDEX(Table_Process_Details[Total '[Acidification (kg SO2 equiv.) per kg API'] of Unique Inputs (METAL)], MATCH(Table_Process_Details[[#This Row],[Unique Inputs Sorted by '[Acidification (kg SO2 equiv.) per kg API']]],Table_Process_Details[Unique Process Inputs],0))</f>
        <v>#N/A</v>
      </c>
      <c r="GJ56" s="22" t="e">
        <f ca="1">INDEX(Table_Process_Details[Total '[Acidification (kg SO2 equiv.) per kg API'] of Unique Inputs (SOLVENT)], MATCH(Table_Process_Details[[#This Row],[Unique Inputs Sorted by '[Acidification (kg SO2 equiv.) per kg API']]],Table_Process_Details[Unique Process Inputs],0))</f>
        <v>#N/A</v>
      </c>
      <c r="GK56" s="22" t="e">
        <f ca="1">INDEX(Table_Process_Details[Total '[Acidification (kg SO2 equiv.) per kg API'] of Unique Inputs (WATER)], MATCH(Table_Process_Details[[#This Row],[Unique Inputs Sorted by '[Acidification (kg SO2 equiv.) per kg API']]],Table_Process_Details[Unique Process Inputs],0))</f>
        <v>#N/A</v>
      </c>
      <c r="GL56" s="22" t="e">
        <f ca="1">INDEX(Table_Process_Details[Total '[Acidification (kg SO2 equiv.) per kg API'] of Unique Inputs (ENZ&amp;PLNT)], MATCH(Table_Process_Details[[#This Row],[Unique Inputs Sorted by '[Acidification (kg SO2 equiv.) per kg API']]],Table_Process_Details[Unique Process Inputs],0))</f>
        <v>#N/A</v>
      </c>
      <c r="GM56" s="22" t="e">
        <f ca="1">INDEX(Table_Process_Details[Total '[Acidification (kg SO2 equiv.) per kg API'] of Unique Inputs (OTHER)], MATCH(Table_Process_Details[[#This Row],[Unique Inputs Sorted by '[Acidification (kg SO2 equiv.) per kg API']]],Table_Process_Details[Unique Process Inputs],0))</f>
        <v>#N/A</v>
      </c>
      <c r="GN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0.18631565584861384</v>
      </c>
      <c r="GO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0.18631565584861384</v>
      </c>
      <c r="GR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6" s="22">
        <f ca="1">SUMIFS(Table_Process_Details[RV Eutrophication (kg phosphate equiv.) per kg API],Table_Process_Details[Display Name],Table_Process_Details[[#This Row],[Unique Process Inputs]],Table_Process_Details[Input or Output],"Input")</f>
        <v>8.4418941999999997E-2</v>
      </c>
      <c r="GV56" s="1">
        <f ca="1">SUMIFS(Table_Process_Details[RV Eutrophication (kg phosphate equiv.) per kg API (REAGENT)],Table_Process_Details[Display Name],Table_Process_Details[[#This Row],[Unique Process Inputs]],Table_Process_Details[Input or Output],"Input")</f>
        <v>0</v>
      </c>
      <c r="GW56" s="1">
        <f ca="1">SUMIFS(Table_Process_Details[RV Eutrophication (kg phosphate equiv.) per kg API (METAL)],Table_Process_Details[Display Name],Table_Process_Details[[#This Row],[Unique Process Inputs]],Table_Process_Details[Input or Output],"Input")</f>
        <v>0</v>
      </c>
      <c r="GX56" s="1">
        <f ca="1">SUMIFS(Table_Process_Details[RV Eutrophication (kg phosphate equiv.) per kg API (SOLVENT)],Table_Process_Details[Display Name],Table_Process_Details[[#This Row],[Unique Process Inputs]],Table_Process_Details[Input or Output],"Input")</f>
        <v>8.4418941999999997E-2</v>
      </c>
      <c r="GY56" s="1">
        <f ca="1">SUMIFS(Table_Process_Details[RV Eutrophication (kg phosphate equiv.) per kg API (WATER)],Table_Process_Details[Display Name],Table_Process_Details[[#This Row],[Unique Process Inputs]],Table_Process_Details[Input or Output],"Input")</f>
        <v>0</v>
      </c>
      <c r="GZ56" s="1">
        <f ca="1">SUMIFS(Table_Process_Details[RV Eutrophication (kg phosphate equiv.) per kg API (ENZ&amp;PLNT)],Table_Process_Details[Display Name],Table_Process_Details[[#This Row],[Unique Process Inputs]],Table_Process_Details[Input or Output],"Input")</f>
        <v>0</v>
      </c>
      <c r="HA56" s="1">
        <f ca="1">SUMIFS(Table_Process_Details[RV Eutrophication (kg phosphate equiv.) per kg API (OTHER)],Table_Process_Details[Display Name],Table_Process_Details[[#This Row],[Unique Process Inputs]],Table_Process_Details[Input or Output],"Input")</f>
        <v>0</v>
      </c>
      <c r="HB56"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6"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6" s="22" t="e">
        <f ca="1">SUM(OFFSET(Table_Process_Details['[Eutrophication (kg posphate equiv.) per kg API'] of Unique Inputs Sorted by '[Eutrophication (kg posphate equiv.) per kg API']],0,0,Table_Process_Details[[#This Row],[Table Row]]))</f>
        <v>#N/A</v>
      </c>
      <c r="HE56"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6" s="1" t="e">
        <f ca="1">INDEX(Table_Process_Details[Total '[Eutrophication (kg posphate equiv.) per kg API'] of Unique Inputs (REAGENT)], MATCH(Table_Process_Details[[#This Row],[Unique Inputs Sorted by '[Eutrophication (kg posphate equiv.) per kg API']]],Table_Process_Details[Unique Process Inputs],0))</f>
        <v>#N/A</v>
      </c>
      <c r="HG56" s="1" t="e">
        <f ca="1">INDEX(Table_Process_Details[Total '[Eutrophication (kg posphate equiv.) per kg API'] of Unique Inputs (METAL)], MATCH(Table_Process_Details[[#This Row],[Unique Inputs Sorted by '[Eutrophication (kg posphate equiv.) per kg API']]],Table_Process_Details[Unique Process Inputs],0))</f>
        <v>#N/A</v>
      </c>
      <c r="HH56" s="1" t="e">
        <f ca="1">INDEX(Table_Process_Details[Total '[Eutrophication (kg posphate equiv.) per kg API'] of Unique Inputs (SOLVENT)], MATCH(Table_Process_Details[[#This Row],[Unique Inputs Sorted by '[Eutrophication (kg posphate equiv.) per kg API']]],Table_Process_Details[Unique Process Inputs],0))</f>
        <v>#N/A</v>
      </c>
      <c r="HI56" s="1" t="e">
        <f ca="1">INDEX(Table_Process_Details[Total '[Eutrophication (kg posphate equiv.) per kg API'] of Unique Inputs (WATER)], MATCH(Table_Process_Details[[#This Row],[Unique Inputs Sorted by '[Eutrophication (kg posphate equiv.) per kg API']]],Table_Process_Details[Unique Process Inputs],0))</f>
        <v>#N/A</v>
      </c>
      <c r="HJ56" s="1" t="e">
        <f ca="1">INDEX(Table_Process_Details[Total '[Eutrophication (kg posphate equiv.) per kg API'] of Unique Inputs (ENZ&amp;PLNT)], MATCH(Table_Process_Details[[#This Row],[Unique Inputs Sorted by '[Eutrophication (kg posphate equiv.) per kg API']]],Table_Process_Details[Unique Process Inputs],0))</f>
        <v>#N/A</v>
      </c>
      <c r="HK56" s="1" t="e">
        <f ca="1">INDEX(Table_Process_Details[Total '[Eutrophication (kg posphate equiv.) per kg API'] of Unique Inputs (OTHER)], MATCH(Table_Process_Details[[#This Row],[Unique Inputs Sorted by '[Eutrophication (kg posphate equiv.) per kg API']]],Table_Process_Details[Unique Process Inputs],0))</f>
        <v>#N/A</v>
      </c>
      <c r="HL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20.259707821441694</v>
      </c>
      <c r="HM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20.259707821441694</v>
      </c>
      <c r="HP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6" s="1">
        <f ca="1">SUMIFS(Table_Process_Details[RV Water (kg) per kg API],Table_Process_Details[Display Name],Table_Process_Details[[#This Row],[Unique Process Inputs]],Table_Process_Details[Input or Output],"Input")</f>
        <v>346.3614</v>
      </c>
      <c r="HT56" s="1">
        <f ca="1">SUMIFS(Table_Process_Details[RV Water (kg) per kg API (REAGENT)],Table_Process_Details[Display Name],Table_Process_Details[[#This Row],[Unique Process Inputs]],Table_Process_Details[Input or Output],"Input")</f>
        <v>0</v>
      </c>
      <c r="HU56" s="1">
        <f ca="1">SUMIFS(Table_Process_Details[RV Water (kg) per kg API (METAL)],Table_Process_Details[Display Name],Table_Process_Details[[#This Row],[Unique Process Inputs]],Table_Process_Details[Input or Output],"Input")</f>
        <v>0</v>
      </c>
      <c r="HV56" s="1">
        <f ca="1">SUMIFS(Table_Process_Details[RV Water (kg) per kg API (SOLVENT)],Table_Process_Details[Display Name],Table_Process_Details[[#This Row],[Unique Process Inputs]],Table_Process_Details[Input or Output],"Input")</f>
        <v>346.3614</v>
      </c>
      <c r="HW56" s="1">
        <f ca="1">SUMIFS(Table_Process_Details[RV Water (kg) per kg API (WATER)],Table_Process_Details[Display Name],Table_Process_Details[[#This Row],[Unique Process Inputs]],Table_Process_Details[Input or Output],"Input")</f>
        <v>0</v>
      </c>
      <c r="HX56" s="1">
        <f ca="1">SUMIFS(Table_Process_Details[RV Water (kg) per kg API (ENZ&amp;PLNT)],Table_Process_Details[Display Name],Table_Process_Details[[#This Row],[Unique Process Inputs]],Table_Process_Details[Input or Output],"Input")</f>
        <v>0</v>
      </c>
      <c r="HY56" s="1">
        <f ca="1">SUMIFS(Table_Process_Details[RV Water (kg) per kg API (OTHER)],Table_Process_Details[Display Name],Table_Process_Details[[#This Row],[Unique Process Inputs]],Table_Process_Details[Input or Output],"Input")</f>
        <v>0</v>
      </c>
      <c r="HZ56" s="22" t="e">
        <f ca="1">INDEX(Table_Process_Details[Unique Process Inputs],MATCH(Table_Process_Details[[#This Row],['[Water (kg) per kg API'] of Unique Inputs Sorted by '[Water (kg) per kg API']]],Table_Process_Details[Total '[Water (kg) per kg API'] of Unique Inputs],0))</f>
        <v>#N/A</v>
      </c>
      <c r="IA56" s="22" t="e">
        <f ca="1">IF(LARGE(Table_Process_Details[Total '[Water (kg) per kg API'] of Unique Inputs],Table_Process_Details[[#This Row],[Table Row]])=0,NA(),LARGE(Table_Process_Details[Total '[Water (kg) per kg API'] of Unique Inputs],Table_Process_Details[[#This Row],[Table Row]]))</f>
        <v>#N/A</v>
      </c>
      <c r="IB56" s="1" t="e">
        <f ca="1">SUM(OFFSET(Table_Process_Details['[Water (kg) per kg API'] of Unique Inputs Sorted by '[Water (kg) per kg API']],0,0,Table_Process_Details[[#This Row],[Table Row]]))</f>
        <v>#N/A</v>
      </c>
      <c r="IC56" s="1" t="e">
        <f ca="1">"("&amp;TEXT(Table_Process_Details[[#This Row],['[Water (kg) per kg API'] of Unique Inputs Sorted by '[Water (kg) per kg API']]]/SUMIF(Table_Process_Details['[Water (kg) per kg API'] of Unique Inputs Sorted by '[Water (kg) per kg API']],"&lt;&gt;#N/A"),"0%")&amp;")"</f>
        <v>#N/A</v>
      </c>
      <c r="ID56" s="1" t="e">
        <f ca="1">INDEX(Table_Process_Details[Total '[Water (kg) per kg API'] of Unique Inputs (REAGENT)], MATCH(Table_Process_Details[[#This Row],[Unique Inputs Sorted by '[Water (kg) per kg API']]],Table_Process_Details[Unique Process Inputs],0))</f>
        <v>#N/A</v>
      </c>
      <c r="IE56" s="1" t="e">
        <f ca="1">INDEX(Table_Process_Details[Total '[Water (kg) per kg API'] of Unique Inputs (METAL)], MATCH(Table_Process_Details[[#This Row],[Unique Inputs Sorted by '[Water (kg) per kg API']]],Table_Process_Details[Unique Process Inputs],0))</f>
        <v>#N/A</v>
      </c>
      <c r="IF56" s="1" t="e">
        <f ca="1">INDEX(Table_Process_Details[Total '[Water (kg) per kg API'] of Unique Inputs (SOLVENT)], MATCH(Table_Process_Details[[#This Row],[Unique Inputs Sorted by '[Water (kg) per kg API']]],Table_Process_Details[Unique Process Inputs],0))</f>
        <v>#N/A</v>
      </c>
      <c r="IG56" s="1" t="e">
        <f ca="1">INDEX(Table_Process_Details[Total '[Water (kg) per kg API'] of Unique Inputs (WATER)], MATCH(Table_Process_Details[[#This Row],[Unique Inputs Sorted by '[Water (kg) per kg API']]],Table_Process_Details[Unique Process Inputs],0))</f>
        <v>#N/A</v>
      </c>
      <c r="IH56" s="1" t="e">
        <f ca="1">INDEX(Table_Process_Details[Total '[Water (kg) per kg API'] of Unique Inputs (ENZ&amp;PLNT)], MATCH(Table_Process_Details[[#This Row],[Unique Inputs Sorted by '[Water (kg) per kg API']]],Table_Process_Details[Unique Process Inputs],0))</f>
        <v>#N/A</v>
      </c>
      <c r="II56" s="1" t="e">
        <f ca="1">INDEX(Table_Process_Details[Total '[Water (kg) per kg API'] of Unique Inputs (OTHER)], MATCH(Table_Process_Details[[#This Row],[Unique Inputs Sorted by '[Water (kg) per kg API']]],Table_Process_Details[Unique Process Inputs],0))</f>
        <v>#N/A</v>
      </c>
    </row>
    <row r="57" spans="1:243" customFormat="1" x14ac:dyDescent="0.25">
      <c r="A57" s="22" t="str">
        <f t="shared" si="1"/>
        <v>2) Synthesis of Intermediate (2)</v>
      </c>
      <c r="B57" s="21" t="s">
        <v>4</v>
      </c>
      <c r="C57" s="21" t="s">
        <v>6</v>
      </c>
      <c r="D57" s="22" t="s">
        <v>130</v>
      </c>
      <c r="E57" s="22" t="s">
        <v>130</v>
      </c>
      <c r="F57" s="26">
        <v>250</v>
      </c>
      <c r="G57" s="26"/>
      <c r="H57" s="26"/>
      <c r="I57" s="26"/>
      <c r="J57" s="26" t="str">
        <f>INDEX(Process_Steps[Reference],MATCH(Table_Process_Details[[#This Row],[Step Name]],Process_Steps[Name],0))</f>
        <v>Reference Document for Step 2</v>
      </c>
      <c r="K57" s="27" t="str">
        <f>INDEX(Process_Steps[Real or Virtual?],MATCH(Table_Process_Details[[#This Row],[Step Name]],Process_Steps[Name],0))</f>
        <v>Real</v>
      </c>
      <c r="L5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108-88-3</v>
      </c>
      <c r="M5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57" s="26">
        <f>INDEX(Table_Process_Details[Physical Mass (kg)],MATCH(1,INDEX(((Table_Process_Details[Step Name]=Table_Process_Details[[#This Row],[Step Name]])*(Table_Process_Details[Input or Output]="Output")),0),0))</f>
        <v>157.52551020408163</v>
      </c>
      <c r="O57" s="29">
        <f ca="1">INDEX(Process_Steps[Step Scale Factor for 1kg Packaged API],MATCH(Table_Process_Details[[#This Row],[Step Name]],Process_Steps[Name],0))</f>
        <v>6.9901025556824191E-3</v>
      </c>
      <c r="P5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11.75</v>
      </c>
      <c r="Q5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8.75</v>
      </c>
      <c r="R57" s="26">
        <f ca="1">_xlfn.SWITCH(Run_Reset_PNG,"Reset",Table_Process_Details[[#This Row],[X Init]],"Run",Table_Process_Details[[#This Row],[X Moved]],"Freeze",Table_Process_Details[[#This Row],[X Mover]])</f>
        <v>5.3645226847833563</v>
      </c>
      <c r="S57" s="26">
        <f ca="1">_xlfn.SWITCH(Run_Reset_PNG,"Reset",Table_Process_Details[[#This Row],[Y Init]],"Run",Table_Process_Details[[#This Row],[Y Moved]],"Freeze",Table_Process_Details[[#This Row],[Y Mover]])</f>
        <v>7.1674456721073909</v>
      </c>
      <c r="T57" s="26" cm="1">
        <f t="array" aca="1" ref="T5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3.7131519586738069</v>
      </c>
      <c r="U57" s="26" cm="1">
        <f t="array" aca="1" ref="U5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-1.1499979480266072</v>
      </c>
      <c r="V57" s="26" cm="1">
        <f t="array" aca="1" ref="V57" ca="1">SUM(--(SQRT((Table_Process_Details[[#This Row],[X Mover]]-Table_Process_Details[X Mover])^2+(Table_Process_Details[[#This Row],[Y Mover]]-Table_Process_Details[Y Mover])^2)&lt;Collision_Distance))</f>
        <v>19</v>
      </c>
      <c r="W57" s="26" cm="1">
        <f t="array" aca="1" ref="W5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-0.25326989908932057</v>
      </c>
      <c r="X57" s="26" cm="1">
        <f t="array" aca="1" ref="X5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5.6903851054818759E-2</v>
      </c>
      <c r="Y57" s="26" cm="1">
        <f t="array" aca="1" ref="Y5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57" s="26">
        <f>0</f>
        <v>0</v>
      </c>
      <c r="AA57" s="26">
        <f>0</f>
        <v>0</v>
      </c>
      <c r="AB5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-2.6822613423916781</v>
      </c>
      <c r="AC57" s="26" cm="1">
        <f t="array" aca="1" ref="AC5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-3.5837228360536955</v>
      </c>
      <c r="AD57" s="26">
        <f>MIN(1,COUNTA(Table_Process_Details[[#This Row],[target x]]),COUNTA(Table_Process_Details[[#This Row],[target y]]))*COUNTA(Table_Process_Details[Step Name])</f>
        <v>98</v>
      </c>
      <c r="AE5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5.2793118224526774</v>
      </c>
      <c r="AF5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7.1272547150034411</v>
      </c>
      <c r="AG5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57" s="26" cm="1">
        <f t="array" aca="1" ref="AH57" ca="1">INDEX(Table_Process_Details[X Mover],MATCH(1,INDEX((Table_Process_Details[Input or Output]="Output")*(Table_Process_Details[Step Name]=Table_Process_Details[[#This Row],[Step Name]])*(Table_Process_Details[[#This Row],[Input or Output]]="Input"),0),0))</f>
        <v>1.9309511115841147</v>
      </c>
      <c r="AI57" s="26" cm="1">
        <f t="array" aca="1" ref="AI57" ca="1">INDEX(Table_Process_Details[Y Mover],MATCH(1,INDEX((Table_Process_Details[Input or Output]="Output")*(Table_Process_Details[Step Name]=Table_Process_Details[[#This Row],[Step Name]])*(Table_Process_Details[[#This Row],[Input or Output]]="Input"),0),0))</f>
        <v>7.9388892826190514</v>
      </c>
      <c r="AJ57" s="26">
        <f ca="1">SQRT((Table_Process_Details[[#This Row],[X End (To Node Center)]]-Table_Process_Details[[#This Row],[X Guide]])^2+(Table_Process_Details[[#This Row],[Y End (to Node Center)]]-Table_Process_Details[[#This Row],[Y Guide]])^2)</f>
        <v>3.519167372047141</v>
      </c>
      <c r="AK57" s="26" t="e" cm="1">
        <f t="array" ref="AK57">INDEX(Table_Process_Details[X Mover],MATCH(1,INDEX((Table_Process_Details[Step Name]=Table_Process_Details[[#This Row],[LCA Data Source Subclass]])*(Table_Process_Details[Input or Output]="Output"),0)*(Table_Process_Details[[#This Row],[Input or Output]]="Input"),0))</f>
        <v>#N/A</v>
      </c>
      <c r="AL57" s="26" cm="1">
        <f t="array" aca="1" ref="AL57" ca="1">INDEX(Table_Process_Details[X Mover],MATCH(1,INDEX(((Table_Process_Details[Table Row]=Table_Process_Details[[#This Row],[Table Row]])*(1)),0)*(Table_Process_Details[[#This Row],[Input or Output]]="Input"),0))</f>
        <v>5.3645226847833563</v>
      </c>
      <c r="AM57" s="26" cm="1">
        <f t="array" aca="1" ref="AM57" ca="1">(Table_Process_Details[[#This Row],[X End (To Node Center)]]*Table_Process_Details[[#This Row],[r0]]-Table_Process_Details[[#This Row],[X End (To Node Center)]]*Arrow_Offset+Table_Process_Details[[#This Row],[X Guide]]*Arrow_Offset)/Table_Process_Details[[#This Row],[r0]]</f>
        <v>2.7114929182562748</v>
      </c>
      <c r="AN57" s="26" t="e">
        <f>IF(NOT(Table_Process_Details[[#This Row],[Display As]]="None"),Table_Process_Details[[#This Row],[X Start Prefilter]],NA())</f>
        <v>#N/A</v>
      </c>
      <c r="AO57" s="26">
        <f ca="1">IF(NOT(Table_Process_Details[[#This Row],[Display As]]="None"),Table_Process_Details[[#This Row],[X Guide Prefilter]],NA())</f>
        <v>5.3645226847833563</v>
      </c>
      <c r="AP57" s="26">
        <f ca="1">IF(NOT(Table_Process_Details[[#This Row],[Display As]]="None"),Table_Process_Details[[#This Row],[X End (to Stop Radius) Prefilter]],NA())</f>
        <v>2.7114929182562748</v>
      </c>
      <c r="AQ57" s="26" t="e">
        <f>NA()</f>
        <v>#N/A</v>
      </c>
      <c r="AR57" s="26" t="e" cm="1">
        <f t="array" ref="AR57">INDEX(Table_Process_Details[Y Mover],MATCH(1,INDEX((Table_Process_Details[Step Name]=Table_Process_Details[[#This Row],[LCA Data Source Subclass]])*(Table_Process_Details[Input or Output]="Output"),0)*(Table_Process_Details[[#This Row],[Input or Output]]="Input"),0))</f>
        <v>#N/A</v>
      </c>
      <c r="AS57" s="26" cm="1">
        <f t="array" aca="1" ref="AS57" ca="1">INDEX(Table_Process_Details[Y Mover],MATCH(1,INDEX(((Table_Process_Details[Table Row]=Table_Process_Details[[#This Row],[Table Row]])*(1)),0)*(Table_Process_Details[[#This Row],[Input or Output]]="Input"),0))</f>
        <v>7.1674456721073909</v>
      </c>
      <c r="AT57" s="26" cm="1">
        <f t="array" aca="1" ref="AT57" ca="1">(Table_Process_Details[[#This Row],[Y Guide]]*Arrow_Offset-Table_Process_Details[[#This Row],[Y End (to Node Center)]]*Arrow_Offset+Table_Process_Details[[#This Row],[Y End (to Node Center)]]*Table_Process_Details[[#This Row],[r0]])/Table_Process_Details[[#This Row],[r0]]</f>
        <v>7.7635197070451785</v>
      </c>
      <c r="AU57" s="26" t="e">
        <f>IF(NOT(Table_Process_Details[[#This Row],[Display As]]="None"),Table_Process_Details[[#This Row],[Y Start Prefilter]],NA())</f>
        <v>#N/A</v>
      </c>
      <c r="AV57" s="26">
        <f ca="1">IF(NOT(Table_Process_Details[[#This Row],[Display As]]="None"),Table_Process_Details[[#This Row],[Y Guide Prefilter]],NA())</f>
        <v>7.1674456721073909</v>
      </c>
      <c r="AW57" s="26">
        <f ca="1">IF(NOT(Table_Process_Details[[#This Row],[Display As]]="None"),Table_Process_Details[[#This Row],[Y End (to Stop Radius) Prefilter]],NA())</f>
        <v>7.7635197070451785</v>
      </c>
      <c r="AX57" s="26" t="e">
        <f>NA()</f>
        <v>#N/A</v>
      </c>
      <c r="AY57" s="26" t="e">
        <f>IF(Table_Process_Details[[#This Row],[Display As]]="Real Step",Table_Process_Details[[#This Row],[X Mover]],NA())</f>
        <v>#N/A</v>
      </c>
      <c r="AZ57" s="26" t="e">
        <f>IF(Table_Process_Details[[#This Row],[Display As]]="Real Step",Table_Process_Details[[#This Row],[Y Mover]],NA())</f>
        <v>#N/A</v>
      </c>
      <c r="BA57" s="26">
        <f ca="1">IF(Table_Process_Details[[#This Row],[Display As]]="Raw Material",Table_Process_Details[[#This Row],[X Mover]],NA())</f>
        <v>5.3645226847833563</v>
      </c>
      <c r="BB57" s="26">
        <f ca="1">IF(Table_Process_Details[[#This Row],[Display As]]="Raw Material",Table_Process_Details[[#This Row],[Y Mover]],NA())</f>
        <v>7.1674456721073909</v>
      </c>
      <c r="BC57" s="26">
        <f ca="1">IF(OR(Table_Process_Details[[#This Row],[Display As]]="Real Step",Table_Process_Details[[#This Row],[Display As]]="Raw Material"),Table_Process_Details[[#This Row],[X Mover]],NA())</f>
        <v>5.3645226847833563</v>
      </c>
      <c r="BD57" s="26">
        <f ca="1">IF(OR(Table_Process_Details[[#This Row],[Display As]]="Real Step",Table_Process_Details[[#This Row],[Display As]]="Raw Material"),Table_Process_Details[[#This Row],[Y Mover]],NA())</f>
        <v>7.1674456721073909</v>
      </c>
      <c r="BE57" s="22">
        <f>ROW()-ROW(Table_Process_Details[[#Headers],[Table Row]])</f>
        <v>53</v>
      </c>
      <c r="BF57" s="23" t="e" cm="1">
        <f t="array" aca="1" ref="BF57" ca="1">INDEX(Table_Process_Details[Display Name],MATCH(0,IF(Table_Process_Details[Input or Output]="Input",INDEX(COUNTIF(OFFSET(Table_Process_Details[[#Headers],[Unique Process Inputs]],0,0,Table_Process_Details[[#This Row],[Table Row]],1),Table_Process_Details[Display Name]),),""),0))</f>
        <v>#N/A</v>
      </c>
      <c r="BG57" s="23">
        <f ca="1">Table_Process_Details[[#This Row],[Physical Mass (kg)]]*Table_Process_Details[[#This Row],[Step Scale Factor for 1kg Packaged API]]</f>
        <v>1.7475256389206049</v>
      </c>
      <c r="BH5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57" s="23">
        <f ca="1">MATCH(Table_Process_Details[[#This Row],[LCA Data Source Class]],INDIRECT(Table_Process_Details[[#This Row],[Input or Output]]),0)</f>
        <v>2</v>
      </c>
      <c r="BJ57" s="23">
        <f ca="1">MATCH(Table_Process_Details[[#This Row],[LCA Data Source Subclass]],INDIRECT(Table_Process_Details[[#This Row],[LCA Data Source Class]]&amp;"[Name]"),0)</f>
        <v>55</v>
      </c>
      <c r="BK57" s="23">
        <f ca="1">IFERROR(INDEX(INDIRECT(Table_Process_Details[[#This Row],[LCA Data Source Class]]&amp;"[Mass Net (kg)]"),MATCH(Table_Process_Details[[#This Row],[LCA Data Source Subclass]],INDIRECT(Table_Process_Details[[#This Row],[LCA Data Source Class]]&amp;"[Name]"),0)),0)</f>
        <v>1.2626287</v>
      </c>
      <c r="BL57" s="23">
        <f ca="1">IFERROR(INDEX(INDIRECT(Table_Process_Details[[#This Row],[LCA Data Source Class]]&amp;"[Energy (MJ)]"),MATCH(Table_Process_Details[[#This Row],[LCA Data Source Subclass]],INDIRECT(Table_Process_Details[[#This Row],[LCA Data Source Class]]&amp;"[Name]"),0)),0)</f>
        <v>63.394986000000003</v>
      </c>
      <c r="BM57" s="23">
        <f ca="1">IFERROR(INDEX(INDIRECT(Table_Process_Details[[#This Row],[LCA Data Source Class]]&amp;"[GWP (kg CO2 equiv.)]"),MATCH(Table_Process_Details[[#This Row],[LCA Data Source Subclass]],INDIRECT(Table_Process_Details[[#This Row],[LCA Data Source Class]]&amp;"[Name]"),0)),0)</f>
        <v>1.4990618</v>
      </c>
      <c r="BN57" s="23">
        <f ca="1">IFERROR(INDEX(INDIRECT(Table_Process_Details[[#This Row],[LCA Data Source Class]]&amp;"[Acidification (kg SO2 equiv.)]"),MATCH(Table_Process_Details[[#This Row],[LCA Data Source Subclass]],INDIRECT(Table_Process_Details[[#This Row],[LCA Data Source Class]]&amp;"[Name]"),0)),0)</f>
        <v>3.7884225999999998E-3</v>
      </c>
      <c r="BO57" s="23">
        <f ca="1">IFERROR(INDEX(INDIRECT(Table_Process_Details[[#This Row],[LCA Data Source Class]]&amp;"[Eutrophication (kg posphate equiv.)]"),MATCH(Table_Process_Details[[#This Row],[LCA Data Source Subclass]],INDIRECT(Table_Process_Details[[#This Row],[LCA Data Source Class]]&amp;"[Name]"),0)),0)</f>
        <v>3.1912181999999999E-4</v>
      </c>
      <c r="BP57" s="23">
        <f ca="1">IFERROR(INDEX(INDIRECT(Table_Process_Details[[#This Row],[LCA Data Source Class]]&amp;"[Water (kg)]"),MATCH(Table_Process_Details[[#This Row],[LCA Data Source Subclass]],INDIRECT(Table_Process_Details[[#This Row],[LCA Data Source Class]]&amp;"[Name]"),0)),0)</f>
        <v>1.0436776999999999</v>
      </c>
      <c r="BQ57" s="27">
        <f ca="1">(Table_Process_Details[[#This Row],[Input or Output]]="Input")*(Table_Process_Details[[#This Row],[LCA Data Source Class]]&lt;&gt;"Process_Steps")*Table_Process_Details[[#This Row],[Scaled Physical Mass per kg API for All Inputs &amp; Outputs]]</f>
        <v>1.7475256389206049</v>
      </c>
      <c r="BR57" s="27">
        <f ca="1">(Table_Process_Details[[#This Row],[Material Class]]="REAGENT")*Table_Process_Details[[#This Row],[Physical Mass per kg API]]</f>
        <v>0</v>
      </c>
      <c r="BS57" s="27">
        <f ca="1">(Table_Process_Details[[#This Row],[Material Class]]="METAL")*Table_Process_Details[[#This Row],[Physical Mass per kg API]]</f>
        <v>0</v>
      </c>
      <c r="BT57" s="27">
        <f ca="1">(Table_Process_Details[[#This Row],[Material Class]]="SOLVENT")*Table_Process_Details[[#This Row],[Physical Mass per kg API]]</f>
        <v>1.7475256389206049</v>
      </c>
      <c r="BU57" s="27">
        <f ca="1">(Table_Process_Details[[#This Row],[Material Class]]="WATER")*Table_Process_Details[[#This Row],[Physical Mass per kg API]]</f>
        <v>0</v>
      </c>
      <c r="BV57" s="27">
        <f ca="1">(Table_Process_Details[[#This Row],[Material Class]]="ENZ&amp;PLNT")*Table_Process_Details[[#This Row],[Physical Mass per kg API]]</f>
        <v>0</v>
      </c>
      <c r="BW57" s="27">
        <f ca="1">(Table_Process_Details[[#This Row],[Material Class]]="OTHER")*Table_Process_Details[[#This Row],[Physical Mass per kg API]]</f>
        <v>0</v>
      </c>
      <c r="BX5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1.7475256389206049</v>
      </c>
      <c r="BY5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5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1.7475256389206049</v>
      </c>
      <c r="CB5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5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7" s="1">
        <f ca="1">SUMIFS(Table_Process_Details[RV Physical Mass per kg API],Table_Process_Details[Display Name],Table_Process_Details[[#This Row],[Unique Process Inputs]],Table_Process_Details[Input or Output],"Input")</f>
        <v>0</v>
      </c>
      <c r="CF57" s="1">
        <f ca="1">SUMIFS(Table_Process_Details[RV Physical Mass per kg API (REAGENT)],Table_Process_Details[Display Name],Table_Process_Details[[#This Row],[Unique Process Inputs]],Table_Process_Details[Input or Output],"Input")</f>
        <v>0</v>
      </c>
      <c r="CG57" s="1">
        <f ca="1">SUMIFS(Table_Process_Details[RV Physical Mass per kg API (METAL)],Table_Process_Details[Display Name],Table_Process_Details[[#This Row],[Unique Process Inputs]],Table_Process_Details[Input or Output],"Input")</f>
        <v>0</v>
      </c>
      <c r="CH57" s="1">
        <f ca="1">SUMIFS(Table_Process_Details[RV Physical Mass per kg API (SOLVENT)],Table_Process_Details[Display Name],Table_Process_Details[[#This Row],[Unique Process Inputs]],Table_Process_Details[Input or Output],"Input")</f>
        <v>0</v>
      </c>
      <c r="CI57" s="1">
        <f ca="1">SUMIFS(Table_Process_Details[RV Physical Mass per kg API (WATER)],Table_Process_Details[Display Name],Table_Process_Details[[#This Row],[Unique Process Inputs]],Table_Process_Details[Input or Output],"Input")</f>
        <v>0</v>
      </c>
      <c r="CJ57" s="1">
        <f ca="1">SUMIFS(Table_Process_Details[RV Physical Mass per kg API (ENZ&amp;PLNT)],Table_Process_Details[Display Name],Table_Process_Details[[#This Row],[Unique Process Inputs]],Table_Process_Details[Input or Output],"Input")</f>
        <v>0</v>
      </c>
      <c r="CK57" s="1">
        <f ca="1">SUMIFS(Table_Process_Details[RV Physical Mass per kg API (OTHER)],Table_Process_Details[Display Name],Table_Process_Details[[#This Row],[Unique Process Inputs]],Table_Process_Details[Input or Output],"Input")</f>
        <v>0</v>
      </c>
      <c r="CL57" s="22" t="e">
        <f ca="1">INDEX(Table_Process_Details[Unique Process Inputs],MATCH(Table_Process_Details[[#This Row],['[Physical Mass per kg API'] of Unique Inputs Sorted by '[Physical Mass per kg API']]],Table_Process_Details[Total '[Physical Mass per kg API'] of Unique Inputs],0))</f>
        <v>#N/A</v>
      </c>
      <c r="CM57" s="22" t="e">
        <f ca="1">IF(LARGE(Table_Process_Details[Total '[Physical Mass per kg API'] of Unique Inputs],Table_Process_Details[[#This Row],[Table Row]])=0,NA(),LARGE(Table_Process_Details[Total '[Physical Mass per kg API'] of Unique Inputs],Table_Process_Details[[#This Row],[Table Row]]))</f>
        <v>#N/A</v>
      </c>
      <c r="CN57" s="22" t="e">
        <f ca="1">SUM(OFFSET(Table_Process_Details['[Physical Mass per kg API'] of Unique Inputs Sorted by '[Physical Mass per kg API']],0,0,Table_Process_Details[[#This Row],[Table Row]]))</f>
        <v>#N/A</v>
      </c>
      <c r="CO57" s="22" t="e">
        <f ca="1">"("&amp;TEXT(Table_Process_Details[[#This Row],['[Physical Mass per kg API'] of Unique Inputs Sorted by '[Physical Mass per kg API']]]/SUMIF(Table_Process_Details['[Physical Mass per kg API'] of Unique Inputs Sorted by '[Physical Mass per kg API']],"&lt;&gt;#N/A"),"0%")&amp;")"</f>
        <v>#N/A</v>
      </c>
      <c r="CP57" s="22" t="e">
        <f ca="1">INDEX(Table_Process_Details[Total '[Physical Mass per kg API'] of Unique Inputs (REAGENT)],MATCH(Table_Process_Details[[#This Row],[Unique Inputs Sorted by '[Physical Mass per kg API']]],Table_Process_Details[Unique Process Inputs],0))</f>
        <v>#N/A</v>
      </c>
      <c r="CQ57" s="22" t="e">
        <f ca="1">INDEX(Table_Process_Details[Total '[Physical Mass per kg API'] of Unique Inputs (METAL)],MATCH(Table_Process_Details[[#This Row],[Unique Inputs Sorted by '[Physical Mass per kg API']]],Table_Process_Details[Unique Process Inputs],0))</f>
        <v>#N/A</v>
      </c>
      <c r="CR57" s="22" t="e">
        <f ca="1">INDEX(Table_Process_Details[Total '[Physical Mass per kg API'] of Unique Inputs (SOLVENT)],MATCH(Table_Process_Details[[#This Row],[Unique Inputs Sorted by '[Physical Mass per kg API']]],Table_Process_Details[Unique Process Inputs],0))</f>
        <v>#N/A</v>
      </c>
      <c r="CS57" s="22" t="e">
        <f ca="1">INDEX(Table_Process_Details[Total '[Physical Mass per kg API'] of Unique Inputs (WATER)],MATCH(Table_Process_Details[[#This Row],[Unique Inputs Sorted by '[Physical Mass per kg API']]],Table_Process_Details[Unique Process Inputs],0))</f>
        <v>#N/A</v>
      </c>
      <c r="CT57" s="22" t="e">
        <f ca="1">INDEX(Table_Process_Details[Total '[Physical Mass per kg API'] of Unique Inputs (ENZ&amp;PLNT)],MATCH(Table_Process_Details[[#This Row],[Unique Inputs Sorted by '[Physical Mass per kg API']]],Table_Process_Details[Unique Process Inputs],0))</f>
        <v>#N/A</v>
      </c>
      <c r="CU57" s="22" t="e">
        <f ca="1">INDEX(Table_Process_Details[Total '[Physical Mass per kg API'] of Unique Inputs (OTHER)],MATCH(Table_Process_Details[[#This Row],[Unique Inputs Sorted by '[Physical Mass per kg API']]],Table_Process_Details[Unique Process Inputs],0))</f>
        <v>#N/A</v>
      </c>
      <c r="CV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2.2064760256869929</v>
      </c>
      <c r="CW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2.2064760256869929</v>
      </c>
      <c r="CZ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7" s="22">
        <f ca="1">SUMIFS(Table_Process_Details[RV Mass Net (kg) per kg API],Table_Process_Details[Display Name],Table_Process_Details[[#This Row],[Unique Process Inputs]],Table_Process_Details[Input or Output],"Input")</f>
        <v>0</v>
      </c>
      <c r="DD57" s="22">
        <f ca="1">SUMIFS(Table_Process_Details[RV Mass Net (kg) per kg API (REAGENT)],Table_Process_Details[Display Name],Table_Process_Details[[#This Row],[Unique Process Inputs]],Table_Process_Details[Input or Output],"Input")</f>
        <v>0</v>
      </c>
      <c r="DE57" s="22">
        <f ca="1">SUMIFS(Table_Process_Details[RV Mass Net (kg) per kg API (METAL)],Table_Process_Details[Display Name],Table_Process_Details[[#This Row],[Unique Process Inputs]],Table_Process_Details[Input or Output],"Input")</f>
        <v>0</v>
      </c>
      <c r="DF57" s="22">
        <f ca="1">SUMIFS(Table_Process_Details[RV Mass Net (kg) per kg API (SOLVENT)],Table_Process_Details[Display Name],Table_Process_Details[[#This Row],[Unique Process Inputs]],Table_Process_Details[Input or Output],"Input")</f>
        <v>0</v>
      </c>
      <c r="DG57" s="22">
        <f ca="1">SUMIFS(Table_Process_Details[RV Mass Net (kg) per kg API (WATER)],Table_Process_Details[Display Name],Table_Process_Details[[#This Row],[Unique Process Inputs]],Table_Process_Details[Input or Output],"Input")</f>
        <v>0</v>
      </c>
      <c r="DH57" s="22">
        <f ca="1">SUMIFS(Table_Process_Details[RV Mass Net (kg) per kg API (ENZ&amp;PLNT)],Table_Process_Details[Display Name],Table_Process_Details[[#This Row],[Unique Process Inputs]],Table_Process_Details[Input or Output],"Input")</f>
        <v>0</v>
      </c>
      <c r="DI57" s="22">
        <f ca="1">SUMIFS(Table_Process_Details[RV Mass Net (kg) per kg API (OTHER)],Table_Process_Details[Display Name],Table_Process_Details[[#This Row],[Unique Process Inputs]],Table_Process_Details[Input or Output],"Input")</f>
        <v>0</v>
      </c>
      <c r="DJ57" s="22" t="e">
        <f ca="1">INDEX(Table_Process_Details[Unique Process Inputs],MATCH(Table_Process_Details[[#This Row],['[Mass Net (kg) per kg API'] of Unique Inputs Sorted by '[Mass Net (kg) per kg API']]],Table_Process_Details[Total '[Mass Net (kg) per kg API'] of Unique Inputs],0))</f>
        <v>#N/A</v>
      </c>
      <c r="DK57" s="22" t="e">
        <f ca="1">IF(LARGE(Table_Process_Details[Total '[Mass Net (kg) per kg API'] of Unique Inputs],Table_Process_Details[[#This Row],[Table Row]])=0,NA(),LARGE(Table_Process_Details[Total '[Mass Net (kg) per kg API'] of Unique Inputs],Table_Process_Details[[#This Row],[Table Row]]))</f>
        <v>#N/A</v>
      </c>
      <c r="DL57" s="22" t="e">
        <f ca="1">SUM(OFFSET(Table_Process_Details['[Mass Net (kg) per kg API'] of Unique Inputs Sorted by '[Mass Net (kg) per kg API']],0,0,Table_Process_Details[[#This Row],[Table Row]]))</f>
        <v>#N/A</v>
      </c>
      <c r="DM57" s="22" t="e">
        <f ca="1">"("&amp;TEXT(Table_Process_Details[[#This Row],['[Mass Net (kg) per kg API'] of Unique Inputs Sorted by '[Mass Net (kg) per kg API']]]/SUMIF(Table_Process_Details['[Mass Net (kg) per kg API'] of Unique Inputs Sorted by '[Mass Net (kg) per kg API']],"&lt;&gt;#N/A"),"0%")&amp;")"</f>
        <v>#N/A</v>
      </c>
      <c r="DN57" s="22" t="e">
        <f ca="1">INDEX(Table_Process_Details[Total '[Mass Net (kg) per kg API'] of Unique Inputs (REAGENT)], MATCH(Table_Process_Details[[#This Row],[Unique Inputs Sorted by '[Mass Net (kg) per kg API']]],Table_Process_Details[Unique Process Inputs],0))</f>
        <v>#N/A</v>
      </c>
      <c r="DO57" s="22" t="e">
        <f ca="1">INDEX(Table_Process_Details[Total '[Mass Net (kg) per kg API'] of Unique Inputs (METAL)], MATCH(Table_Process_Details[[#This Row],[Unique Inputs Sorted by '[Mass Net (kg) per kg API']]],Table_Process_Details[Unique Process Inputs],0))</f>
        <v>#N/A</v>
      </c>
      <c r="DP57" s="22" t="e">
        <f ca="1">INDEX(Table_Process_Details[Total '[Mass Net (kg) per kg API'] of Unique Inputs (SOLVENT)], MATCH(Table_Process_Details[[#This Row],[Unique Inputs Sorted by '[Mass Net (kg) per kg API']]],Table_Process_Details[Unique Process Inputs],0))</f>
        <v>#N/A</v>
      </c>
      <c r="DQ57" s="22" t="e">
        <f ca="1">INDEX(Table_Process_Details[Total '[Mass Net (kg) per kg API'] of Unique Inputs (WATER)], MATCH(Table_Process_Details[[#This Row],[Unique Inputs Sorted by '[Mass Net (kg) per kg API']]],Table_Process_Details[Unique Process Inputs],0))</f>
        <v>#N/A</v>
      </c>
      <c r="DR57" s="22" t="e">
        <f ca="1">INDEX(Table_Process_Details[Total '[Mass Net (kg) per kg API'] of Unique Inputs (ENZ&amp;PLNT)], MATCH(Table_Process_Details[[#This Row],[Unique Inputs Sorted by '[Mass Net (kg) per kg API']]],Table_Process_Details[Unique Process Inputs],0))</f>
        <v>#N/A</v>
      </c>
      <c r="DS57" s="22" t="e">
        <f ca="1">INDEX(Table_Process_Details[Total '[Mass Net (kg) per kg API'] of Unique Inputs (OTHER)], MATCH(Table_Process_Details[[#This Row],[Unique Inputs Sorted by '[Mass Net (kg) per kg API']]],Table_Process_Details[Unique Process Inputs],0))</f>
        <v>#N/A</v>
      </c>
      <c r="DT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110.7843634140128</v>
      </c>
      <c r="DU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110.7843634140128</v>
      </c>
      <c r="DX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7" s="1">
        <f ca="1">SUMIFS(Table_Process_Details[RV Energy (MJ) per kg API],Table_Process_Details[Display Name],Table_Process_Details[[#This Row],[Unique Process Inputs]],Table_Process_Details[Input or Output],"Input")</f>
        <v>0</v>
      </c>
      <c r="EB57" s="1">
        <f ca="1">SUMIFS(Table_Process_Details[RV Energy (MJ) per kg API (REAGENT)],Table_Process_Details[Display Name],Table_Process_Details[[#This Row],[Unique Process Inputs]],Table_Process_Details[Input or Output],"Input")</f>
        <v>0</v>
      </c>
      <c r="EC57" s="1">
        <f ca="1">SUMIFS(Table_Process_Details[RV Energy (MJ) per kg API (METAL)],Table_Process_Details[Display Name],Table_Process_Details[[#This Row],[Unique Process Inputs]],Table_Process_Details[Input or Output],"Input")</f>
        <v>0</v>
      </c>
      <c r="ED57" s="1">
        <f ca="1">SUMIFS(Table_Process_Details[RV Energy (MJ) per kg API (SOLVENT)],Table_Process_Details[Display Name],Table_Process_Details[[#This Row],[Unique Process Inputs]],Table_Process_Details[Input or Output],"Input")</f>
        <v>0</v>
      </c>
      <c r="EE57" s="1">
        <f ca="1">SUMIFS(Table_Process_Details[RV Energy (MJ) per kg API (WATER)],Table_Process_Details[Display Name],Table_Process_Details[[#This Row],[Unique Process Inputs]],Table_Process_Details[Input or Output],"Input")</f>
        <v>0</v>
      </c>
      <c r="EF57" s="1">
        <f ca="1">SUMIFS(Table_Process_Details[RV Energy (MJ) per kg API (ENZ&amp;PLNT)],Table_Process_Details[Display Name],Table_Process_Details[[#This Row],[Unique Process Inputs]],Table_Process_Details[Input or Output],"Input")</f>
        <v>0</v>
      </c>
      <c r="EG57" s="1">
        <f ca="1">SUMIFS(Table_Process_Details[RV Energy (MJ) per kg API (OTHER)],Table_Process_Details[Display Name],Table_Process_Details[[#This Row],[Unique Process Inputs]],Table_Process_Details[Input or Output],"Input")</f>
        <v>0</v>
      </c>
      <c r="EH57" s="1" t="e">
        <f ca="1">INDEX(Table_Process_Details[Unique Process Inputs],MATCH(Table_Process_Details[[#This Row],['[Energy (MJ) per kg API'] of Unique Inputs Sorted by '[Energy (MJ) per kg API']]],Table_Process_Details[Total '[Energy (MJ) per kg API'] of Unique Inputs],0))</f>
        <v>#N/A</v>
      </c>
      <c r="EI57" s="22" t="e">
        <f ca="1">IF(LARGE(Table_Process_Details[Total '[Energy (MJ) per kg API'] of Unique Inputs],Table_Process_Details[[#This Row],[Table Row]])=0,NA(),LARGE(Table_Process_Details[Total '[Energy (MJ) per kg API'] of Unique Inputs],Table_Process_Details[[#This Row],[Table Row]]))</f>
        <v>#N/A</v>
      </c>
      <c r="EJ57" s="22" t="e">
        <f ca="1">SUM(OFFSET(Table_Process_Details['[Energy (MJ) per kg API'] of Unique Inputs Sorted by '[Energy (MJ) per kg API']],0,0,Table_Process_Details[[#This Row],[Table Row]]))</f>
        <v>#N/A</v>
      </c>
      <c r="EK57" s="22" t="e">
        <f ca="1">"("&amp;TEXT(Table_Process_Details[[#This Row],['[Energy (MJ) per kg API'] of Unique Inputs Sorted by '[Energy (MJ) per kg API']]]/SUMIF(Table_Process_Details['[Energy (MJ) per kg API'] of Unique Inputs Sorted by '[Energy (MJ) per kg API']],"&lt;&gt;#N/A"),"0%")&amp;")"</f>
        <v>#N/A</v>
      </c>
      <c r="EL57" s="22" t="e">
        <f ca="1">INDEX(Table_Process_Details[Total '[Energy (MJ) per kg API'] of Unique Inputs (REAGENT)], MATCH(Table_Process_Details[[#This Row],[Unique Inputs Sorted by '[Energy (MJ) per kg API']]],Table_Process_Details[Unique Process Inputs],0))</f>
        <v>#N/A</v>
      </c>
      <c r="EM57" s="22" t="e">
        <f ca="1">INDEX(Table_Process_Details[Total '[Energy (MJ) per kg API'] of Unique Inputs (METAL)], MATCH(Table_Process_Details[[#This Row],[Unique Inputs Sorted by '[Energy (MJ) per kg API']]],Table_Process_Details[Unique Process Inputs],0))</f>
        <v>#N/A</v>
      </c>
      <c r="EN57" s="22" t="e">
        <f ca="1">INDEX(Table_Process_Details[Total '[Energy (MJ) per kg API'] of Unique Inputs (SOLVENT)], MATCH(Table_Process_Details[[#This Row],[Unique Inputs Sorted by '[Energy (MJ) per kg API']]],Table_Process_Details[Unique Process Inputs],0))</f>
        <v>#N/A</v>
      </c>
      <c r="EO57" s="22" t="e">
        <f ca="1">INDEX(Table_Process_Details[Total '[Energy (MJ) per kg API'] of Unique Inputs (WATER)], MATCH(Table_Process_Details[[#This Row],[Unique Inputs Sorted by '[Energy (MJ) per kg API']]],Table_Process_Details[Unique Process Inputs],0))</f>
        <v>#N/A</v>
      </c>
      <c r="EP57" s="22" t="e">
        <f ca="1">INDEX(Table_Process_Details[Total '[Energy (MJ) per kg API'] of Unique Inputs (ENZ&amp;PLNT)], MATCH(Table_Process_Details[[#This Row],[Unique Inputs Sorted by '[Energy (MJ) per kg API']]],Table_Process_Details[Unique Process Inputs],0))</f>
        <v>#N/A</v>
      </c>
      <c r="EQ57" s="22" t="e">
        <f ca="1">INDEX(Table_Process_Details[Total '[Energy (MJ) per kg API'] of Unique Inputs (OTHER)], MATCH(Table_Process_Details[[#This Row],[Unique Inputs Sorted by '[Energy (MJ) per kg API']]],Table_Process_Details[Unique Process Inputs],0))</f>
        <v>#N/A</v>
      </c>
      <c r="ER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2.619648929826472</v>
      </c>
      <c r="ES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2.619648929826472</v>
      </c>
      <c r="EV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7" s="22">
        <f ca="1">SUMIFS(Table_Process_Details[RV GWP (kg CO2 equiv.) per kg API],Table_Process_Details[Display Name],Table_Process_Details[[#This Row],[Unique Process Inputs]],Table_Process_Details[Input or Output],"Input")</f>
        <v>0</v>
      </c>
      <c r="EZ57" s="1">
        <f ca="1">SUMIFS(Table_Process_Details[RV GWP (kg CO2 equiv.) per kg API (REAGENT)],Table_Process_Details[Display Name],Table_Process_Details[[#This Row],[Unique Process Inputs]],Table_Process_Details[Input or Output],"Input")</f>
        <v>0</v>
      </c>
      <c r="FA57" s="1">
        <f ca="1">SUMIFS(Table_Process_Details[RV GWP (kg CO2 equiv.) per kg API (METAL)],Table_Process_Details[Display Name],Table_Process_Details[[#This Row],[Unique Process Inputs]],Table_Process_Details[Input or Output],"Input")</f>
        <v>0</v>
      </c>
      <c r="FB57" s="1">
        <f ca="1">SUMIFS(Table_Process_Details[RV GWP (kg CO2 equiv.) per kg API (SOLVENT)],Table_Process_Details[Display Name],Table_Process_Details[[#This Row],[Unique Process Inputs]],Table_Process_Details[Input or Output],"Input")</f>
        <v>0</v>
      </c>
      <c r="FC57" s="1">
        <f ca="1">SUMIFS(Table_Process_Details[RV GWP (kg CO2 equiv.) per kg API (WATER)],Table_Process_Details[Display Name],Table_Process_Details[[#This Row],[Unique Process Inputs]],Table_Process_Details[Input or Output],"Input")</f>
        <v>0</v>
      </c>
      <c r="FD57" s="1">
        <f ca="1">SUMIFS(Table_Process_Details[RV GWP (kg CO2 equiv.) per kg API (ENZ&amp;PLNT)],Table_Process_Details[Display Name],Table_Process_Details[[#This Row],[Unique Process Inputs]],Table_Process_Details[Input or Output],"Input")</f>
        <v>0</v>
      </c>
      <c r="FE57" s="1">
        <f ca="1">SUMIFS(Table_Process_Details[RV GWP (kg CO2 equiv.) per kg API (OTHER)],Table_Process_Details[Display Name],Table_Process_Details[[#This Row],[Unique Process Inputs]],Table_Process_Details[Input or Output],"Input")</f>
        <v>0</v>
      </c>
      <c r="FF57" s="22" t="e">
        <f ca="1">INDEX(Table_Process_Details[Unique Process Inputs],MATCH(Table_Process_Details[[#This Row],['[GWP (kg CO2 equiv.) per kg API'] of Unique Inputs Sorted by '[GWP (kg CO2 equiv.) per kg API']]],Table_Process_Details[Total '[GWP (kg CO2 equiv.) per kg API'] of Unique Inputs],0))</f>
        <v>#N/A</v>
      </c>
      <c r="FG57" s="22" t="e">
        <f ca="1">IF(LARGE(Table_Process_Details[Total '[GWP (kg CO2 equiv.) per kg API'] of Unique Inputs],Table_Process_Details[[#This Row],[Table Row]])=0,NA(),LARGE(Table_Process_Details[Total '[GWP (kg CO2 equiv.) per kg API'] of Unique Inputs],Table_Process_Details[[#This Row],[Table Row]]))</f>
        <v>#N/A</v>
      </c>
      <c r="FH57" s="22" t="e">
        <f ca="1">SUM(OFFSET(Table_Process_Details['[GWP (kg CO2 equiv.) per kg API'] of Unique Inputs Sorted by '[GWP (kg CO2 equiv.) per kg API']],0,0,Table_Process_Details[[#This Row],[Table Row]]))</f>
        <v>#N/A</v>
      </c>
      <c r="FI57" s="22" t="e">
        <f ca="1">"("&amp;TEXT(Table_Process_Details[[#This Row],['[GWP (kg CO2 equiv.) per kg API'] of Unique Inputs Sorted by '[GWP (kg CO2 equiv.) per kg API']]]/SUMIF(Table_Process_Details['[GWP (kg CO2 equiv.) per kg API'] of Unique Inputs Sorted by '[GWP (kg CO2 equiv.) per kg API']],"&lt;&gt;#N/A"),"0%")&amp;")"</f>
        <v>#N/A</v>
      </c>
      <c r="FJ57" s="22" t="e">
        <f ca="1">INDEX(Table_Process_Details[Total '[GWP (kg CO2 equiv.) per kg API'] of Unique Inputs (REAGENT)], MATCH(Table_Process_Details[[#This Row],[Unique Inputs Sorted by '[GWP (kg CO2 equiv.) per kg API']]],Table_Process_Details[Unique Process Inputs],0))</f>
        <v>#N/A</v>
      </c>
      <c r="FK57" s="22" t="e">
        <f ca="1">INDEX(Table_Process_Details[Total '[GWP (kg CO2 equiv.) per kg API'] of Unique Inputs (METAL)], MATCH(Table_Process_Details[[#This Row],[Unique Inputs Sorted by '[GWP (kg CO2 equiv.) per kg API']]],Table_Process_Details[Unique Process Inputs],0))</f>
        <v>#N/A</v>
      </c>
      <c r="FL57" s="22" t="e">
        <f ca="1">INDEX(Table_Process_Details[Total '[GWP (kg CO2 equiv.) per kg API'] of Unique Inputs (SOLVENT)], MATCH(Table_Process_Details[[#This Row],[Unique Inputs Sorted by '[GWP (kg CO2 equiv.) per kg API']]],Table_Process_Details[Unique Process Inputs],0))</f>
        <v>#N/A</v>
      </c>
      <c r="FM57" s="22" t="e">
        <f ca="1">INDEX(Table_Process_Details[Total '[GWP (kg CO2 equiv.) per kg API'] of Unique Inputs (WATER)], MATCH(Table_Process_Details[[#This Row],[Unique Inputs Sorted by '[GWP (kg CO2 equiv.) per kg API']]],Table_Process_Details[Unique Process Inputs],0))</f>
        <v>#N/A</v>
      </c>
      <c r="FN57" s="22" t="e">
        <f ca="1">INDEX(Table_Process_Details[Total '[GWP (kg CO2 equiv.) per kg API'] of Unique Inputs (ENZ&amp;PLNT)], MATCH(Table_Process_Details[[#This Row],[Unique Inputs Sorted by '[GWP (kg CO2 equiv.) per kg API']]],Table_Process_Details[Unique Process Inputs],0))</f>
        <v>#N/A</v>
      </c>
      <c r="FO57" s="22" t="e">
        <f ca="1">INDEX(Table_Process_Details[Total '[GWP (kg CO2 equiv.) per kg API'] of Unique Inputs (OTHER)], MATCH(Table_Process_Details[[#This Row],[Unique Inputs Sorted by '[GWP (kg CO2 equiv.) per kg API']]],Table_Process_Details[Unique Process Inputs],0))</f>
        <v>#N/A</v>
      </c>
      <c r="FP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6.6203656245662585E-3</v>
      </c>
      <c r="FQ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6.6203656245662585E-3</v>
      </c>
      <c r="FT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7" s="22">
        <f ca="1">SUMIFS(Table_Process_Details[RV Acidification (kg SO2 equiv.) per kg API],Table_Process_Details[Display Name],Table_Process_Details[[#This Row],[Unique Process Inputs]],Table_Process_Details[Input or Output],"Input")</f>
        <v>0</v>
      </c>
      <c r="FX57" s="1">
        <f ca="1">SUMIFS(Table_Process_Details[RV Acidification (kg SO2 equiv.) per kg API (REAGENT)],Table_Process_Details[Display Name],Table_Process_Details[[#This Row],[Unique Process Inputs]],Table_Process_Details[Input or Output],"Input")</f>
        <v>0</v>
      </c>
      <c r="FY57" s="1">
        <f ca="1">SUMIFS(Table_Process_Details[RV Acidification (kg SO2 equiv.) per kg API (METAL)],Table_Process_Details[Display Name],Table_Process_Details[[#This Row],[Unique Process Inputs]],Table_Process_Details[Input or Output],"Input")</f>
        <v>0</v>
      </c>
      <c r="FZ57" s="1">
        <f ca="1">SUMIFS(Table_Process_Details[RV Acidification (kg SO2 equiv.) per kg API (SOLVENT)],Table_Process_Details[Display Name],Table_Process_Details[[#This Row],[Unique Process Inputs]],Table_Process_Details[Input or Output],"Input")</f>
        <v>0</v>
      </c>
      <c r="GA57" s="1">
        <f ca="1">SUMIFS(Table_Process_Details[RV Acidification (kg SO2 equiv.) per kg API (WATER)],Table_Process_Details[Display Name],Table_Process_Details[[#This Row],[Unique Process Inputs]],Table_Process_Details[Input or Output],"Input")</f>
        <v>0</v>
      </c>
      <c r="GB57" s="1">
        <f ca="1">SUMIFS(Table_Process_Details[RV Acidification (kg SO2 equiv.) per kg API (ENZ&amp;PLNT)],Table_Process_Details[Display Name],Table_Process_Details[[#This Row],[Unique Process Inputs]],Table_Process_Details[Input or Output],"Input")</f>
        <v>0</v>
      </c>
      <c r="GC57" s="1">
        <f ca="1">SUMIFS(Table_Process_Details[RV Acidification (kg SO2 equiv.) per kg API (OTHER)],Table_Process_Details[Display Name],Table_Process_Details[[#This Row],[Unique Process Inputs]],Table_Process_Details[Input or Output],"Input")</f>
        <v>0</v>
      </c>
      <c r="GD5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7" s="22" t="e">
        <f ca="1">SUM(OFFSET(Table_Process_Details['[Acidification (kg SO2 equiv.) per kg API'] of Unique Inputs Sorted by '[Acidification (kg SO2 equiv.) per kg API']],0,0,Table_Process_Details[[#This Row],[Table Row]]))</f>
        <v>#N/A</v>
      </c>
      <c r="GG5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7" s="22" t="e">
        <f ca="1">INDEX(Table_Process_Details[Total '[Acidification (kg SO2 equiv.) per kg API'] of Unique Inputs (REAGENT)], MATCH(Table_Process_Details[[#This Row],[Unique Inputs Sorted by '[Acidification (kg SO2 equiv.) per kg API']]],Table_Process_Details[Unique Process Inputs],0))</f>
        <v>#N/A</v>
      </c>
      <c r="GI57" s="22" t="e">
        <f ca="1">INDEX(Table_Process_Details[Total '[Acidification (kg SO2 equiv.) per kg API'] of Unique Inputs (METAL)], MATCH(Table_Process_Details[[#This Row],[Unique Inputs Sorted by '[Acidification (kg SO2 equiv.) per kg API']]],Table_Process_Details[Unique Process Inputs],0))</f>
        <v>#N/A</v>
      </c>
      <c r="GJ57" s="22" t="e">
        <f ca="1">INDEX(Table_Process_Details[Total '[Acidification (kg SO2 equiv.) per kg API'] of Unique Inputs (SOLVENT)], MATCH(Table_Process_Details[[#This Row],[Unique Inputs Sorted by '[Acidification (kg SO2 equiv.) per kg API']]],Table_Process_Details[Unique Process Inputs],0))</f>
        <v>#N/A</v>
      </c>
      <c r="GK57" s="22" t="e">
        <f ca="1">INDEX(Table_Process_Details[Total '[Acidification (kg SO2 equiv.) per kg API'] of Unique Inputs (WATER)], MATCH(Table_Process_Details[[#This Row],[Unique Inputs Sorted by '[Acidification (kg SO2 equiv.) per kg API']]],Table_Process_Details[Unique Process Inputs],0))</f>
        <v>#N/A</v>
      </c>
      <c r="GL57" s="22" t="e">
        <f ca="1">INDEX(Table_Process_Details[Total '[Acidification (kg SO2 equiv.) per kg API'] of Unique Inputs (ENZ&amp;PLNT)], MATCH(Table_Process_Details[[#This Row],[Unique Inputs Sorted by '[Acidification (kg SO2 equiv.) per kg API']]],Table_Process_Details[Unique Process Inputs],0))</f>
        <v>#N/A</v>
      </c>
      <c r="GM57" s="22" t="e">
        <f ca="1">INDEX(Table_Process_Details[Total '[Acidification (kg SO2 equiv.) per kg API'] of Unique Inputs (OTHER)], MATCH(Table_Process_Details[[#This Row],[Unique Inputs Sorted by '[Acidification (kg SO2 equiv.) per kg API']]],Table_Process_Details[Unique Process Inputs],0))</f>
        <v>#N/A</v>
      </c>
      <c r="GN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5.576735623890062E-4</v>
      </c>
      <c r="GO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5.576735623890062E-4</v>
      </c>
      <c r="GR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7" s="22">
        <f ca="1">SUMIFS(Table_Process_Details[RV Eutrophication (kg phosphate equiv.) per kg API],Table_Process_Details[Display Name],Table_Process_Details[[#This Row],[Unique Process Inputs]],Table_Process_Details[Input or Output],"Input")</f>
        <v>0</v>
      </c>
      <c r="GV57" s="1">
        <f ca="1">SUMIFS(Table_Process_Details[RV Eutrophication (kg phosphate equiv.) per kg API (REAGENT)],Table_Process_Details[Display Name],Table_Process_Details[[#This Row],[Unique Process Inputs]],Table_Process_Details[Input or Output],"Input")</f>
        <v>0</v>
      </c>
      <c r="GW57" s="1">
        <f ca="1">SUMIFS(Table_Process_Details[RV Eutrophication (kg phosphate equiv.) per kg API (METAL)],Table_Process_Details[Display Name],Table_Process_Details[[#This Row],[Unique Process Inputs]],Table_Process_Details[Input or Output],"Input")</f>
        <v>0</v>
      </c>
      <c r="GX57" s="1">
        <f ca="1">SUMIFS(Table_Process_Details[RV Eutrophication (kg phosphate equiv.) per kg API (SOLVENT)],Table_Process_Details[Display Name],Table_Process_Details[[#This Row],[Unique Process Inputs]],Table_Process_Details[Input or Output],"Input")</f>
        <v>0</v>
      </c>
      <c r="GY57" s="1">
        <f ca="1">SUMIFS(Table_Process_Details[RV Eutrophication (kg phosphate equiv.) per kg API (WATER)],Table_Process_Details[Display Name],Table_Process_Details[[#This Row],[Unique Process Inputs]],Table_Process_Details[Input or Output],"Input")</f>
        <v>0</v>
      </c>
      <c r="GZ57" s="1">
        <f ca="1">SUMIFS(Table_Process_Details[RV Eutrophication (kg phosphate equiv.) per kg API (ENZ&amp;PLNT)],Table_Process_Details[Display Name],Table_Process_Details[[#This Row],[Unique Process Inputs]],Table_Process_Details[Input or Output],"Input")</f>
        <v>0</v>
      </c>
      <c r="HA57" s="1">
        <f ca="1">SUMIFS(Table_Process_Details[RV Eutrophication (kg phosphate equiv.) per kg API (OTHER)],Table_Process_Details[Display Name],Table_Process_Details[[#This Row],[Unique Process Inputs]],Table_Process_Details[Input or Output],"Input")</f>
        <v>0</v>
      </c>
      <c r="HB5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7" s="22" t="e">
        <f ca="1">SUM(OFFSET(Table_Process_Details['[Eutrophication (kg posphate equiv.) per kg API'] of Unique Inputs Sorted by '[Eutrophication (kg posphate equiv.) per kg API']],0,0,Table_Process_Details[[#This Row],[Table Row]]))</f>
        <v>#N/A</v>
      </c>
      <c r="HE5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7" s="1" t="e">
        <f ca="1">INDEX(Table_Process_Details[Total '[Eutrophication (kg posphate equiv.) per kg API'] of Unique Inputs (REAGENT)], MATCH(Table_Process_Details[[#This Row],[Unique Inputs Sorted by '[Eutrophication (kg posphate equiv.) per kg API']]],Table_Process_Details[Unique Process Inputs],0))</f>
        <v>#N/A</v>
      </c>
      <c r="HG57" s="1" t="e">
        <f ca="1">INDEX(Table_Process_Details[Total '[Eutrophication (kg posphate equiv.) per kg API'] of Unique Inputs (METAL)], MATCH(Table_Process_Details[[#This Row],[Unique Inputs Sorted by '[Eutrophication (kg posphate equiv.) per kg API']]],Table_Process_Details[Unique Process Inputs],0))</f>
        <v>#N/A</v>
      </c>
      <c r="HH57" s="1" t="e">
        <f ca="1">INDEX(Table_Process_Details[Total '[Eutrophication (kg posphate equiv.) per kg API'] of Unique Inputs (SOLVENT)], MATCH(Table_Process_Details[[#This Row],[Unique Inputs Sorted by '[Eutrophication (kg posphate equiv.) per kg API']]],Table_Process_Details[Unique Process Inputs],0))</f>
        <v>#N/A</v>
      </c>
      <c r="HI57" s="1" t="e">
        <f ca="1">INDEX(Table_Process_Details[Total '[Eutrophication (kg posphate equiv.) per kg API'] of Unique Inputs (WATER)], MATCH(Table_Process_Details[[#This Row],[Unique Inputs Sorted by '[Eutrophication (kg posphate equiv.) per kg API']]],Table_Process_Details[Unique Process Inputs],0))</f>
        <v>#N/A</v>
      </c>
      <c r="HJ57" s="1" t="e">
        <f ca="1">INDEX(Table_Process_Details[Total '[Eutrophication (kg posphate equiv.) per kg API'] of Unique Inputs (ENZ&amp;PLNT)], MATCH(Table_Process_Details[[#This Row],[Unique Inputs Sorted by '[Eutrophication (kg posphate equiv.) per kg API']]],Table_Process_Details[Unique Process Inputs],0))</f>
        <v>#N/A</v>
      </c>
      <c r="HK57" s="1" t="e">
        <f ca="1">INDEX(Table_Process_Details[Total '[Eutrophication (kg posphate equiv.) per kg API'] of Unique Inputs (OTHER)], MATCH(Table_Process_Details[[#This Row],[Unique Inputs Sorted by '[Eutrophication (kg posphate equiv.) per kg API']]],Table_Process_Details[Unique Process Inputs],0))</f>
        <v>#N/A</v>
      </c>
      <c r="HL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1.8238535395196873</v>
      </c>
      <c r="HM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1.8238535395196873</v>
      </c>
      <c r="HP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7" s="1">
        <f ca="1">SUMIFS(Table_Process_Details[RV Water (kg) per kg API],Table_Process_Details[Display Name],Table_Process_Details[[#This Row],[Unique Process Inputs]],Table_Process_Details[Input or Output],"Input")</f>
        <v>0</v>
      </c>
      <c r="HT57" s="1">
        <f ca="1">SUMIFS(Table_Process_Details[RV Water (kg) per kg API (REAGENT)],Table_Process_Details[Display Name],Table_Process_Details[[#This Row],[Unique Process Inputs]],Table_Process_Details[Input or Output],"Input")</f>
        <v>0</v>
      </c>
      <c r="HU57" s="1">
        <f ca="1">SUMIFS(Table_Process_Details[RV Water (kg) per kg API (METAL)],Table_Process_Details[Display Name],Table_Process_Details[[#This Row],[Unique Process Inputs]],Table_Process_Details[Input or Output],"Input")</f>
        <v>0</v>
      </c>
      <c r="HV57" s="1">
        <f ca="1">SUMIFS(Table_Process_Details[RV Water (kg) per kg API (SOLVENT)],Table_Process_Details[Display Name],Table_Process_Details[[#This Row],[Unique Process Inputs]],Table_Process_Details[Input or Output],"Input")</f>
        <v>0</v>
      </c>
      <c r="HW57" s="1">
        <f ca="1">SUMIFS(Table_Process_Details[RV Water (kg) per kg API (WATER)],Table_Process_Details[Display Name],Table_Process_Details[[#This Row],[Unique Process Inputs]],Table_Process_Details[Input or Output],"Input")</f>
        <v>0</v>
      </c>
      <c r="HX57" s="1">
        <f ca="1">SUMIFS(Table_Process_Details[RV Water (kg) per kg API (ENZ&amp;PLNT)],Table_Process_Details[Display Name],Table_Process_Details[[#This Row],[Unique Process Inputs]],Table_Process_Details[Input or Output],"Input")</f>
        <v>0</v>
      </c>
      <c r="HY57" s="1">
        <f ca="1">SUMIFS(Table_Process_Details[RV Water (kg) per kg API (OTHER)],Table_Process_Details[Display Name],Table_Process_Details[[#This Row],[Unique Process Inputs]],Table_Process_Details[Input or Output],"Input")</f>
        <v>0</v>
      </c>
      <c r="HZ57" s="22" t="e">
        <f ca="1">INDEX(Table_Process_Details[Unique Process Inputs],MATCH(Table_Process_Details[[#This Row],['[Water (kg) per kg API'] of Unique Inputs Sorted by '[Water (kg) per kg API']]],Table_Process_Details[Total '[Water (kg) per kg API'] of Unique Inputs],0))</f>
        <v>#N/A</v>
      </c>
      <c r="IA57" s="22" t="e">
        <f ca="1">IF(LARGE(Table_Process_Details[Total '[Water (kg) per kg API'] of Unique Inputs],Table_Process_Details[[#This Row],[Table Row]])=0,NA(),LARGE(Table_Process_Details[Total '[Water (kg) per kg API'] of Unique Inputs],Table_Process_Details[[#This Row],[Table Row]]))</f>
        <v>#N/A</v>
      </c>
      <c r="IB57" s="1" t="e">
        <f ca="1">SUM(OFFSET(Table_Process_Details['[Water (kg) per kg API'] of Unique Inputs Sorted by '[Water (kg) per kg API']],0,0,Table_Process_Details[[#This Row],[Table Row]]))</f>
        <v>#N/A</v>
      </c>
      <c r="IC57" s="1" t="e">
        <f ca="1">"("&amp;TEXT(Table_Process_Details[[#This Row],['[Water (kg) per kg API'] of Unique Inputs Sorted by '[Water (kg) per kg API']]]/SUMIF(Table_Process_Details['[Water (kg) per kg API'] of Unique Inputs Sorted by '[Water (kg) per kg API']],"&lt;&gt;#N/A"),"0%")&amp;")"</f>
        <v>#N/A</v>
      </c>
      <c r="ID57" s="1" t="e">
        <f ca="1">INDEX(Table_Process_Details[Total '[Water (kg) per kg API'] of Unique Inputs (REAGENT)], MATCH(Table_Process_Details[[#This Row],[Unique Inputs Sorted by '[Water (kg) per kg API']]],Table_Process_Details[Unique Process Inputs],0))</f>
        <v>#N/A</v>
      </c>
      <c r="IE57" s="1" t="e">
        <f ca="1">INDEX(Table_Process_Details[Total '[Water (kg) per kg API'] of Unique Inputs (METAL)], MATCH(Table_Process_Details[[#This Row],[Unique Inputs Sorted by '[Water (kg) per kg API']]],Table_Process_Details[Unique Process Inputs],0))</f>
        <v>#N/A</v>
      </c>
      <c r="IF57" s="1" t="e">
        <f ca="1">INDEX(Table_Process_Details[Total '[Water (kg) per kg API'] of Unique Inputs (SOLVENT)], MATCH(Table_Process_Details[[#This Row],[Unique Inputs Sorted by '[Water (kg) per kg API']]],Table_Process_Details[Unique Process Inputs],0))</f>
        <v>#N/A</v>
      </c>
      <c r="IG57" s="1" t="e">
        <f ca="1">INDEX(Table_Process_Details[Total '[Water (kg) per kg API'] of Unique Inputs (WATER)], MATCH(Table_Process_Details[[#This Row],[Unique Inputs Sorted by '[Water (kg) per kg API']]],Table_Process_Details[Unique Process Inputs],0))</f>
        <v>#N/A</v>
      </c>
      <c r="IH57" s="1" t="e">
        <f ca="1">INDEX(Table_Process_Details[Total '[Water (kg) per kg API'] of Unique Inputs (ENZ&amp;PLNT)], MATCH(Table_Process_Details[[#This Row],[Unique Inputs Sorted by '[Water (kg) per kg API']]],Table_Process_Details[Unique Process Inputs],0))</f>
        <v>#N/A</v>
      </c>
      <c r="II57" s="1" t="e">
        <f ca="1">INDEX(Table_Process_Details[Total '[Water (kg) per kg API'] of Unique Inputs (OTHER)], MATCH(Table_Process_Details[[#This Row],[Unique Inputs Sorted by '[Water (kg) per kg API']]],Table_Process_Details[Unique Process Inputs],0))</f>
        <v>#N/A</v>
      </c>
    </row>
    <row r="58" spans="1:243" customFormat="1" x14ac:dyDescent="0.25">
      <c r="A58" s="22" t="str">
        <f t="shared" si="1"/>
        <v>2) Synthesis of Intermediate (2)</v>
      </c>
      <c r="B58" s="21" t="s">
        <v>4</v>
      </c>
      <c r="C58" s="21" t="s">
        <v>170</v>
      </c>
      <c r="D58" s="22" t="str">
        <f>A46</f>
        <v>2b) Virtual solution prep for (2): 30 wt% reagent F (inorganic) in water</v>
      </c>
      <c r="E58" s="22" t="str">
        <f>E46</f>
        <v>30 wt% reagent F (inorganic) in water</v>
      </c>
      <c r="F58" s="26">
        <v>100</v>
      </c>
      <c r="G58" s="26"/>
      <c r="H58" s="26"/>
      <c r="I58" s="26"/>
      <c r="J58" s="26" t="str">
        <f>INDEX(Process_Steps[Reference],MATCH(Table_Process_Details[[#This Row],[Step Name]],Process_Steps[Name],0))</f>
        <v>Reference Document for Step 2</v>
      </c>
      <c r="K58" s="27" t="str">
        <f>INDEX(Process_Steps[Real or Virtual?],MATCH(Table_Process_Details[[#This Row],[Step Name]],Process_Steps[Name],0))</f>
        <v>Real</v>
      </c>
      <c r="L5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5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58" s="26">
        <f>INDEX(Table_Process_Details[Physical Mass (kg)],MATCH(1,INDEX(((Table_Process_Details[Step Name]=Table_Process_Details[[#This Row],[Step Name]])*(Table_Process_Details[Input or Output]="Output")),0),0))</f>
        <v>157.52551020408163</v>
      </c>
      <c r="O58" s="29">
        <f ca="1">INDEX(Process_Steps[Step Scale Factor for 1kg Packaged API],MATCH(Table_Process_Details[[#This Row],[Step Name]],Process_Steps[Name],0))</f>
        <v>6.9901025556824191E-3</v>
      </c>
      <c r="P5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10.5</v>
      </c>
      <c r="Q5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10.5</v>
      </c>
      <c r="R58" s="26">
        <f ca="1">_xlfn.SWITCH(Run_Reset_PNG,"Reset",Table_Process_Details[[#This Row],[X Init]],"Run",Table_Process_Details[[#This Row],[X Moved]],"Freeze",Table_Process_Details[[#This Row],[X Mover]])</f>
        <v>-1.2088001923033329</v>
      </c>
      <c r="S58" s="26">
        <f ca="1">_xlfn.SWITCH(Run_Reset_PNG,"Reset",Table_Process_Details[[#This Row],[Y Init]],"Run",Table_Process_Details[[#This Row],[Y Moved]],"Freeze",Table_Process_Details[[#This Row],[Y Mover]])</f>
        <v>3.6744950109734074</v>
      </c>
      <c r="T58" s="26" cm="1">
        <f t="array" aca="1" ref="T5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-3.1654335980719694</v>
      </c>
      <c r="U58" s="26" cm="1">
        <f t="array" aca="1" ref="U5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-2.2902488190321009</v>
      </c>
      <c r="V58" s="26" cm="1">
        <f t="array" aca="1" ref="V58" ca="1">SUM(--(SQRT((Table_Process_Details[[#This Row],[X Mover]]-Table_Process_Details[X Mover])^2+(Table_Process_Details[[#This Row],[Y Mover]]-Table_Process_Details[Y Mover])^2)&lt;Collision_Distance))</f>
        <v>16</v>
      </c>
      <c r="W58" s="26" cm="1">
        <f t="array" aca="1" ref="W5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0.24169847579422193</v>
      </c>
      <c r="X58" s="26" cm="1">
        <f t="array" aca="1" ref="X5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0.22575411198795159</v>
      </c>
      <c r="Y58" s="26" cm="1">
        <f t="array" aca="1" ref="Y5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58" s="26">
        <f>0</f>
        <v>0</v>
      </c>
      <c r="AA58" s="26">
        <f>0</f>
        <v>0</v>
      </c>
      <c r="AB5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0.60440009615166645</v>
      </c>
      <c r="AC58" s="26" cm="1">
        <f t="array" aca="1" ref="AC5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-1.8372475054867037</v>
      </c>
      <c r="AD58" s="26">
        <f>MIN(1,COUNTA(Table_Process_Details[[#This Row],[target x]]),COUNTA(Table_Process_Details[[#This Row],[target y]]))*COUNTA(Table_Process_Details[Step Name])</f>
        <v>98</v>
      </c>
      <c r="AE5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-1.2796232063658053</v>
      </c>
      <c r="AF5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3.6254840922525022</v>
      </c>
      <c r="AG5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58" s="26" cm="1">
        <f t="array" aca="1" ref="AH58" ca="1">INDEX(Table_Process_Details[X Mover],MATCH(1,INDEX((Table_Process_Details[Input or Output]="Output")*(Table_Process_Details[Step Name]=Table_Process_Details[[#This Row],[Step Name]])*(Table_Process_Details[[#This Row],[Input or Output]]="Input"),0),0))</f>
        <v>1.9309511115841147</v>
      </c>
      <c r="AI58" s="26" cm="1">
        <f t="array" aca="1" ref="AI58" ca="1">INDEX(Table_Process_Details[Y Mover],MATCH(1,INDEX((Table_Process_Details[Input or Output]="Output")*(Table_Process_Details[Step Name]=Table_Process_Details[[#This Row],[Step Name]])*(Table_Process_Details[[#This Row],[Input or Output]]="Input"),0),0))</f>
        <v>7.9388892826190514</v>
      </c>
      <c r="AJ58" s="26">
        <f ca="1">SQRT((Table_Process_Details[[#This Row],[X End (To Node Center)]]-Table_Process_Details[[#This Row],[X Guide]])^2+(Table_Process_Details[[#This Row],[Y End (to Node Center)]]-Table_Process_Details[[#This Row],[Y Guide]])^2)</f>
        <v>5.2955733168663723</v>
      </c>
      <c r="AK58" s="26" cm="1">
        <f t="array" aca="1" ref="AK58" ca="1">INDEX(Table_Process_Details[X Mover],MATCH(1,INDEX((Table_Process_Details[Step Name]=Table_Process_Details[[#This Row],[LCA Data Source Subclass]])*(Table_Process_Details[Input or Output]="Output"),0)*(Table_Process_Details[[#This Row],[Input or Output]]="Input"),0))</f>
        <v>-3.6823126540307705</v>
      </c>
      <c r="AL58" s="26" cm="1">
        <f t="array" aca="1" ref="AL58" ca="1">INDEX(Table_Process_Details[X Mover],MATCH(1,INDEX(((Table_Process_Details[Table Row]=Table_Process_Details[[#This Row],[Table Row]])*(1)),0)*(Table_Process_Details[[#This Row],[Input or Output]]="Input"),0))</f>
        <v>-1.2088001923033329</v>
      </c>
      <c r="AM58" s="26" cm="1">
        <f t="array" aca="1" ref="AM58" ca="1">(Table_Process_Details[[#This Row],[X End (To Node Center)]]*Table_Process_Details[[#This Row],[r0]]-Table_Process_Details[[#This Row],[X End (To Node Center)]]*Arrow_Offset+Table_Process_Details[[#This Row],[X Guide]]*Arrow_Offset)/Table_Process_Details[[#This Row],[r0]]</f>
        <v>1.4566302226428014</v>
      </c>
      <c r="AN58" s="26">
        <f ca="1">IF(NOT(Table_Process_Details[[#This Row],[Display As]]="None"),Table_Process_Details[[#This Row],[X Start Prefilter]],NA())</f>
        <v>-3.6823126540307705</v>
      </c>
      <c r="AO58" s="26">
        <f ca="1">IF(NOT(Table_Process_Details[[#This Row],[Display As]]="None"),Table_Process_Details[[#This Row],[X Guide Prefilter]],NA())</f>
        <v>-1.2088001923033329</v>
      </c>
      <c r="AP58" s="26">
        <f ca="1">IF(NOT(Table_Process_Details[[#This Row],[Display As]]="None"),Table_Process_Details[[#This Row],[X End (to Stop Radius) Prefilter]],NA())</f>
        <v>1.4566302226428014</v>
      </c>
      <c r="AQ58" s="26" t="e">
        <f>NA()</f>
        <v>#N/A</v>
      </c>
      <c r="AR58" s="26" cm="1">
        <f t="array" aca="1" ref="AR58" ca="1">INDEX(Table_Process_Details[Y Mover],MATCH(1,INDEX((Table_Process_Details[Step Name]=Table_Process_Details[[#This Row],[LCA Data Source Subclass]])*(Table_Process_Details[Input or Output]="Output"),0)*(Table_Process_Details[[#This Row],[Input or Output]]="Input"),0))</f>
        <v>-0.26288531328701153</v>
      </c>
      <c r="AS58" s="26" cm="1">
        <f t="array" aca="1" ref="AS58" ca="1">INDEX(Table_Process_Details[Y Mover],MATCH(1,INDEX(((Table_Process_Details[Table Row]=Table_Process_Details[[#This Row],[Table Row]])*(1)),0)*(Table_Process_Details[[#This Row],[Input or Output]]="Input"),0))</f>
        <v>3.6744950109734074</v>
      </c>
      <c r="AT58" s="26" cm="1">
        <f t="array" aca="1" ref="AT58" ca="1">(Table_Process_Details[[#This Row],[Y Guide]]*Arrow_Offset-Table_Process_Details[[#This Row],[Y End (to Node Center)]]*Arrow_Offset+Table_Process_Details[[#This Row],[Y End (to Node Center)]]*Table_Process_Details[[#This Row],[r0]])/Table_Process_Details[[#This Row],[r0]]</f>
        <v>7.2946690607120379</v>
      </c>
      <c r="AU58" s="26">
        <f ca="1">IF(NOT(Table_Process_Details[[#This Row],[Display As]]="None"),Table_Process_Details[[#This Row],[Y Start Prefilter]],NA())</f>
        <v>-0.26288531328701153</v>
      </c>
      <c r="AV58" s="26">
        <f ca="1">IF(NOT(Table_Process_Details[[#This Row],[Display As]]="None"),Table_Process_Details[[#This Row],[Y Guide Prefilter]],NA())</f>
        <v>3.6744950109734074</v>
      </c>
      <c r="AW58" s="26">
        <f ca="1">IF(NOT(Table_Process_Details[[#This Row],[Display As]]="None"),Table_Process_Details[[#This Row],[Y End (to Stop Radius) Prefilter]],NA())</f>
        <v>7.2946690607120379</v>
      </c>
      <c r="AX58" s="26" t="e">
        <f>NA()</f>
        <v>#N/A</v>
      </c>
      <c r="AY58" s="26" t="e">
        <f>IF(Table_Process_Details[[#This Row],[Display As]]="Real Step",Table_Process_Details[[#This Row],[X Mover]],NA())</f>
        <v>#N/A</v>
      </c>
      <c r="AZ58" s="26" t="e">
        <f>IF(Table_Process_Details[[#This Row],[Display As]]="Real Step",Table_Process_Details[[#This Row],[Y Mover]],NA())</f>
        <v>#N/A</v>
      </c>
      <c r="BA58" s="26" t="e">
        <f>IF(Table_Process_Details[[#This Row],[Display As]]="Raw Material",Table_Process_Details[[#This Row],[X Mover]],NA())</f>
        <v>#N/A</v>
      </c>
      <c r="BB58" s="26" t="e">
        <f>IF(Table_Process_Details[[#This Row],[Display As]]="Raw Material",Table_Process_Details[[#This Row],[Y Mover]],NA())</f>
        <v>#N/A</v>
      </c>
      <c r="BC58" s="26" t="e">
        <f>IF(OR(Table_Process_Details[[#This Row],[Display As]]="Real Step",Table_Process_Details[[#This Row],[Display As]]="Raw Material"),Table_Process_Details[[#This Row],[X Mover]],NA())</f>
        <v>#N/A</v>
      </c>
      <c r="BD58" s="26" t="e">
        <f>IF(OR(Table_Process_Details[[#This Row],[Display As]]="Real Step",Table_Process_Details[[#This Row],[Display As]]="Raw Material"),Table_Process_Details[[#This Row],[Y Mover]],NA())</f>
        <v>#N/A</v>
      </c>
      <c r="BE58" s="22">
        <f>ROW()-ROW(Table_Process_Details[[#Headers],[Table Row]])</f>
        <v>54</v>
      </c>
      <c r="BF58" s="23" t="e" cm="1">
        <f t="array" aca="1" ref="BF58" ca="1">INDEX(Table_Process_Details[Display Name],MATCH(0,IF(Table_Process_Details[Input or Output]="Input",INDEX(COUNTIF(OFFSET(Table_Process_Details[[#Headers],[Unique Process Inputs]],0,0,Table_Process_Details[[#This Row],[Table Row]],1),Table_Process_Details[Display Name]),),""),0))</f>
        <v>#N/A</v>
      </c>
      <c r="BG58" s="23">
        <f ca="1">Table_Process_Details[[#This Row],[Physical Mass (kg)]]*Table_Process_Details[[#This Row],[Step Scale Factor for 1kg Packaged API]]</f>
        <v>0.69901025556824192</v>
      </c>
      <c r="BH5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0.99999999999943712</v>
      </c>
      <c r="BI58" s="23">
        <f ca="1">MATCH(Table_Process_Details[[#This Row],[LCA Data Source Class]],INDIRECT(Table_Process_Details[[#This Row],[Input or Output]]),0)</f>
        <v>1</v>
      </c>
      <c r="BJ58" s="23">
        <f ca="1">MATCH(Table_Process_Details[[#This Row],[LCA Data Source Subclass]],INDIRECT(Table_Process_Details[[#This Row],[LCA Data Source Class]]&amp;"[Name]"),0)</f>
        <v>9</v>
      </c>
      <c r="BK58" s="23">
        <f ca="1">IFERROR(INDEX(INDIRECT(Table_Process_Details[[#This Row],[LCA Data Source Class]]&amp;"[Mass Net (kg)]"),MATCH(Table_Process_Details[[#This Row],[LCA Data Source Subclass]],INDIRECT(Table_Process_Details[[#This Row],[LCA Data Source Class]]&amp;"[Name]"),0)),0)</f>
        <v>0</v>
      </c>
      <c r="BL58" s="23">
        <f ca="1">IFERROR(INDEX(INDIRECT(Table_Process_Details[[#This Row],[LCA Data Source Class]]&amp;"[Energy (MJ)]"),MATCH(Table_Process_Details[[#This Row],[LCA Data Source Subclass]],INDIRECT(Table_Process_Details[[#This Row],[LCA Data Source Class]]&amp;"[Name]"),0)),0)</f>
        <v>0</v>
      </c>
      <c r="BM58" s="23">
        <f ca="1">IFERROR(INDEX(INDIRECT(Table_Process_Details[[#This Row],[LCA Data Source Class]]&amp;"[GWP (kg CO2 equiv.)]"),MATCH(Table_Process_Details[[#This Row],[LCA Data Source Subclass]],INDIRECT(Table_Process_Details[[#This Row],[LCA Data Source Class]]&amp;"[Name]"),0)),0)</f>
        <v>0</v>
      </c>
      <c r="BN58" s="23">
        <f ca="1">IFERROR(INDEX(INDIRECT(Table_Process_Details[[#This Row],[LCA Data Source Class]]&amp;"[Acidification (kg SO2 equiv.)]"),MATCH(Table_Process_Details[[#This Row],[LCA Data Source Subclass]],INDIRECT(Table_Process_Details[[#This Row],[LCA Data Source Class]]&amp;"[Name]"),0)),0)</f>
        <v>0</v>
      </c>
      <c r="BO58" s="23">
        <f ca="1">IFERROR(INDEX(INDIRECT(Table_Process_Details[[#This Row],[LCA Data Source Class]]&amp;"[Eutrophication (kg posphate equiv.)]"),MATCH(Table_Process_Details[[#This Row],[LCA Data Source Subclass]],INDIRECT(Table_Process_Details[[#This Row],[LCA Data Source Class]]&amp;"[Name]"),0)),0)</f>
        <v>0</v>
      </c>
      <c r="BP58" s="23">
        <f ca="1">IFERROR(INDEX(INDIRECT(Table_Process_Details[[#This Row],[LCA Data Source Class]]&amp;"[Water (kg)]"),MATCH(Table_Process_Details[[#This Row],[LCA Data Source Subclass]],INDIRECT(Table_Process_Details[[#This Row],[LCA Data Source Class]]&amp;"[Name]"),0)),0)</f>
        <v>0</v>
      </c>
      <c r="BQ58" s="27">
        <f ca="1">(Table_Process_Details[[#This Row],[Input or Output]]="Input")*(Table_Process_Details[[#This Row],[LCA Data Source Class]]&lt;&gt;"Process_Steps")*Table_Process_Details[[#This Row],[Scaled Physical Mass per kg API for All Inputs &amp; Outputs]]</f>
        <v>0</v>
      </c>
      <c r="BR58" s="27">
        <f ca="1">(Table_Process_Details[[#This Row],[Material Class]]="REAGENT")*Table_Process_Details[[#This Row],[Physical Mass per kg API]]</f>
        <v>0</v>
      </c>
      <c r="BS58" s="27">
        <f ca="1">(Table_Process_Details[[#This Row],[Material Class]]="METAL")*Table_Process_Details[[#This Row],[Physical Mass per kg API]]</f>
        <v>0</v>
      </c>
      <c r="BT58" s="27">
        <f ca="1">(Table_Process_Details[[#This Row],[Material Class]]="SOLVENT")*Table_Process_Details[[#This Row],[Physical Mass per kg API]]</f>
        <v>0</v>
      </c>
      <c r="BU58" s="27">
        <f ca="1">(Table_Process_Details[[#This Row],[Material Class]]="WATER")*Table_Process_Details[[#This Row],[Physical Mass per kg API]]</f>
        <v>0</v>
      </c>
      <c r="BV58" s="27">
        <f ca="1">(Table_Process_Details[[#This Row],[Material Class]]="ENZ&amp;PLNT")*Table_Process_Details[[#This Row],[Physical Mass per kg API]]</f>
        <v>0</v>
      </c>
      <c r="BW58" s="27">
        <f ca="1">(Table_Process_Details[[#This Row],[Material Class]]="OTHER")*Table_Process_Details[[#This Row],[Physical Mass per kg API]]</f>
        <v>0</v>
      </c>
      <c r="BX5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0.69901025556824192</v>
      </c>
      <c r="BY5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0.19063916060952052</v>
      </c>
      <c r="BZ5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0.50837109495872146</v>
      </c>
      <c r="CC5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8" s="1">
        <f ca="1">SUMIFS(Table_Process_Details[RV Physical Mass per kg API],Table_Process_Details[Display Name],Table_Process_Details[[#This Row],[Unique Process Inputs]],Table_Process_Details[Input or Output],"Input")</f>
        <v>0</v>
      </c>
      <c r="CF58" s="1">
        <f ca="1">SUMIFS(Table_Process_Details[RV Physical Mass per kg API (REAGENT)],Table_Process_Details[Display Name],Table_Process_Details[[#This Row],[Unique Process Inputs]],Table_Process_Details[Input or Output],"Input")</f>
        <v>0</v>
      </c>
      <c r="CG58" s="1">
        <f ca="1">SUMIFS(Table_Process_Details[RV Physical Mass per kg API (METAL)],Table_Process_Details[Display Name],Table_Process_Details[[#This Row],[Unique Process Inputs]],Table_Process_Details[Input or Output],"Input")</f>
        <v>0</v>
      </c>
      <c r="CH58" s="1">
        <f ca="1">SUMIFS(Table_Process_Details[RV Physical Mass per kg API (SOLVENT)],Table_Process_Details[Display Name],Table_Process_Details[[#This Row],[Unique Process Inputs]],Table_Process_Details[Input or Output],"Input")</f>
        <v>0</v>
      </c>
      <c r="CI58" s="1">
        <f ca="1">SUMIFS(Table_Process_Details[RV Physical Mass per kg API (WATER)],Table_Process_Details[Display Name],Table_Process_Details[[#This Row],[Unique Process Inputs]],Table_Process_Details[Input or Output],"Input")</f>
        <v>0</v>
      </c>
      <c r="CJ58" s="1">
        <f ca="1">SUMIFS(Table_Process_Details[RV Physical Mass per kg API (ENZ&amp;PLNT)],Table_Process_Details[Display Name],Table_Process_Details[[#This Row],[Unique Process Inputs]],Table_Process_Details[Input or Output],"Input")</f>
        <v>0</v>
      </c>
      <c r="CK58" s="1">
        <f ca="1">SUMIFS(Table_Process_Details[RV Physical Mass per kg API (OTHER)],Table_Process_Details[Display Name],Table_Process_Details[[#This Row],[Unique Process Inputs]],Table_Process_Details[Input or Output],"Input")</f>
        <v>0</v>
      </c>
      <c r="CL58" s="22" t="e">
        <f ca="1">INDEX(Table_Process_Details[Unique Process Inputs],MATCH(Table_Process_Details[[#This Row],['[Physical Mass per kg API'] of Unique Inputs Sorted by '[Physical Mass per kg API']]],Table_Process_Details[Total '[Physical Mass per kg API'] of Unique Inputs],0))</f>
        <v>#N/A</v>
      </c>
      <c r="CM58" s="22" t="e">
        <f ca="1">IF(LARGE(Table_Process_Details[Total '[Physical Mass per kg API'] of Unique Inputs],Table_Process_Details[[#This Row],[Table Row]])=0,NA(),LARGE(Table_Process_Details[Total '[Physical Mass per kg API'] of Unique Inputs],Table_Process_Details[[#This Row],[Table Row]]))</f>
        <v>#N/A</v>
      </c>
      <c r="CN58" s="22" t="e">
        <f ca="1">SUM(OFFSET(Table_Process_Details['[Physical Mass per kg API'] of Unique Inputs Sorted by '[Physical Mass per kg API']],0,0,Table_Process_Details[[#This Row],[Table Row]]))</f>
        <v>#N/A</v>
      </c>
      <c r="CO58" s="22" t="e">
        <f ca="1">"("&amp;TEXT(Table_Process_Details[[#This Row],['[Physical Mass per kg API'] of Unique Inputs Sorted by '[Physical Mass per kg API']]]/SUMIF(Table_Process_Details['[Physical Mass per kg API'] of Unique Inputs Sorted by '[Physical Mass per kg API']],"&lt;&gt;#N/A"),"0%")&amp;")"</f>
        <v>#N/A</v>
      </c>
      <c r="CP58" s="22" t="e">
        <f ca="1">INDEX(Table_Process_Details[Total '[Physical Mass per kg API'] of Unique Inputs (REAGENT)],MATCH(Table_Process_Details[[#This Row],[Unique Inputs Sorted by '[Physical Mass per kg API']]],Table_Process_Details[Unique Process Inputs],0))</f>
        <v>#N/A</v>
      </c>
      <c r="CQ58" s="22" t="e">
        <f ca="1">INDEX(Table_Process_Details[Total '[Physical Mass per kg API'] of Unique Inputs (METAL)],MATCH(Table_Process_Details[[#This Row],[Unique Inputs Sorted by '[Physical Mass per kg API']]],Table_Process_Details[Unique Process Inputs],0))</f>
        <v>#N/A</v>
      </c>
      <c r="CR58" s="22" t="e">
        <f ca="1">INDEX(Table_Process_Details[Total '[Physical Mass per kg API'] of Unique Inputs (SOLVENT)],MATCH(Table_Process_Details[[#This Row],[Unique Inputs Sorted by '[Physical Mass per kg API']]],Table_Process_Details[Unique Process Inputs],0))</f>
        <v>#N/A</v>
      </c>
      <c r="CS58" s="22" t="e">
        <f ca="1">INDEX(Table_Process_Details[Total '[Physical Mass per kg API'] of Unique Inputs (WATER)],MATCH(Table_Process_Details[[#This Row],[Unique Inputs Sorted by '[Physical Mass per kg API']]],Table_Process_Details[Unique Process Inputs],0))</f>
        <v>#N/A</v>
      </c>
      <c r="CT58" s="22" t="e">
        <f ca="1">INDEX(Table_Process_Details[Total '[Physical Mass per kg API'] of Unique Inputs (ENZ&amp;PLNT)],MATCH(Table_Process_Details[[#This Row],[Unique Inputs Sorted by '[Physical Mass per kg API']]],Table_Process_Details[Unique Process Inputs],0))</f>
        <v>#N/A</v>
      </c>
      <c r="CU58" s="22" t="e">
        <f ca="1">INDEX(Table_Process_Details[Total '[Physical Mass per kg API'] of Unique Inputs (OTHER)],MATCH(Table_Process_Details[[#This Row],[Unique Inputs Sorted by '[Physical Mass per kg API']]],Table_Process_Details[Unique Process Inputs],0))</f>
        <v>#N/A</v>
      </c>
      <c r="CV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0.25623441786289586</v>
      </c>
      <c r="CW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0.25545647521675752</v>
      </c>
      <c r="CX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7.779426461383363E-4</v>
      </c>
      <c r="DA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8" s="22">
        <f ca="1">SUMIFS(Table_Process_Details[RV Mass Net (kg) per kg API],Table_Process_Details[Display Name],Table_Process_Details[[#This Row],[Unique Process Inputs]],Table_Process_Details[Input or Output],"Input")</f>
        <v>0</v>
      </c>
      <c r="DD58" s="22">
        <f ca="1">SUMIFS(Table_Process_Details[RV Mass Net (kg) per kg API (REAGENT)],Table_Process_Details[Display Name],Table_Process_Details[[#This Row],[Unique Process Inputs]],Table_Process_Details[Input or Output],"Input")</f>
        <v>0</v>
      </c>
      <c r="DE58" s="22">
        <f ca="1">SUMIFS(Table_Process_Details[RV Mass Net (kg) per kg API (METAL)],Table_Process_Details[Display Name],Table_Process_Details[[#This Row],[Unique Process Inputs]],Table_Process_Details[Input or Output],"Input")</f>
        <v>0</v>
      </c>
      <c r="DF58" s="22">
        <f ca="1">SUMIFS(Table_Process_Details[RV Mass Net (kg) per kg API (SOLVENT)],Table_Process_Details[Display Name],Table_Process_Details[[#This Row],[Unique Process Inputs]],Table_Process_Details[Input or Output],"Input")</f>
        <v>0</v>
      </c>
      <c r="DG58" s="22">
        <f ca="1">SUMIFS(Table_Process_Details[RV Mass Net (kg) per kg API (WATER)],Table_Process_Details[Display Name],Table_Process_Details[[#This Row],[Unique Process Inputs]],Table_Process_Details[Input or Output],"Input")</f>
        <v>0</v>
      </c>
      <c r="DH58" s="22">
        <f ca="1">SUMIFS(Table_Process_Details[RV Mass Net (kg) per kg API (ENZ&amp;PLNT)],Table_Process_Details[Display Name],Table_Process_Details[[#This Row],[Unique Process Inputs]],Table_Process_Details[Input or Output],"Input")</f>
        <v>0</v>
      </c>
      <c r="DI58" s="22">
        <f ca="1">SUMIFS(Table_Process_Details[RV Mass Net (kg) per kg API (OTHER)],Table_Process_Details[Display Name],Table_Process_Details[[#This Row],[Unique Process Inputs]],Table_Process_Details[Input or Output],"Input")</f>
        <v>0</v>
      </c>
      <c r="DJ58" s="22" t="e">
        <f ca="1">INDEX(Table_Process_Details[Unique Process Inputs],MATCH(Table_Process_Details[[#This Row],['[Mass Net (kg) per kg API'] of Unique Inputs Sorted by '[Mass Net (kg) per kg API']]],Table_Process_Details[Total '[Mass Net (kg) per kg API'] of Unique Inputs],0))</f>
        <v>#N/A</v>
      </c>
      <c r="DK58" s="22" t="e">
        <f ca="1">IF(LARGE(Table_Process_Details[Total '[Mass Net (kg) per kg API'] of Unique Inputs],Table_Process_Details[[#This Row],[Table Row]])=0,NA(),LARGE(Table_Process_Details[Total '[Mass Net (kg) per kg API'] of Unique Inputs],Table_Process_Details[[#This Row],[Table Row]]))</f>
        <v>#N/A</v>
      </c>
      <c r="DL58" s="22" t="e">
        <f ca="1">SUM(OFFSET(Table_Process_Details['[Mass Net (kg) per kg API'] of Unique Inputs Sorted by '[Mass Net (kg) per kg API']],0,0,Table_Process_Details[[#This Row],[Table Row]]))</f>
        <v>#N/A</v>
      </c>
      <c r="DM58" s="22" t="e">
        <f ca="1">"("&amp;TEXT(Table_Process_Details[[#This Row],['[Mass Net (kg) per kg API'] of Unique Inputs Sorted by '[Mass Net (kg) per kg API']]]/SUMIF(Table_Process_Details['[Mass Net (kg) per kg API'] of Unique Inputs Sorted by '[Mass Net (kg) per kg API']],"&lt;&gt;#N/A"),"0%")&amp;")"</f>
        <v>#N/A</v>
      </c>
      <c r="DN58" s="22" t="e">
        <f ca="1">INDEX(Table_Process_Details[Total '[Mass Net (kg) per kg API'] of Unique Inputs (REAGENT)], MATCH(Table_Process_Details[[#This Row],[Unique Inputs Sorted by '[Mass Net (kg) per kg API']]],Table_Process_Details[Unique Process Inputs],0))</f>
        <v>#N/A</v>
      </c>
      <c r="DO58" s="22" t="e">
        <f ca="1">INDEX(Table_Process_Details[Total '[Mass Net (kg) per kg API'] of Unique Inputs (METAL)], MATCH(Table_Process_Details[[#This Row],[Unique Inputs Sorted by '[Mass Net (kg) per kg API']]],Table_Process_Details[Unique Process Inputs],0))</f>
        <v>#N/A</v>
      </c>
      <c r="DP58" s="22" t="e">
        <f ca="1">INDEX(Table_Process_Details[Total '[Mass Net (kg) per kg API'] of Unique Inputs (SOLVENT)], MATCH(Table_Process_Details[[#This Row],[Unique Inputs Sorted by '[Mass Net (kg) per kg API']]],Table_Process_Details[Unique Process Inputs],0))</f>
        <v>#N/A</v>
      </c>
      <c r="DQ58" s="22" t="e">
        <f ca="1">INDEX(Table_Process_Details[Total '[Mass Net (kg) per kg API'] of Unique Inputs (WATER)], MATCH(Table_Process_Details[[#This Row],[Unique Inputs Sorted by '[Mass Net (kg) per kg API']]],Table_Process_Details[Unique Process Inputs],0))</f>
        <v>#N/A</v>
      </c>
      <c r="DR58" s="22" t="e">
        <f ca="1">INDEX(Table_Process_Details[Total '[Mass Net (kg) per kg API'] of Unique Inputs (ENZ&amp;PLNT)], MATCH(Table_Process_Details[[#This Row],[Unique Inputs Sorted by '[Mass Net (kg) per kg API']]],Table_Process_Details[Unique Process Inputs],0))</f>
        <v>#N/A</v>
      </c>
      <c r="DS58" s="22" t="e">
        <f ca="1">INDEX(Table_Process_Details[Total '[Mass Net (kg) per kg API'] of Unique Inputs (OTHER)], MATCH(Table_Process_Details[[#This Row],[Unique Inputs Sorted by '[Mass Net (kg) per kg API']]],Table_Process_Details[Unique Process Inputs],0))</f>
        <v>#N/A</v>
      </c>
      <c r="DT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2.0361829112141767</v>
      </c>
      <c r="DU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2.0264942772792032</v>
      </c>
      <c r="DV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9.6886339349735451E-3</v>
      </c>
      <c r="DY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8" s="1">
        <f ca="1">SUMIFS(Table_Process_Details[RV Energy (MJ) per kg API],Table_Process_Details[Display Name],Table_Process_Details[[#This Row],[Unique Process Inputs]],Table_Process_Details[Input or Output],"Input")</f>
        <v>0</v>
      </c>
      <c r="EB58" s="1">
        <f ca="1">SUMIFS(Table_Process_Details[RV Energy (MJ) per kg API (REAGENT)],Table_Process_Details[Display Name],Table_Process_Details[[#This Row],[Unique Process Inputs]],Table_Process_Details[Input or Output],"Input")</f>
        <v>0</v>
      </c>
      <c r="EC58" s="1">
        <f ca="1">SUMIFS(Table_Process_Details[RV Energy (MJ) per kg API (METAL)],Table_Process_Details[Display Name],Table_Process_Details[[#This Row],[Unique Process Inputs]],Table_Process_Details[Input or Output],"Input")</f>
        <v>0</v>
      </c>
      <c r="ED58" s="1">
        <f ca="1">SUMIFS(Table_Process_Details[RV Energy (MJ) per kg API (SOLVENT)],Table_Process_Details[Display Name],Table_Process_Details[[#This Row],[Unique Process Inputs]],Table_Process_Details[Input or Output],"Input")</f>
        <v>0</v>
      </c>
      <c r="EE58" s="1">
        <f ca="1">SUMIFS(Table_Process_Details[RV Energy (MJ) per kg API (WATER)],Table_Process_Details[Display Name],Table_Process_Details[[#This Row],[Unique Process Inputs]],Table_Process_Details[Input or Output],"Input")</f>
        <v>0</v>
      </c>
      <c r="EF58" s="1">
        <f ca="1">SUMIFS(Table_Process_Details[RV Energy (MJ) per kg API (ENZ&amp;PLNT)],Table_Process_Details[Display Name],Table_Process_Details[[#This Row],[Unique Process Inputs]],Table_Process_Details[Input or Output],"Input")</f>
        <v>0</v>
      </c>
      <c r="EG58" s="1">
        <f ca="1">SUMIFS(Table_Process_Details[RV Energy (MJ) per kg API (OTHER)],Table_Process_Details[Display Name],Table_Process_Details[[#This Row],[Unique Process Inputs]],Table_Process_Details[Input or Output],"Input")</f>
        <v>0</v>
      </c>
      <c r="EH58" s="1" t="e">
        <f ca="1">INDEX(Table_Process_Details[Unique Process Inputs],MATCH(Table_Process_Details[[#This Row],['[Energy (MJ) per kg API'] of Unique Inputs Sorted by '[Energy (MJ) per kg API']]],Table_Process_Details[Total '[Energy (MJ) per kg API'] of Unique Inputs],0))</f>
        <v>#N/A</v>
      </c>
      <c r="EI58" s="22" t="e">
        <f ca="1">IF(LARGE(Table_Process_Details[Total '[Energy (MJ) per kg API'] of Unique Inputs],Table_Process_Details[[#This Row],[Table Row]])=0,NA(),LARGE(Table_Process_Details[Total '[Energy (MJ) per kg API'] of Unique Inputs],Table_Process_Details[[#This Row],[Table Row]]))</f>
        <v>#N/A</v>
      </c>
      <c r="EJ58" s="22" t="e">
        <f ca="1">SUM(OFFSET(Table_Process_Details['[Energy (MJ) per kg API'] of Unique Inputs Sorted by '[Energy (MJ) per kg API']],0,0,Table_Process_Details[[#This Row],[Table Row]]))</f>
        <v>#N/A</v>
      </c>
      <c r="EK58" s="22" t="e">
        <f ca="1">"("&amp;TEXT(Table_Process_Details[[#This Row],['[Energy (MJ) per kg API'] of Unique Inputs Sorted by '[Energy (MJ) per kg API']]]/SUMIF(Table_Process_Details['[Energy (MJ) per kg API'] of Unique Inputs Sorted by '[Energy (MJ) per kg API']],"&lt;&gt;#N/A"),"0%")&amp;")"</f>
        <v>#N/A</v>
      </c>
      <c r="EL58" s="22" t="e">
        <f ca="1">INDEX(Table_Process_Details[Total '[Energy (MJ) per kg API'] of Unique Inputs (REAGENT)], MATCH(Table_Process_Details[[#This Row],[Unique Inputs Sorted by '[Energy (MJ) per kg API']]],Table_Process_Details[Unique Process Inputs],0))</f>
        <v>#N/A</v>
      </c>
      <c r="EM58" s="22" t="e">
        <f ca="1">INDEX(Table_Process_Details[Total '[Energy (MJ) per kg API'] of Unique Inputs (METAL)], MATCH(Table_Process_Details[[#This Row],[Unique Inputs Sorted by '[Energy (MJ) per kg API']]],Table_Process_Details[Unique Process Inputs],0))</f>
        <v>#N/A</v>
      </c>
      <c r="EN58" s="22" t="e">
        <f ca="1">INDEX(Table_Process_Details[Total '[Energy (MJ) per kg API'] of Unique Inputs (SOLVENT)], MATCH(Table_Process_Details[[#This Row],[Unique Inputs Sorted by '[Energy (MJ) per kg API']]],Table_Process_Details[Unique Process Inputs],0))</f>
        <v>#N/A</v>
      </c>
      <c r="EO58" s="22" t="e">
        <f ca="1">INDEX(Table_Process_Details[Total '[Energy (MJ) per kg API'] of Unique Inputs (WATER)], MATCH(Table_Process_Details[[#This Row],[Unique Inputs Sorted by '[Energy (MJ) per kg API']]],Table_Process_Details[Unique Process Inputs],0))</f>
        <v>#N/A</v>
      </c>
      <c r="EP58" s="22" t="e">
        <f ca="1">INDEX(Table_Process_Details[Total '[Energy (MJ) per kg API'] of Unique Inputs (ENZ&amp;PLNT)], MATCH(Table_Process_Details[[#This Row],[Unique Inputs Sorted by '[Energy (MJ) per kg API']]],Table_Process_Details[Unique Process Inputs],0))</f>
        <v>#N/A</v>
      </c>
      <c r="EQ58" s="22" t="e">
        <f ca="1">INDEX(Table_Process_Details[Total '[Energy (MJ) per kg API'] of Unique Inputs (OTHER)], MATCH(Table_Process_Details[[#This Row],[Unique Inputs Sorted by '[Energy (MJ) per kg API']]],Table_Process_Details[Unique Process Inputs],0))</f>
        <v>#N/A</v>
      </c>
      <c r="ER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0.26462786698116531</v>
      </c>
      <c r="ES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0.26411149310842974</v>
      </c>
      <c r="ET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5.1637387273556165E-4</v>
      </c>
      <c r="EW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8" s="22">
        <f ca="1">SUMIFS(Table_Process_Details[RV GWP (kg CO2 equiv.) per kg API],Table_Process_Details[Display Name],Table_Process_Details[[#This Row],[Unique Process Inputs]],Table_Process_Details[Input or Output],"Input")</f>
        <v>0</v>
      </c>
      <c r="EZ58" s="1">
        <f ca="1">SUMIFS(Table_Process_Details[RV GWP (kg CO2 equiv.) per kg API (REAGENT)],Table_Process_Details[Display Name],Table_Process_Details[[#This Row],[Unique Process Inputs]],Table_Process_Details[Input or Output],"Input")</f>
        <v>0</v>
      </c>
      <c r="FA58" s="1">
        <f ca="1">SUMIFS(Table_Process_Details[RV GWP (kg CO2 equiv.) per kg API (METAL)],Table_Process_Details[Display Name],Table_Process_Details[[#This Row],[Unique Process Inputs]],Table_Process_Details[Input or Output],"Input")</f>
        <v>0</v>
      </c>
      <c r="FB58" s="1">
        <f ca="1">SUMIFS(Table_Process_Details[RV GWP (kg CO2 equiv.) per kg API (SOLVENT)],Table_Process_Details[Display Name],Table_Process_Details[[#This Row],[Unique Process Inputs]],Table_Process_Details[Input or Output],"Input")</f>
        <v>0</v>
      </c>
      <c r="FC58" s="1">
        <f ca="1">SUMIFS(Table_Process_Details[RV GWP (kg CO2 equiv.) per kg API (WATER)],Table_Process_Details[Display Name],Table_Process_Details[[#This Row],[Unique Process Inputs]],Table_Process_Details[Input or Output],"Input")</f>
        <v>0</v>
      </c>
      <c r="FD58" s="1">
        <f ca="1">SUMIFS(Table_Process_Details[RV GWP (kg CO2 equiv.) per kg API (ENZ&amp;PLNT)],Table_Process_Details[Display Name],Table_Process_Details[[#This Row],[Unique Process Inputs]],Table_Process_Details[Input or Output],"Input")</f>
        <v>0</v>
      </c>
      <c r="FE58" s="1">
        <f ca="1">SUMIFS(Table_Process_Details[RV GWP (kg CO2 equiv.) per kg API (OTHER)],Table_Process_Details[Display Name],Table_Process_Details[[#This Row],[Unique Process Inputs]],Table_Process_Details[Input or Output],"Input")</f>
        <v>0</v>
      </c>
      <c r="FF58" s="22" t="e">
        <f ca="1">INDEX(Table_Process_Details[Unique Process Inputs],MATCH(Table_Process_Details[[#This Row],['[GWP (kg CO2 equiv.) per kg API'] of Unique Inputs Sorted by '[GWP (kg CO2 equiv.) per kg API']]],Table_Process_Details[Total '[GWP (kg CO2 equiv.) per kg API'] of Unique Inputs],0))</f>
        <v>#N/A</v>
      </c>
      <c r="FG58" s="22" t="e">
        <f ca="1">IF(LARGE(Table_Process_Details[Total '[GWP (kg CO2 equiv.) per kg API'] of Unique Inputs],Table_Process_Details[[#This Row],[Table Row]])=0,NA(),LARGE(Table_Process_Details[Total '[GWP (kg CO2 equiv.) per kg API'] of Unique Inputs],Table_Process_Details[[#This Row],[Table Row]]))</f>
        <v>#N/A</v>
      </c>
      <c r="FH58" s="22" t="e">
        <f ca="1">SUM(OFFSET(Table_Process_Details['[GWP (kg CO2 equiv.) per kg API'] of Unique Inputs Sorted by '[GWP (kg CO2 equiv.) per kg API']],0,0,Table_Process_Details[[#This Row],[Table Row]]))</f>
        <v>#N/A</v>
      </c>
      <c r="FI58" s="22" t="e">
        <f ca="1">"("&amp;TEXT(Table_Process_Details[[#This Row],['[GWP (kg CO2 equiv.) per kg API'] of Unique Inputs Sorted by '[GWP (kg CO2 equiv.) per kg API']]]/SUMIF(Table_Process_Details['[GWP (kg CO2 equiv.) per kg API'] of Unique Inputs Sorted by '[GWP (kg CO2 equiv.) per kg API']],"&lt;&gt;#N/A"),"0%")&amp;")"</f>
        <v>#N/A</v>
      </c>
      <c r="FJ58" s="22" t="e">
        <f ca="1">INDEX(Table_Process_Details[Total '[GWP (kg CO2 equiv.) per kg API'] of Unique Inputs (REAGENT)], MATCH(Table_Process_Details[[#This Row],[Unique Inputs Sorted by '[GWP (kg CO2 equiv.) per kg API']]],Table_Process_Details[Unique Process Inputs],0))</f>
        <v>#N/A</v>
      </c>
      <c r="FK58" s="22" t="e">
        <f ca="1">INDEX(Table_Process_Details[Total '[GWP (kg CO2 equiv.) per kg API'] of Unique Inputs (METAL)], MATCH(Table_Process_Details[[#This Row],[Unique Inputs Sorted by '[GWP (kg CO2 equiv.) per kg API']]],Table_Process_Details[Unique Process Inputs],0))</f>
        <v>#N/A</v>
      </c>
      <c r="FL58" s="22" t="e">
        <f ca="1">INDEX(Table_Process_Details[Total '[GWP (kg CO2 equiv.) per kg API'] of Unique Inputs (SOLVENT)], MATCH(Table_Process_Details[[#This Row],[Unique Inputs Sorted by '[GWP (kg CO2 equiv.) per kg API']]],Table_Process_Details[Unique Process Inputs],0))</f>
        <v>#N/A</v>
      </c>
      <c r="FM58" s="22" t="e">
        <f ca="1">INDEX(Table_Process_Details[Total '[GWP (kg CO2 equiv.) per kg API'] of Unique Inputs (WATER)], MATCH(Table_Process_Details[[#This Row],[Unique Inputs Sorted by '[GWP (kg CO2 equiv.) per kg API']]],Table_Process_Details[Unique Process Inputs],0))</f>
        <v>#N/A</v>
      </c>
      <c r="FN58" s="22" t="e">
        <f ca="1">INDEX(Table_Process_Details[Total '[GWP (kg CO2 equiv.) per kg API'] of Unique Inputs (ENZ&amp;PLNT)], MATCH(Table_Process_Details[[#This Row],[Unique Inputs Sorted by '[GWP (kg CO2 equiv.) per kg API']]],Table_Process_Details[Unique Process Inputs],0))</f>
        <v>#N/A</v>
      </c>
      <c r="FO58" s="22" t="e">
        <f ca="1">INDEX(Table_Process_Details[Total '[GWP (kg CO2 equiv.) per kg API'] of Unique Inputs (OTHER)], MATCH(Table_Process_Details[[#This Row],[Unique Inputs Sorted by '[GWP (kg CO2 equiv.) per kg API']]],Table_Process_Details[Unique Process Inputs],0))</f>
        <v>#N/A</v>
      </c>
      <c r="FP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2.6518626255442458E-3</v>
      </c>
      <c r="FQ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2.6498843324723352E-3</v>
      </c>
      <c r="FR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1.9782930719106919E-6</v>
      </c>
      <c r="FU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8" s="22">
        <f ca="1">SUMIFS(Table_Process_Details[RV Acidification (kg SO2 equiv.) per kg API],Table_Process_Details[Display Name],Table_Process_Details[[#This Row],[Unique Process Inputs]],Table_Process_Details[Input or Output],"Input")</f>
        <v>0</v>
      </c>
      <c r="FX58" s="1">
        <f ca="1">SUMIFS(Table_Process_Details[RV Acidification (kg SO2 equiv.) per kg API (REAGENT)],Table_Process_Details[Display Name],Table_Process_Details[[#This Row],[Unique Process Inputs]],Table_Process_Details[Input or Output],"Input")</f>
        <v>0</v>
      </c>
      <c r="FY58" s="1">
        <f ca="1">SUMIFS(Table_Process_Details[RV Acidification (kg SO2 equiv.) per kg API (METAL)],Table_Process_Details[Display Name],Table_Process_Details[[#This Row],[Unique Process Inputs]],Table_Process_Details[Input or Output],"Input")</f>
        <v>0</v>
      </c>
      <c r="FZ58" s="1">
        <f ca="1">SUMIFS(Table_Process_Details[RV Acidification (kg SO2 equiv.) per kg API (SOLVENT)],Table_Process_Details[Display Name],Table_Process_Details[[#This Row],[Unique Process Inputs]],Table_Process_Details[Input or Output],"Input")</f>
        <v>0</v>
      </c>
      <c r="GA58" s="1">
        <f ca="1">SUMIFS(Table_Process_Details[RV Acidification (kg SO2 equiv.) per kg API (WATER)],Table_Process_Details[Display Name],Table_Process_Details[[#This Row],[Unique Process Inputs]],Table_Process_Details[Input or Output],"Input")</f>
        <v>0</v>
      </c>
      <c r="GB58" s="1">
        <f ca="1">SUMIFS(Table_Process_Details[RV Acidification (kg SO2 equiv.) per kg API (ENZ&amp;PLNT)],Table_Process_Details[Display Name],Table_Process_Details[[#This Row],[Unique Process Inputs]],Table_Process_Details[Input or Output],"Input")</f>
        <v>0</v>
      </c>
      <c r="GC58" s="1">
        <f ca="1">SUMIFS(Table_Process_Details[RV Acidification (kg SO2 equiv.) per kg API (OTHER)],Table_Process_Details[Display Name],Table_Process_Details[[#This Row],[Unique Process Inputs]],Table_Process_Details[Input or Output],"Input")</f>
        <v>0</v>
      </c>
      <c r="GD5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8" s="22" t="e">
        <f ca="1">SUM(OFFSET(Table_Process_Details['[Acidification (kg SO2 equiv.) per kg API'] of Unique Inputs Sorted by '[Acidification (kg SO2 equiv.) per kg API']],0,0,Table_Process_Details[[#This Row],[Table Row]]))</f>
        <v>#N/A</v>
      </c>
      <c r="GG5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8" s="22" t="e">
        <f ca="1">INDEX(Table_Process_Details[Total '[Acidification (kg SO2 equiv.) per kg API'] of Unique Inputs (REAGENT)], MATCH(Table_Process_Details[[#This Row],[Unique Inputs Sorted by '[Acidification (kg SO2 equiv.) per kg API']]],Table_Process_Details[Unique Process Inputs],0))</f>
        <v>#N/A</v>
      </c>
      <c r="GI58" s="22" t="e">
        <f ca="1">INDEX(Table_Process_Details[Total '[Acidification (kg SO2 equiv.) per kg API'] of Unique Inputs (METAL)], MATCH(Table_Process_Details[[#This Row],[Unique Inputs Sorted by '[Acidification (kg SO2 equiv.) per kg API']]],Table_Process_Details[Unique Process Inputs],0))</f>
        <v>#N/A</v>
      </c>
      <c r="GJ58" s="22" t="e">
        <f ca="1">INDEX(Table_Process_Details[Total '[Acidification (kg SO2 equiv.) per kg API'] of Unique Inputs (SOLVENT)], MATCH(Table_Process_Details[[#This Row],[Unique Inputs Sorted by '[Acidification (kg SO2 equiv.) per kg API']]],Table_Process_Details[Unique Process Inputs],0))</f>
        <v>#N/A</v>
      </c>
      <c r="GK58" s="22" t="e">
        <f ca="1">INDEX(Table_Process_Details[Total '[Acidification (kg SO2 equiv.) per kg API'] of Unique Inputs (WATER)], MATCH(Table_Process_Details[[#This Row],[Unique Inputs Sorted by '[Acidification (kg SO2 equiv.) per kg API']]],Table_Process_Details[Unique Process Inputs],0))</f>
        <v>#N/A</v>
      </c>
      <c r="GL58" s="22" t="e">
        <f ca="1">INDEX(Table_Process_Details[Total '[Acidification (kg SO2 equiv.) per kg API'] of Unique Inputs (ENZ&amp;PLNT)], MATCH(Table_Process_Details[[#This Row],[Unique Inputs Sorted by '[Acidification (kg SO2 equiv.) per kg API']]],Table_Process_Details[Unique Process Inputs],0))</f>
        <v>#N/A</v>
      </c>
      <c r="GM58" s="22" t="e">
        <f ca="1">INDEX(Table_Process_Details[Total '[Acidification (kg SO2 equiv.) per kg API'] of Unique Inputs (OTHER)], MATCH(Table_Process_Details[[#This Row],[Unique Inputs Sorted by '[Acidification (kg SO2 equiv.) per kg API']]],Table_Process_Details[Unique Process Inputs],0))</f>
        <v>#N/A</v>
      </c>
      <c r="GN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1.3462590274284216E-4</v>
      </c>
      <c r="GO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1.3344741242666438E-4</v>
      </c>
      <c r="GP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1.1784903161778022E-6</v>
      </c>
      <c r="GS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8" s="22">
        <f ca="1">SUMIFS(Table_Process_Details[RV Eutrophication (kg phosphate equiv.) per kg API],Table_Process_Details[Display Name],Table_Process_Details[[#This Row],[Unique Process Inputs]],Table_Process_Details[Input or Output],"Input")</f>
        <v>0</v>
      </c>
      <c r="GV58" s="1">
        <f ca="1">SUMIFS(Table_Process_Details[RV Eutrophication (kg phosphate equiv.) per kg API (REAGENT)],Table_Process_Details[Display Name],Table_Process_Details[[#This Row],[Unique Process Inputs]],Table_Process_Details[Input or Output],"Input")</f>
        <v>0</v>
      </c>
      <c r="GW58" s="1">
        <f ca="1">SUMIFS(Table_Process_Details[RV Eutrophication (kg phosphate equiv.) per kg API (METAL)],Table_Process_Details[Display Name],Table_Process_Details[[#This Row],[Unique Process Inputs]],Table_Process_Details[Input or Output],"Input")</f>
        <v>0</v>
      </c>
      <c r="GX58" s="1">
        <f ca="1">SUMIFS(Table_Process_Details[RV Eutrophication (kg phosphate equiv.) per kg API (SOLVENT)],Table_Process_Details[Display Name],Table_Process_Details[[#This Row],[Unique Process Inputs]],Table_Process_Details[Input or Output],"Input")</f>
        <v>0</v>
      </c>
      <c r="GY58" s="1">
        <f ca="1">SUMIFS(Table_Process_Details[RV Eutrophication (kg phosphate equiv.) per kg API (WATER)],Table_Process_Details[Display Name],Table_Process_Details[[#This Row],[Unique Process Inputs]],Table_Process_Details[Input or Output],"Input")</f>
        <v>0</v>
      </c>
      <c r="GZ58" s="1">
        <f ca="1">SUMIFS(Table_Process_Details[RV Eutrophication (kg phosphate equiv.) per kg API (ENZ&amp;PLNT)],Table_Process_Details[Display Name],Table_Process_Details[[#This Row],[Unique Process Inputs]],Table_Process_Details[Input or Output],"Input")</f>
        <v>0</v>
      </c>
      <c r="HA58" s="1">
        <f ca="1">SUMIFS(Table_Process_Details[RV Eutrophication (kg phosphate equiv.) per kg API (OTHER)],Table_Process_Details[Display Name],Table_Process_Details[[#This Row],[Unique Process Inputs]],Table_Process_Details[Input or Output],"Input")</f>
        <v>0</v>
      </c>
      <c r="HB5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8" s="22" t="e">
        <f ca="1">SUM(OFFSET(Table_Process_Details['[Eutrophication (kg posphate equiv.) per kg API'] of Unique Inputs Sorted by '[Eutrophication (kg posphate equiv.) per kg API']],0,0,Table_Process_Details[[#This Row],[Table Row]]))</f>
        <v>#N/A</v>
      </c>
      <c r="HE5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8" s="1" t="e">
        <f ca="1">INDEX(Table_Process_Details[Total '[Eutrophication (kg posphate equiv.) per kg API'] of Unique Inputs (REAGENT)], MATCH(Table_Process_Details[[#This Row],[Unique Inputs Sorted by '[Eutrophication (kg posphate equiv.) per kg API']]],Table_Process_Details[Unique Process Inputs],0))</f>
        <v>#N/A</v>
      </c>
      <c r="HG58" s="1" t="e">
        <f ca="1">INDEX(Table_Process_Details[Total '[Eutrophication (kg posphate equiv.) per kg API'] of Unique Inputs (METAL)], MATCH(Table_Process_Details[[#This Row],[Unique Inputs Sorted by '[Eutrophication (kg posphate equiv.) per kg API']]],Table_Process_Details[Unique Process Inputs],0))</f>
        <v>#N/A</v>
      </c>
      <c r="HH58" s="1" t="e">
        <f ca="1">INDEX(Table_Process_Details[Total '[Eutrophication (kg posphate equiv.) per kg API'] of Unique Inputs (SOLVENT)], MATCH(Table_Process_Details[[#This Row],[Unique Inputs Sorted by '[Eutrophication (kg posphate equiv.) per kg API']]],Table_Process_Details[Unique Process Inputs],0))</f>
        <v>#N/A</v>
      </c>
      <c r="HI58" s="1" t="e">
        <f ca="1">INDEX(Table_Process_Details[Total '[Eutrophication (kg posphate equiv.) per kg API'] of Unique Inputs (WATER)], MATCH(Table_Process_Details[[#This Row],[Unique Inputs Sorted by '[Eutrophication (kg posphate equiv.) per kg API']]],Table_Process_Details[Unique Process Inputs],0))</f>
        <v>#N/A</v>
      </c>
      <c r="HJ58" s="1" t="e">
        <f ca="1">INDEX(Table_Process_Details[Total '[Eutrophication (kg posphate equiv.) per kg API'] of Unique Inputs (ENZ&amp;PLNT)], MATCH(Table_Process_Details[[#This Row],[Unique Inputs Sorted by '[Eutrophication (kg posphate equiv.) per kg API']]],Table_Process_Details[Unique Process Inputs],0))</f>
        <v>#N/A</v>
      </c>
      <c r="HK58" s="1" t="e">
        <f ca="1">INDEX(Table_Process_Details[Total '[Eutrophication (kg posphate equiv.) per kg API'] of Unique Inputs (OTHER)], MATCH(Table_Process_Details[[#This Row],[Unique Inputs Sorted by '[Eutrophication (kg posphate equiv.) per kg API']]],Table_Process_Details[Unique Process Inputs],0))</f>
        <v>#N/A</v>
      </c>
      <c r="HL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0.77402567227023411</v>
      </c>
      <c r="HM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0.13177550698811888</v>
      </c>
      <c r="HN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0.6422501652821152</v>
      </c>
      <c r="HQ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8" s="1">
        <f ca="1">SUMIFS(Table_Process_Details[RV Water (kg) per kg API],Table_Process_Details[Display Name],Table_Process_Details[[#This Row],[Unique Process Inputs]],Table_Process_Details[Input or Output],"Input")</f>
        <v>0</v>
      </c>
      <c r="HT58" s="1">
        <f ca="1">SUMIFS(Table_Process_Details[RV Water (kg) per kg API (REAGENT)],Table_Process_Details[Display Name],Table_Process_Details[[#This Row],[Unique Process Inputs]],Table_Process_Details[Input or Output],"Input")</f>
        <v>0</v>
      </c>
      <c r="HU58" s="1">
        <f ca="1">SUMIFS(Table_Process_Details[RV Water (kg) per kg API (METAL)],Table_Process_Details[Display Name],Table_Process_Details[[#This Row],[Unique Process Inputs]],Table_Process_Details[Input or Output],"Input")</f>
        <v>0</v>
      </c>
      <c r="HV58" s="1">
        <f ca="1">SUMIFS(Table_Process_Details[RV Water (kg) per kg API (SOLVENT)],Table_Process_Details[Display Name],Table_Process_Details[[#This Row],[Unique Process Inputs]],Table_Process_Details[Input or Output],"Input")</f>
        <v>0</v>
      </c>
      <c r="HW58" s="1">
        <f ca="1">SUMIFS(Table_Process_Details[RV Water (kg) per kg API (WATER)],Table_Process_Details[Display Name],Table_Process_Details[[#This Row],[Unique Process Inputs]],Table_Process_Details[Input or Output],"Input")</f>
        <v>0</v>
      </c>
      <c r="HX58" s="1">
        <f ca="1">SUMIFS(Table_Process_Details[RV Water (kg) per kg API (ENZ&amp;PLNT)],Table_Process_Details[Display Name],Table_Process_Details[[#This Row],[Unique Process Inputs]],Table_Process_Details[Input or Output],"Input")</f>
        <v>0</v>
      </c>
      <c r="HY58" s="1">
        <f ca="1">SUMIFS(Table_Process_Details[RV Water (kg) per kg API (OTHER)],Table_Process_Details[Display Name],Table_Process_Details[[#This Row],[Unique Process Inputs]],Table_Process_Details[Input or Output],"Input")</f>
        <v>0</v>
      </c>
      <c r="HZ58" s="22" t="e">
        <f ca="1">INDEX(Table_Process_Details[Unique Process Inputs],MATCH(Table_Process_Details[[#This Row],['[Water (kg) per kg API'] of Unique Inputs Sorted by '[Water (kg) per kg API']]],Table_Process_Details[Total '[Water (kg) per kg API'] of Unique Inputs],0))</f>
        <v>#N/A</v>
      </c>
      <c r="IA58" s="22" t="e">
        <f ca="1">IF(LARGE(Table_Process_Details[Total '[Water (kg) per kg API'] of Unique Inputs],Table_Process_Details[[#This Row],[Table Row]])=0,NA(),LARGE(Table_Process_Details[Total '[Water (kg) per kg API'] of Unique Inputs],Table_Process_Details[[#This Row],[Table Row]]))</f>
        <v>#N/A</v>
      </c>
      <c r="IB58" s="1" t="e">
        <f ca="1">SUM(OFFSET(Table_Process_Details['[Water (kg) per kg API'] of Unique Inputs Sorted by '[Water (kg) per kg API']],0,0,Table_Process_Details[[#This Row],[Table Row]]))</f>
        <v>#N/A</v>
      </c>
      <c r="IC58" s="1" t="e">
        <f ca="1">"("&amp;TEXT(Table_Process_Details[[#This Row],['[Water (kg) per kg API'] of Unique Inputs Sorted by '[Water (kg) per kg API']]]/SUMIF(Table_Process_Details['[Water (kg) per kg API'] of Unique Inputs Sorted by '[Water (kg) per kg API']],"&lt;&gt;#N/A"),"0%")&amp;")"</f>
        <v>#N/A</v>
      </c>
      <c r="ID58" s="1" t="e">
        <f ca="1">INDEX(Table_Process_Details[Total '[Water (kg) per kg API'] of Unique Inputs (REAGENT)], MATCH(Table_Process_Details[[#This Row],[Unique Inputs Sorted by '[Water (kg) per kg API']]],Table_Process_Details[Unique Process Inputs],0))</f>
        <v>#N/A</v>
      </c>
      <c r="IE58" s="1" t="e">
        <f ca="1">INDEX(Table_Process_Details[Total '[Water (kg) per kg API'] of Unique Inputs (METAL)], MATCH(Table_Process_Details[[#This Row],[Unique Inputs Sorted by '[Water (kg) per kg API']]],Table_Process_Details[Unique Process Inputs],0))</f>
        <v>#N/A</v>
      </c>
      <c r="IF58" s="1" t="e">
        <f ca="1">INDEX(Table_Process_Details[Total '[Water (kg) per kg API'] of Unique Inputs (SOLVENT)], MATCH(Table_Process_Details[[#This Row],[Unique Inputs Sorted by '[Water (kg) per kg API']]],Table_Process_Details[Unique Process Inputs],0))</f>
        <v>#N/A</v>
      </c>
      <c r="IG58" s="1" t="e">
        <f ca="1">INDEX(Table_Process_Details[Total '[Water (kg) per kg API'] of Unique Inputs (WATER)], MATCH(Table_Process_Details[[#This Row],[Unique Inputs Sorted by '[Water (kg) per kg API']]],Table_Process_Details[Unique Process Inputs],0))</f>
        <v>#N/A</v>
      </c>
      <c r="IH58" s="1" t="e">
        <f ca="1">INDEX(Table_Process_Details[Total '[Water (kg) per kg API'] of Unique Inputs (ENZ&amp;PLNT)], MATCH(Table_Process_Details[[#This Row],[Unique Inputs Sorted by '[Water (kg) per kg API']]],Table_Process_Details[Unique Process Inputs],0))</f>
        <v>#N/A</v>
      </c>
      <c r="II58" s="1" t="e">
        <f ca="1">INDEX(Table_Process_Details[Total '[Water (kg) per kg API'] of Unique Inputs (OTHER)], MATCH(Table_Process_Details[[#This Row],[Unique Inputs Sorted by '[Water (kg) per kg API']]],Table_Process_Details[Unique Process Inputs],0))</f>
        <v>#N/A</v>
      </c>
    </row>
    <row r="59" spans="1:243" customFormat="1" x14ac:dyDescent="0.25">
      <c r="A59" s="22" t="str">
        <f t="shared" si="1"/>
        <v>2) Synthesis of Intermediate (2)</v>
      </c>
      <c r="B59" s="21" t="s">
        <v>4</v>
      </c>
      <c r="C59" s="21" t="s">
        <v>170</v>
      </c>
      <c r="D59" s="22" t="str">
        <f>A49</f>
        <v>2c) Virtual solution prep for (2): 0.1 M reagent G (inorganic) in water</v>
      </c>
      <c r="E59" s="22" t="str">
        <f>E49</f>
        <v>0.1 M reagent G (inorganic) in water</v>
      </c>
      <c r="F59" s="26">
        <v>600</v>
      </c>
      <c r="G59" s="26"/>
      <c r="H59" s="26"/>
      <c r="I59" s="26"/>
      <c r="J59" s="26" t="str">
        <f>INDEX(Process_Steps[Reference],MATCH(Table_Process_Details[[#This Row],[Step Name]],Process_Steps[Name],0))</f>
        <v>Reference Document for Step 2</v>
      </c>
      <c r="K59" s="27" t="str">
        <f>INDEX(Process_Steps[Real or Virtual?],MATCH(Table_Process_Details[[#This Row],[Step Name]],Process_Steps[Name],0))</f>
        <v>Real</v>
      </c>
      <c r="L5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5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59" s="26">
        <f>INDEX(Table_Process_Details[Physical Mass (kg)],MATCH(1,INDEX(((Table_Process_Details[Step Name]=Table_Process_Details[[#This Row],[Step Name]])*(Table_Process_Details[Input or Output]="Output")),0),0))</f>
        <v>157.52551020408163</v>
      </c>
      <c r="O59" s="29">
        <f ca="1">INDEX(Process_Steps[Step Scale Factor for 1kg Packaged API],MATCH(Table_Process_Details[[#This Row],[Step Name]],Process_Steps[Name],0))</f>
        <v>6.9901025556824191E-3</v>
      </c>
      <c r="P5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v>
      </c>
      <c r="Q5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v>
      </c>
      <c r="R59" s="26">
        <f ca="1">_xlfn.SWITCH(Run_Reset_PNG,"Reset",Table_Process_Details[[#This Row],[X Init]],"Run",Table_Process_Details[[#This Row],[X Moved]],"Freeze",Table_Process_Details[[#This Row],[X Mover]])</f>
        <v>4.5650884323214136</v>
      </c>
      <c r="S59" s="26">
        <f ca="1">_xlfn.SWITCH(Run_Reset_PNG,"Reset",Table_Process_Details[[#This Row],[Y Init]],"Run",Table_Process_Details[[#This Row],[Y Moved]],"Freeze",Table_Process_Details[[#This Row],[Y Mover]])</f>
        <v>10.836382638227876</v>
      </c>
      <c r="T59" s="26" cm="1">
        <f t="array" aca="1" ref="T5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-0.52819768418672219</v>
      </c>
      <c r="U59" s="26" cm="1">
        <f t="array" aca="1" ref="U5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1.6602292401911309</v>
      </c>
      <c r="V59" s="26" cm="1">
        <f t="array" aca="1" ref="V59" ca="1">SUM(--(SQRT((Table_Process_Details[[#This Row],[X Mover]]-Table_Process_Details[X Mover])^2+(Table_Process_Details[[#This Row],[Y Mover]]-Table_Process_Details[Y Mover])^2)&lt;Collision_Distance))</f>
        <v>21</v>
      </c>
      <c r="W59" s="26" cm="1">
        <f t="array" aca="1" ref="W5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-4.9566270790446898E-2</v>
      </c>
      <c r="X59" s="26" cm="1">
        <f t="array" aca="1" ref="X5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-0.14273600591774765</v>
      </c>
      <c r="Y59" s="26" cm="1">
        <f t="array" aca="1" ref="Y5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59" s="26">
        <f>0</f>
        <v>0</v>
      </c>
      <c r="AA59" s="26">
        <f>0</f>
        <v>0</v>
      </c>
      <c r="AB5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-2.2825442161607068</v>
      </c>
      <c r="AC59" s="26" cm="1">
        <f t="array" aca="1" ref="AC5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-5.4181913191139381</v>
      </c>
      <c r="AD59" s="26">
        <f>MIN(1,COUNTA(Table_Process_Details[[#This Row],[target x]]),COUNTA(Table_Process_Details[[#This Row],[target y]]))*COUNTA(Table_Process_Details[Step Name])</f>
        <v>98</v>
      </c>
      <c r="AE5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4.4918617587387883</v>
      </c>
      <c r="AF5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10.78878550399463</v>
      </c>
      <c r="AG5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59" s="26" cm="1">
        <f t="array" aca="1" ref="AH59" ca="1">INDEX(Table_Process_Details[X Mover],MATCH(1,INDEX((Table_Process_Details[Input or Output]="Output")*(Table_Process_Details[Step Name]=Table_Process_Details[[#This Row],[Step Name]])*(Table_Process_Details[[#This Row],[Input or Output]]="Input"),0),0))</f>
        <v>1.9309511115841147</v>
      </c>
      <c r="AI59" s="26" cm="1">
        <f t="array" aca="1" ref="AI59" ca="1">INDEX(Table_Process_Details[Y Mover],MATCH(1,INDEX((Table_Process_Details[Input or Output]="Output")*(Table_Process_Details[Step Name]=Table_Process_Details[[#This Row],[Step Name]])*(Table_Process_Details[[#This Row],[Input or Output]]="Input"),0),0))</f>
        <v>7.9388892826190514</v>
      </c>
      <c r="AJ59" s="26">
        <f ca="1">SQRT((Table_Process_Details[[#This Row],[X End (To Node Center)]]-Table_Process_Details[[#This Row],[X Guide]])^2+(Table_Process_Details[[#This Row],[Y End (to Node Center)]]-Table_Process_Details[[#This Row],[Y Guide]])^2)</f>
        <v>3.9158839577161073</v>
      </c>
      <c r="AK59" s="26" cm="1">
        <f t="array" aca="1" ref="AK59" ca="1">INDEX(Table_Process_Details[X Mover],MATCH(1,INDEX((Table_Process_Details[Step Name]=Table_Process_Details[[#This Row],[LCA Data Source Subclass]])*(Table_Process_Details[Input or Output]="Output"),0)*(Table_Process_Details[[#This Row],[Input or Output]]="Input"),0))</f>
        <v>7.4720348390499867</v>
      </c>
      <c r="AL59" s="26" cm="1">
        <f t="array" aca="1" ref="AL59" ca="1">INDEX(Table_Process_Details[X Mover],MATCH(1,INDEX(((Table_Process_Details[Table Row]=Table_Process_Details[[#This Row],[Table Row]])*(1)),0)*(Table_Process_Details[[#This Row],[Input or Output]]="Input"),0))</f>
        <v>4.5650884323214136</v>
      </c>
      <c r="AM59" s="26" cm="1">
        <f t="array" aca="1" ref="AM59" ca="1">(Table_Process_Details[[#This Row],[X End (To Node Center)]]*Table_Process_Details[[#This Row],[r0]]-Table_Process_Details[[#This Row],[X End (To Node Center)]]*Arrow_Offset+Table_Process_Details[[#This Row],[X Guide]]*Arrow_Offset)/Table_Process_Details[[#This Row],[r0]]</f>
        <v>2.4690952137446143</v>
      </c>
      <c r="AN59" s="26">
        <f ca="1">IF(NOT(Table_Process_Details[[#This Row],[Display As]]="None"),Table_Process_Details[[#This Row],[X Start Prefilter]],NA())</f>
        <v>7.4720348390499867</v>
      </c>
      <c r="AO59" s="26">
        <f ca="1">IF(NOT(Table_Process_Details[[#This Row],[Display As]]="None"),Table_Process_Details[[#This Row],[X Guide Prefilter]],NA())</f>
        <v>4.5650884323214136</v>
      </c>
      <c r="AP59" s="26">
        <f ca="1">IF(NOT(Table_Process_Details[[#This Row],[Display As]]="None"),Table_Process_Details[[#This Row],[X End (to Stop Radius) Prefilter]],NA())</f>
        <v>2.4690952137446143</v>
      </c>
      <c r="AQ59" s="26" t="e">
        <f>NA()</f>
        <v>#N/A</v>
      </c>
      <c r="AR59" s="26" cm="1">
        <f t="array" aca="1" ref="AR59" ca="1">INDEX(Table_Process_Details[Y Mover],MATCH(1,INDEX((Table_Process_Details[Step Name]=Table_Process_Details[[#This Row],[LCA Data Source Subclass]])*(Table_Process_Details[Input or Output]="Output"),0)*(Table_Process_Details[[#This Row],[Input or Output]]="Input"),0))</f>
        <v>13.041884212556132</v>
      </c>
      <c r="AS59" s="26" cm="1">
        <f t="array" aca="1" ref="AS59" ca="1">INDEX(Table_Process_Details[Y Mover],MATCH(1,INDEX(((Table_Process_Details[Table Row]=Table_Process_Details[[#This Row],[Table Row]])*(1)),0)*(Table_Process_Details[[#This Row],[Input or Output]]="Input"),0))</f>
        <v>10.836382638227876</v>
      </c>
      <c r="AT59" s="26" cm="1">
        <f t="array" aca="1" ref="AT59" ca="1">(Table_Process_Details[[#This Row],[Y Guide]]*Arrow_Offset-Table_Process_Details[[#This Row],[Y End (to Node Center)]]*Arrow_Offset+Table_Process_Details[[#This Row],[Y End (to Node Center)]]*Table_Process_Details[[#This Row],[r0]])/Table_Process_Details[[#This Row],[r0]]</f>
        <v>8.5308360076795662</v>
      </c>
      <c r="AU59" s="26">
        <f ca="1">IF(NOT(Table_Process_Details[[#This Row],[Display As]]="None"),Table_Process_Details[[#This Row],[Y Start Prefilter]],NA())</f>
        <v>13.041884212556132</v>
      </c>
      <c r="AV59" s="26">
        <f ca="1">IF(NOT(Table_Process_Details[[#This Row],[Display As]]="None"),Table_Process_Details[[#This Row],[Y Guide Prefilter]],NA())</f>
        <v>10.836382638227876</v>
      </c>
      <c r="AW59" s="26">
        <f ca="1">IF(NOT(Table_Process_Details[[#This Row],[Display As]]="None"),Table_Process_Details[[#This Row],[Y End (to Stop Radius) Prefilter]],NA())</f>
        <v>8.5308360076795662</v>
      </c>
      <c r="AX59" s="26" t="e">
        <f>NA()</f>
        <v>#N/A</v>
      </c>
      <c r="AY59" s="26" t="e">
        <f>IF(Table_Process_Details[[#This Row],[Display As]]="Real Step",Table_Process_Details[[#This Row],[X Mover]],NA())</f>
        <v>#N/A</v>
      </c>
      <c r="AZ59" s="26" t="e">
        <f>IF(Table_Process_Details[[#This Row],[Display As]]="Real Step",Table_Process_Details[[#This Row],[Y Mover]],NA())</f>
        <v>#N/A</v>
      </c>
      <c r="BA59" s="26" t="e">
        <f>IF(Table_Process_Details[[#This Row],[Display As]]="Raw Material",Table_Process_Details[[#This Row],[X Mover]],NA())</f>
        <v>#N/A</v>
      </c>
      <c r="BB59" s="26" t="e">
        <f>IF(Table_Process_Details[[#This Row],[Display As]]="Raw Material",Table_Process_Details[[#This Row],[Y Mover]],NA())</f>
        <v>#N/A</v>
      </c>
      <c r="BC59" s="26" t="e">
        <f>IF(OR(Table_Process_Details[[#This Row],[Display As]]="Real Step",Table_Process_Details[[#This Row],[Display As]]="Raw Material"),Table_Process_Details[[#This Row],[X Mover]],NA())</f>
        <v>#N/A</v>
      </c>
      <c r="BD59" s="26" t="e">
        <f>IF(OR(Table_Process_Details[[#This Row],[Display As]]="Real Step",Table_Process_Details[[#This Row],[Display As]]="Raw Material"),Table_Process_Details[[#This Row],[Y Mover]],NA())</f>
        <v>#N/A</v>
      </c>
      <c r="BE59" s="22">
        <f>ROW()-ROW(Table_Process_Details[[#Headers],[Table Row]])</f>
        <v>55</v>
      </c>
      <c r="BF59" s="23" t="e" cm="1">
        <f t="array" aca="1" ref="BF59" ca="1">INDEX(Table_Process_Details[Display Name],MATCH(0,IF(Table_Process_Details[Input or Output]="Input",INDEX(COUNTIF(OFFSET(Table_Process_Details[[#Headers],[Unique Process Inputs]],0,0,Table_Process_Details[[#This Row],[Table Row]],1),Table_Process_Details[Display Name]),),""),0))</f>
        <v>#N/A</v>
      </c>
      <c r="BG59" s="23">
        <f ca="1">Table_Process_Details[[#This Row],[Physical Mass (kg)]]*Table_Process_Details[[#This Row],[Step Scale Factor for 1kg Packaged API]]</f>
        <v>4.1940615334094513</v>
      </c>
      <c r="BH5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0.99999999999943689</v>
      </c>
      <c r="BI59" s="23">
        <f ca="1">MATCH(Table_Process_Details[[#This Row],[LCA Data Source Class]],INDIRECT(Table_Process_Details[[#This Row],[Input or Output]]),0)</f>
        <v>1</v>
      </c>
      <c r="BJ59" s="23">
        <f ca="1">MATCH(Table_Process_Details[[#This Row],[LCA Data Source Subclass]],INDIRECT(Table_Process_Details[[#This Row],[LCA Data Source Class]]&amp;"[Name]"),0)</f>
        <v>10</v>
      </c>
      <c r="BK59" s="23">
        <f ca="1">IFERROR(INDEX(INDIRECT(Table_Process_Details[[#This Row],[LCA Data Source Class]]&amp;"[Mass Net (kg)]"),MATCH(Table_Process_Details[[#This Row],[LCA Data Source Subclass]],INDIRECT(Table_Process_Details[[#This Row],[LCA Data Source Class]]&amp;"[Name]"),0)),0)</f>
        <v>0</v>
      </c>
      <c r="BL59" s="23">
        <f ca="1">IFERROR(INDEX(INDIRECT(Table_Process_Details[[#This Row],[LCA Data Source Class]]&amp;"[Energy (MJ)]"),MATCH(Table_Process_Details[[#This Row],[LCA Data Source Subclass]],INDIRECT(Table_Process_Details[[#This Row],[LCA Data Source Class]]&amp;"[Name]"),0)),0)</f>
        <v>0</v>
      </c>
      <c r="BM59" s="23">
        <f ca="1">IFERROR(INDEX(INDIRECT(Table_Process_Details[[#This Row],[LCA Data Source Class]]&amp;"[GWP (kg CO2 equiv.)]"),MATCH(Table_Process_Details[[#This Row],[LCA Data Source Subclass]],INDIRECT(Table_Process_Details[[#This Row],[LCA Data Source Class]]&amp;"[Name]"),0)),0)</f>
        <v>0</v>
      </c>
      <c r="BN59" s="23">
        <f ca="1">IFERROR(INDEX(INDIRECT(Table_Process_Details[[#This Row],[LCA Data Source Class]]&amp;"[Acidification (kg SO2 equiv.)]"),MATCH(Table_Process_Details[[#This Row],[LCA Data Source Subclass]],INDIRECT(Table_Process_Details[[#This Row],[LCA Data Source Class]]&amp;"[Name]"),0)),0)</f>
        <v>0</v>
      </c>
      <c r="BO59" s="23">
        <f ca="1">IFERROR(INDEX(INDIRECT(Table_Process_Details[[#This Row],[LCA Data Source Class]]&amp;"[Eutrophication (kg posphate equiv.)]"),MATCH(Table_Process_Details[[#This Row],[LCA Data Source Subclass]],INDIRECT(Table_Process_Details[[#This Row],[LCA Data Source Class]]&amp;"[Name]"),0)),0)</f>
        <v>0</v>
      </c>
      <c r="BP59" s="23">
        <f ca="1">IFERROR(INDEX(INDIRECT(Table_Process_Details[[#This Row],[LCA Data Source Class]]&amp;"[Water (kg)]"),MATCH(Table_Process_Details[[#This Row],[LCA Data Source Subclass]],INDIRECT(Table_Process_Details[[#This Row],[LCA Data Source Class]]&amp;"[Name]"),0)),0)</f>
        <v>0</v>
      </c>
      <c r="BQ59" s="27">
        <f ca="1">(Table_Process_Details[[#This Row],[Input or Output]]="Input")*(Table_Process_Details[[#This Row],[LCA Data Source Class]]&lt;&gt;"Process_Steps")*Table_Process_Details[[#This Row],[Scaled Physical Mass per kg API for All Inputs &amp; Outputs]]</f>
        <v>0</v>
      </c>
      <c r="BR59" s="27">
        <f ca="1">(Table_Process_Details[[#This Row],[Material Class]]="REAGENT")*Table_Process_Details[[#This Row],[Physical Mass per kg API]]</f>
        <v>0</v>
      </c>
      <c r="BS59" s="27">
        <f ca="1">(Table_Process_Details[[#This Row],[Material Class]]="METAL")*Table_Process_Details[[#This Row],[Physical Mass per kg API]]</f>
        <v>0</v>
      </c>
      <c r="BT59" s="27">
        <f ca="1">(Table_Process_Details[[#This Row],[Material Class]]="SOLVENT")*Table_Process_Details[[#This Row],[Physical Mass per kg API]]</f>
        <v>0</v>
      </c>
      <c r="BU59" s="27">
        <f ca="1">(Table_Process_Details[[#This Row],[Material Class]]="WATER")*Table_Process_Details[[#This Row],[Physical Mass per kg API]]</f>
        <v>0</v>
      </c>
      <c r="BV59" s="27">
        <f ca="1">(Table_Process_Details[[#This Row],[Material Class]]="ENZ&amp;PLNT")*Table_Process_Details[[#This Row],[Physical Mass per kg API]]</f>
        <v>0</v>
      </c>
      <c r="BW59" s="27">
        <f ca="1">(Table_Process_Details[[#This Row],[Material Class]]="OTHER")*Table_Process_Details[[#This Row],[Physical Mass per kg API]]</f>
        <v>0</v>
      </c>
      <c r="BX5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4.1940615334094513</v>
      </c>
      <c r="BY5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1.8867616615357928E-2</v>
      </c>
      <c r="BZ5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5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5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4.1751939167940932</v>
      </c>
      <c r="CC5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5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59" s="1">
        <f ca="1">SUMIFS(Table_Process_Details[RV Physical Mass per kg API],Table_Process_Details[Display Name],Table_Process_Details[[#This Row],[Unique Process Inputs]],Table_Process_Details[Input or Output],"Input")</f>
        <v>0</v>
      </c>
      <c r="CF59" s="1">
        <f ca="1">SUMIFS(Table_Process_Details[RV Physical Mass per kg API (REAGENT)],Table_Process_Details[Display Name],Table_Process_Details[[#This Row],[Unique Process Inputs]],Table_Process_Details[Input or Output],"Input")</f>
        <v>0</v>
      </c>
      <c r="CG59" s="1">
        <f ca="1">SUMIFS(Table_Process_Details[RV Physical Mass per kg API (METAL)],Table_Process_Details[Display Name],Table_Process_Details[[#This Row],[Unique Process Inputs]],Table_Process_Details[Input or Output],"Input")</f>
        <v>0</v>
      </c>
      <c r="CH59" s="1">
        <f ca="1">SUMIFS(Table_Process_Details[RV Physical Mass per kg API (SOLVENT)],Table_Process_Details[Display Name],Table_Process_Details[[#This Row],[Unique Process Inputs]],Table_Process_Details[Input or Output],"Input")</f>
        <v>0</v>
      </c>
      <c r="CI59" s="1">
        <f ca="1">SUMIFS(Table_Process_Details[RV Physical Mass per kg API (WATER)],Table_Process_Details[Display Name],Table_Process_Details[[#This Row],[Unique Process Inputs]],Table_Process_Details[Input or Output],"Input")</f>
        <v>0</v>
      </c>
      <c r="CJ59" s="1">
        <f ca="1">SUMIFS(Table_Process_Details[RV Physical Mass per kg API (ENZ&amp;PLNT)],Table_Process_Details[Display Name],Table_Process_Details[[#This Row],[Unique Process Inputs]],Table_Process_Details[Input or Output],"Input")</f>
        <v>0</v>
      </c>
      <c r="CK59" s="1">
        <f ca="1">SUMIFS(Table_Process_Details[RV Physical Mass per kg API (OTHER)],Table_Process_Details[Display Name],Table_Process_Details[[#This Row],[Unique Process Inputs]],Table_Process_Details[Input or Output],"Input")</f>
        <v>0</v>
      </c>
      <c r="CL59" s="22" t="e">
        <f ca="1">INDEX(Table_Process_Details[Unique Process Inputs],MATCH(Table_Process_Details[[#This Row],['[Physical Mass per kg API'] of Unique Inputs Sorted by '[Physical Mass per kg API']]],Table_Process_Details[Total '[Physical Mass per kg API'] of Unique Inputs],0))</f>
        <v>#N/A</v>
      </c>
      <c r="CM59" s="22" t="e">
        <f ca="1">IF(LARGE(Table_Process_Details[Total '[Physical Mass per kg API'] of Unique Inputs],Table_Process_Details[[#This Row],[Table Row]])=0,NA(),LARGE(Table_Process_Details[Total '[Physical Mass per kg API'] of Unique Inputs],Table_Process_Details[[#This Row],[Table Row]]))</f>
        <v>#N/A</v>
      </c>
      <c r="CN59" s="22" t="e">
        <f ca="1">SUM(OFFSET(Table_Process_Details['[Physical Mass per kg API'] of Unique Inputs Sorted by '[Physical Mass per kg API']],0,0,Table_Process_Details[[#This Row],[Table Row]]))</f>
        <v>#N/A</v>
      </c>
      <c r="CO59" s="22" t="e">
        <f ca="1">"("&amp;TEXT(Table_Process_Details[[#This Row],['[Physical Mass per kg API'] of Unique Inputs Sorted by '[Physical Mass per kg API']]]/SUMIF(Table_Process_Details['[Physical Mass per kg API'] of Unique Inputs Sorted by '[Physical Mass per kg API']],"&lt;&gt;#N/A"),"0%")&amp;")"</f>
        <v>#N/A</v>
      </c>
      <c r="CP59" s="22" t="e">
        <f ca="1">INDEX(Table_Process_Details[Total '[Physical Mass per kg API'] of Unique Inputs (REAGENT)],MATCH(Table_Process_Details[[#This Row],[Unique Inputs Sorted by '[Physical Mass per kg API']]],Table_Process_Details[Unique Process Inputs],0))</f>
        <v>#N/A</v>
      </c>
      <c r="CQ59" s="22" t="e">
        <f ca="1">INDEX(Table_Process_Details[Total '[Physical Mass per kg API'] of Unique Inputs (METAL)],MATCH(Table_Process_Details[[#This Row],[Unique Inputs Sorted by '[Physical Mass per kg API']]],Table_Process_Details[Unique Process Inputs],0))</f>
        <v>#N/A</v>
      </c>
      <c r="CR59" s="22" t="e">
        <f ca="1">INDEX(Table_Process_Details[Total '[Physical Mass per kg API'] of Unique Inputs (SOLVENT)],MATCH(Table_Process_Details[[#This Row],[Unique Inputs Sorted by '[Physical Mass per kg API']]],Table_Process_Details[Unique Process Inputs],0))</f>
        <v>#N/A</v>
      </c>
      <c r="CS59" s="22" t="e">
        <f ca="1">INDEX(Table_Process_Details[Total '[Physical Mass per kg API'] of Unique Inputs (WATER)],MATCH(Table_Process_Details[[#This Row],[Unique Inputs Sorted by '[Physical Mass per kg API']]],Table_Process_Details[Unique Process Inputs],0))</f>
        <v>#N/A</v>
      </c>
      <c r="CT59" s="22" t="e">
        <f ca="1">INDEX(Table_Process_Details[Total '[Physical Mass per kg API'] of Unique Inputs (ENZ&amp;PLNT)],MATCH(Table_Process_Details[[#This Row],[Unique Inputs Sorted by '[Physical Mass per kg API']]],Table_Process_Details[Unique Process Inputs],0))</f>
        <v>#N/A</v>
      </c>
      <c r="CU59" s="22" t="e">
        <f ca="1">INDEX(Table_Process_Details[Total '[Physical Mass per kg API'] of Unique Inputs (OTHER)],MATCH(Table_Process_Details[[#This Row],[Unique Inputs Sorted by '[Physical Mass per kg API']]],Table_Process_Details[Unique Process Inputs],0))</f>
        <v>#N/A</v>
      </c>
      <c r="CV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3.1671760636220715E-2</v>
      </c>
      <c r="CW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2.5282606264579625E-2</v>
      </c>
      <c r="CX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6.3891543716410879E-3</v>
      </c>
      <c r="DA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5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59" s="22">
        <f ca="1">SUMIFS(Table_Process_Details[RV Mass Net (kg) per kg API],Table_Process_Details[Display Name],Table_Process_Details[[#This Row],[Unique Process Inputs]],Table_Process_Details[Input or Output],"Input")</f>
        <v>0</v>
      </c>
      <c r="DD59" s="22">
        <f ca="1">SUMIFS(Table_Process_Details[RV Mass Net (kg) per kg API (REAGENT)],Table_Process_Details[Display Name],Table_Process_Details[[#This Row],[Unique Process Inputs]],Table_Process_Details[Input or Output],"Input")</f>
        <v>0</v>
      </c>
      <c r="DE59" s="22">
        <f ca="1">SUMIFS(Table_Process_Details[RV Mass Net (kg) per kg API (METAL)],Table_Process_Details[Display Name],Table_Process_Details[[#This Row],[Unique Process Inputs]],Table_Process_Details[Input or Output],"Input")</f>
        <v>0</v>
      </c>
      <c r="DF59" s="22">
        <f ca="1">SUMIFS(Table_Process_Details[RV Mass Net (kg) per kg API (SOLVENT)],Table_Process_Details[Display Name],Table_Process_Details[[#This Row],[Unique Process Inputs]],Table_Process_Details[Input or Output],"Input")</f>
        <v>0</v>
      </c>
      <c r="DG59" s="22">
        <f ca="1">SUMIFS(Table_Process_Details[RV Mass Net (kg) per kg API (WATER)],Table_Process_Details[Display Name],Table_Process_Details[[#This Row],[Unique Process Inputs]],Table_Process_Details[Input or Output],"Input")</f>
        <v>0</v>
      </c>
      <c r="DH59" s="22">
        <f ca="1">SUMIFS(Table_Process_Details[RV Mass Net (kg) per kg API (ENZ&amp;PLNT)],Table_Process_Details[Display Name],Table_Process_Details[[#This Row],[Unique Process Inputs]],Table_Process_Details[Input or Output],"Input")</f>
        <v>0</v>
      </c>
      <c r="DI59" s="22">
        <f ca="1">SUMIFS(Table_Process_Details[RV Mass Net (kg) per kg API (OTHER)],Table_Process_Details[Display Name],Table_Process_Details[[#This Row],[Unique Process Inputs]],Table_Process_Details[Input or Output],"Input")</f>
        <v>0</v>
      </c>
      <c r="DJ59" s="22" t="e">
        <f ca="1">INDEX(Table_Process_Details[Unique Process Inputs],MATCH(Table_Process_Details[[#This Row],['[Mass Net (kg) per kg API'] of Unique Inputs Sorted by '[Mass Net (kg) per kg API']]],Table_Process_Details[Total '[Mass Net (kg) per kg API'] of Unique Inputs],0))</f>
        <v>#N/A</v>
      </c>
      <c r="DK59" s="22" t="e">
        <f ca="1">IF(LARGE(Table_Process_Details[Total '[Mass Net (kg) per kg API'] of Unique Inputs],Table_Process_Details[[#This Row],[Table Row]])=0,NA(),LARGE(Table_Process_Details[Total '[Mass Net (kg) per kg API'] of Unique Inputs],Table_Process_Details[[#This Row],[Table Row]]))</f>
        <v>#N/A</v>
      </c>
      <c r="DL59" s="22" t="e">
        <f ca="1">SUM(OFFSET(Table_Process_Details['[Mass Net (kg) per kg API'] of Unique Inputs Sorted by '[Mass Net (kg) per kg API']],0,0,Table_Process_Details[[#This Row],[Table Row]]))</f>
        <v>#N/A</v>
      </c>
      <c r="DM59" s="22" t="e">
        <f ca="1">"("&amp;TEXT(Table_Process_Details[[#This Row],['[Mass Net (kg) per kg API'] of Unique Inputs Sorted by '[Mass Net (kg) per kg API']]]/SUMIF(Table_Process_Details['[Mass Net (kg) per kg API'] of Unique Inputs Sorted by '[Mass Net (kg) per kg API']],"&lt;&gt;#N/A"),"0%")&amp;")"</f>
        <v>#N/A</v>
      </c>
      <c r="DN59" s="22" t="e">
        <f ca="1">INDEX(Table_Process_Details[Total '[Mass Net (kg) per kg API'] of Unique Inputs (REAGENT)], MATCH(Table_Process_Details[[#This Row],[Unique Inputs Sorted by '[Mass Net (kg) per kg API']]],Table_Process_Details[Unique Process Inputs],0))</f>
        <v>#N/A</v>
      </c>
      <c r="DO59" s="22" t="e">
        <f ca="1">INDEX(Table_Process_Details[Total '[Mass Net (kg) per kg API'] of Unique Inputs (METAL)], MATCH(Table_Process_Details[[#This Row],[Unique Inputs Sorted by '[Mass Net (kg) per kg API']]],Table_Process_Details[Unique Process Inputs],0))</f>
        <v>#N/A</v>
      </c>
      <c r="DP59" s="22" t="e">
        <f ca="1">INDEX(Table_Process_Details[Total '[Mass Net (kg) per kg API'] of Unique Inputs (SOLVENT)], MATCH(Table_Process_Details[[#This Row],[Unique Inputs Sorted by '[Mass Net (kg) per kg API']]],Table_Process_Details[Unique Process Inputs],0))</f>
        <v>#N/A</v>
      </c>
      <c r="DQ59" s="22" t="e">
        <f ca="1">INDEX(Table_Process_Details[Total '[Mass Net (kg) per kg API'] of Unique Inputs (WATER)], MATCH(Table_Process_Details[[#This Row],[Unique Inputs Sorted by '[Mass Net (kg) per kg API']]],Table_Process_Details[Unique Process Inputs],0))</f>
        <v>#N/A</v>
      </c>
      <c r="DR59" s="22" t="e">
        <f ca="1">INDEX(Table_Process_Details[Total '[Mass Net (kg) per kg API'] of Unique Inputs (ENZ&amp;PLNT)], MATCH(Table_Process_Details[[#This Row],[Unique Inputs Sorted by '[Mass Net (kg) per kg API']]],Table_Process_Details[Unique Process Inputs],0))</f>
        <v>#N/A</v>
      </c>
      <c r="DS59" s="22" t="e">
        <f ca="1">INDEX(Table_Process_Details[Total '[Mass Net (kg) per kg API'] of Unique Inputs (OTHER)], MATCH(Table_Process_Details[[#This Row],[Unique Inputs Sorted by '[Mass Net (kg) per kg API']]],Table_Process_Details[Unique Process Inputs],0))</f>
        <v>#N/A</v>
      </c>
      <c r="DT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0.28013441192474864</v>
      </c>
      <c r="DU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0.20056276462125477</v>
      </c>
      <c r="DV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7.957164730349385E-2</v>
      </c>
      <c r="DY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5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59" s="1">
        <f ca="1">SUMIFS(Table_Process_Details[RV Energy (MJ) per kg API],Table_Process_Details[Display Name],Table_Process_Details[[#This Row],[Unique Process Inputs]],Table_Process_Details[Input or Output],"Input")</f>
        <v>0</v>
      </c>
      <c r="EB59" s="1">
        <f ca="1">SUMIFS(Table_Process_Details[RV Energy (MJ) per kg API (REAGENT)],Table_Process_Details[Display Name],Table_Process_Details[[#This Row],[Unique Process Inputs]],Table_Process_Details[Input or Output],"Input")</f>
        <v>0</v>
      </c>
      <c r="EC59" s="1">
        <f ca="1">SUMIFS(Table_Process_Details[RV Energy (MJ) per kg API (METAL)],Table_Process_Details[Display Name],Table_Process_Details[[#This Row],[Unique Process Inputs]],Table_Process_Details[Input or Output],"Input")</f>
        <v>0</v>
      </c>
      <c r="ED59" s="1">
        <f ca="1">SUMIFS(Table_Process_Details[RV Energy (MJ) per kg API (SOLVENT)],Table_Process_Details[Display Name],Table_Process_Details[[#This Row],[Unique Process Inputs]],Table_Process_Details[Input or Output],"Input")</f>
        <v>0</v>
      </c>
      <c r="EE59" s="1">
        <f ca="1">SUMIFS(Table_Process_Details[RV Energy (MJ) per kg API (WATER)],Table_Process_Details[Display Name],Table_Process_Details[[#This Row],[Unique Process Inputs]],Table_Process_Details[Input or Output],"Input")</f>
        <v>0</v>
      </c>
      <c r="EF59" s="1">
        <f ca="1">SUMIFS(Table_Process_Details[RV Energy (MJ) per kg API (ENZ&amp;PLNT)],Table_Process_Details[Display Name],Table_Process_Details[[#This Row],[Unique Process Inputs]],Table_Process_Details[Input or Output],"Input")</f>
        <v>0</v>
      </c>
      <c r="EG59" s="1">
        <f ca="1">SUMIFS(Table_Process_Details[RV Energy (MJ) per kg API (OTHER)],Table_Process_Details[Display Name],Table_Process_Details[[#This Row],[Unique Process Inputs]],Table_Process_Details[Input or Output],"Input")</f>
        <v>0</v>
      </c>
      <c r="EH59" s="1" t="e">
        <f ca="1">INDEX(Table_Process_Details[Unique Process Inputs],MATCH(Table_Process_Details[[#This Row],['[Energy (MJ) per kg API'] of Unique Inputs Sorted by '[Energy (MJ) per kg API']]],Table_Process_Details[Total '[Energy (MJ) per kg API'] of Unique Inputs],0))</f>
        <v>#N/A</v>
      </c>
      <c r="EI59" s="22" t="e">
        <f ca="1">IF(LARGE(Table_Process_Details[Total '[Energy (MJ) per kg API'] of Unique Inputs],Table_Process_Details[[#This Row],[Table Row]])=0,NA(),LARGE(Table_Process_Details[Total '[Energy (MJ) per kg API'] of Unique Inputs],Table_Process_Details[[#This Row],[Table Row]]))</f>
        <v>#N/A</v>
      </c>
      <c r="EJ59" s="22" t="e">
        <f ca="1">SUM(OFFSET(Table_Process_Details['[Energy (MJ) per kg API'] of Unique Inputs Sorted by '[Energy (MJ) per kg API']],0,0,Table_Process_Details[[#This Row],[Table Row]]))</f>
        <v>#N/A</v>
      </c>
      <c r="EK59" s="22" t="e">
        <f ca="1">"("&amp;TEXT(Table_Process_Details[[#This Row],['[Energy (MJ) per kg API'] of Unique Inputs Sorted by '[Energy (MJ) per kg API']]]/SUMIF(Table_Process_Details['[Energy (MJ) per kg API'] of Unique Inputs Sorted by '[Energy (MJ) per kg API']],"&lt;&gt;#N/A"),"0%")&amp;")"</f>
        <v>#N/A</v>
      </c>
      <c r="EL59" s="22" t="e">
        <f ca="1">INDEX(Table_Process_Details[Total '[Energy (MJ) per kg API'] of Unique Inputs (REAGENT)], MATCH(Table_Process_Details[[#This Row],[Unique Inputs Sorted by '[Energy (MJ) per kg API']]],Table_Process_Details[Unique Process Inputs],0))</f>
        <v>#N/A</v>
      </c>
      <c r="EM59" s="22" t="e">
        <f ca="1">INDEX(Table_Process_Details[Total '[Energy (MJ) per kg API'] of Unique Inputs (METAL)], MATCH(Table_Process_Details[[#This Row],[Unique Inputs Sorted by '[Energy (MJ) per kg API']]],Table_Process_Details[Unique Process Inputs],0))</f>
        <v>#N/A</v>
      </c>
      <c r="EN59" s="22" t="e">
        <f ca="1">INDEX(Table_Process_Details[Total '[Energy (MJ) per kg API'] of Unique Inputs (SOLVENT)], MATCH(Table_Process_Details[[#This Row],[Unique Inputs Sorted by '[Energy (MJ) per kg API']]],Table_Process_Details[Unique Process Inputs],0))</f>
        <v>#N/A</v>
      </c>
      <c r="EO59" s="22" t="e">
        <f ca="1">INDEX(Table_Process_Details[Total '[Energy (MJ) per kg API'] of Unique Inputs (WATER)], MATCH(Table_Process_Details[[#This Row],[Unique Inputs Sorted by '[Energy (MJ) per kg API']]],Table_Process_Details[Unique Process Inputs],0))</f>
        <v>#N/A</v>
      </c>
      <c r="EP59" s="22" t="e">
        <f ca="1">INDEX(Table_Process_Details[Total '[Energy (MJ) per kg API'] of Unique Inputs (ENZ&amp;PLNT)], MATCH(Table_Process_Details[[#This Row],[Unique Inputs Sorted by '[Energy (MJ) per kg API']]],Table_Process_Details[Unique Process Inputs],0))</f>
        <v>#N/A</v>
      </c>
      <c r="EQ59" s="22" t="e">
        <f ca="1">INDEX(Table_Process_Details[Total '[Energy (MJ) per kg API'] of Unique Inputs (OTHER)], MATCH(Table_Process_Details[[#This Row],[Unique Inputs Sorted by '[Energy (MJ) per kg API']]],Table_Process_Details[Unique Process Inputs],0))</f>
        <v>#N/A</v>
      </c>
      <c r="ER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3.0380115878349139E-2</v>
      </c>
      <c r="ES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2.6139196058916875E-2</v>
      </c>
      <c r="ET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4.2409198194322661E-3</v>
      </c>
      <c r="EW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5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59" s="22">
        <f ca="1">SUMIFS(Table_Process_Details[RV GWP (kg CO2 equiv.) per kg API],Table_Process_Details[Display Name],Table_Process_Details[[#This Row],[Unique Process Inputs]],Table_Process_Details[Input or Output],"Input")</f>
        <v>0</v>
      </c>
      <c r="EZ59" s="1">
        <f ca="1">SUMIFS(Table_Process_Details[RV GWP (kg CO2 equiv.) per kg API (REAGENT)],Table_Process_Details[Display Name],Table_Process_Details[[#This Row],[Unique Process Inputs]],Table_Process_Details[Input or Output],"Input")</f>
        <v>0</v>
      </c>
      <c r="FA59" s="1">
        <f ca="1">SUMIFS(Table_Process_Details[RV GWP (kg CO2 equiv.) per kg API (METAL)],Table_Process_Details[Display Name],Table_Process_Details[[#This Row],[Unique Process Inputs]],Table_Process_Details[Input or Output],"Input")</f>
        <v>0</v>
      </c>
      <c r="FB59" s="1">
        <f ca="1">SUMIFS(Table_Process_Details[RV GWP (kg CO2 equiv.) per kg API (SOLVENT)],Table_Process_Details[Display Name],Table_Process_Details[[#This Row],[Unique Process Inputs]],Table_Process_Details[Input or Output],"Input")</f>
        <v>0</v>
      </c>
      <c r="FC59" s="1">
        <f ca="1">SUMIFS(Table_Process_Details[RV GWP (kg CO2 equiv.) per kg API (WATER)],Table_Process_Details[Display Name],Table_Process_Details[[#This Row],[Unique Process Inputs]],Table_Process_Details[Input or Output],"Input")</f>
        <v>0</v>
      </c>
      <c r="FD59" s="1">
        <f ca="1">SUMIFS(Table_Process_Details[RV GWP (kg CO2 equiv.) per kg API (ENZ&amp;PLNT)],Table_Process_Details[Display Name],Table_Process_Details[[#This Row],[Unique Process Inputs]],Table_Process_Details[Input or Output],"Input")</f>
        <v>0</v>
      </c>
      <c r="FE59" s="1">
        <f ca="1">SUMIFS(Table_Process_Details[RV GWP (kg CO2 equiv.) per kg API (OTHER)],Table_Process_Details[Display Name],Table_Process_Details[[#This Row],[Unique Process Inputs]],Table_Process_Details[Input or Output],"Input")</f>
        <v>0</v>
      </c>
      <c r="FF59" s="22" t="e">
        <f ca="1">INDEX(Table_Process_Details[Unique Process Inputs],MATCH(Table_Process_Details[[#This Row],['[GWP (kg CO2 equiv.) per kg API'] of Unique Inputs Sorted by '[GWP (kg CO2 equiv.) per kg API']]],Table_Process_Details[Total '[GWP (kg CO2 equiv.) per kg API'] of Unique Inputs],0))</f>
        <v>#N/A</v>
      </c>
      <c r="FG59" s="22" t="e">
        <f ca="1">IF(LARGE(Table_Process_Details[Total '[GWP (kg CO2 equiv.) per kg API'] of Unique Inputs],Table_Process_Details[[#This Row],[Table Row]])=0,NA(),LARGE(Table_Process_Details[Total '[GWP (kg CO2 equiv.) per kg API'] of Unique Inputs],Table_Process_Details[[#This Row],[Table Row]]))</f>
        <v>#N/A</v>
      </c>
      <c r="FH59" s="22" t="e">
        <f ca="1">SUM(OFFSET(Table_Process_Details['[GWP (kg CO2 equiv.) per kg API'] of Unique Inputs Sorted by '[GWP (kg CO2 equiv.) per kg API']],0,0,Table_Process_Details[[#This Row],[Table Row]]))</f>
        <v>#N/A</v>
      </c>
      <c r="FI59" s="22" t="e">
        <f ca="1">"("&amp;TEXT(Table_Process_Details[[#This Row],['[GWP (kg CO2 equiv.) per kg API'] of Unique Inputs Sorted by '[GWP (kg CO2 equiv.) per kg API']]]/SUMIF(Table_Process_Details['[GWP (kg CO2 equiv.) per kg API'] of Unique Inputs Sorted by '[GWP (kg CO2 equiv.) per kg API']],"&lt;&gt;#N/A"),"0%")&amp;")"</f>
        <v>#N/A</v>
      </c>
      <c r="FJ59" s="22" t="e">
        <f ca="1">INDEX(Table_Process_Details[Total '[GWP (kg CO2 equiv.) per kg API'] of Unique Inputs (REAGENT)], MATCH(Table_Process_Details[[#This Row],[Unique Inputs Sorted by '[GWP (kg CO2 equiv.) per kg API']]],Table_Process_Details[Unique Process Inputs],0))</f>
        <v>#N/A</v>
      </c>
      <c r="FK59" s="22" t="e">
        <f ca="1">INDEX(Table_Process_Details[Total '[GWP (kg CO2 equiv.) per kg API'] of Unique Inputs (METAL)], MATCH(Table_Process_Details[[#This Row],[Unique Inputs Sorted by '[GWP (kg CO2 equiv.) per kg API']]],Table_Process_Details[Unique Process Inputs],0))</f>
        <v>#N/A</v>
      </c>
      <c r="FL59" s="22" t="e">
        <f ca="1">INDEX(Table_Process_Details[Total '[GWP (kg CO2 equiv.) per kg API'] of Unique Inputs (SOLVENT)], MATCH(Table_Process_Details[[#This Row],[Unique Inputs Sorted by '[GWP (kg CO2 equiv.) per kg API']]],Table_Process_Details[Unique Process Inputs],0))</f>
        <v>#N/A</v>
      </c>
      <c r="FM59" s="22" t="e">
        <f ca="1">INDEX(Table_Process_Details[Total '[GWP (kg CO2 equiv.) per kg API'] of Unique Inputs (WATER)], MATCH(Table_Process_Details[[#This Row],[Unique Inputs Sorted by '[GWP (kg CO2 equiv.) per kg API']]],Table_Process_Details[Unique Process Inputs],0))</f>
        <v>#N/A</v>
      </c>
      <c r="FN59" s="22" t="e">
        <f ca="1">INDEX(Table_Process_Details[Total '[GWP (kg CO2 equiv.) per kg API'] of Unique Inputs (ENZ&amp;PLNT)], MATCH(Table_Process_Details[[#This Row],[Unique Inputs Sorted by '[GWP (kg CO2 equiv.) per kg API']]],Table_Process_Details[Unique Process Inputs],0))</f>
        <v>#N/A</v>
      </c>
      <c r="FO59" s="22" t="e">
        <f ca="1">INDEX(Table_Process_Details[Total '[GWP (kg CO2 equiv.) per kg API'] of Unique Inputs (OTHER)], MATCH(Table_Process_Details[[#This Row],[Unique Inputs Sorted by '[GWP (kg CO2 equiv.) per kg API']]],Table_Process_Details[Unique Process Inputs],0))</f>
        <v>#N/A</v>
      </c>
      <c r="FP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2.7850736669307477E-4</v>
      </c>
      <c r="FQ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2.6225987095347518E-4</v>
      </c>
      <c r="FR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1.6247495739599621E-5</v>
      </c>
      <c r="FU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5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59" s="22">
        <f ca="1">SUMIFS(Table_Process_Details[RV Acidification (kg SO2 equiv.) per kg API],Table_Process_Details[Display Name],Table_Process_Details[[#This Row],[Unique Process Inputs]],Table_Process_Details[Input or Output],"Input")</f>
        <v>0</v>
      </c>
      <c r="FX59" s="1">
        <f ca="1">SUMIFS(Table_Process_Details[RV Acidification (kg SO2 equiv.) per kg API (REAGENT)],Table_Process_Details[Display Name],Table_Process_Details[[#This Row],[Unique Process Inputs]],Table_Process_Details[Input or Output],"Input")</f>
        <v>0</v>
      </c>
      <c r="FY59" s="1">
        <f ca="1">SUMIFS(Table_Process_Details[RV Acidification (kg SO2 equiv.) per kg API (METAL)],Table_Process_Details[Display Name],Table_Process_Details[[#This Row],[Unique Process Inputs]],Table_Process_Details[Input or Output],"Input")</f>
        <v>0</v>
      </c>
      <c r="FZ59" s="1">
        <f ca="1">SUMIFS(Table_Process_Details[RV Acidification (kg SO2 equiv.) per kg API (SOLVENT)],Table_Process_Details[Display Name],Table_Process_Details[[#This Row],[Unique Process Inputs]],Table_Process_Details[Input or Output],"Input")</f>
        <v>0</v>
      </c>
      <c r="GA59" s="1">
        <f ca="1">SUMIFS(Table_Process_Details[RV Acidification (kg SO2 equiv.) per kg API (WATER)],Table_Process_Details[Display Name],Table_Process_Details[[#This Row],[Unique Process Inputs]],Table_Process_Details[Input or Output],"Input")</f>
        <v>0</v>
      </c>
      <c r="GB59" s="1">
        <f ca="1">SUMIFS(Table_Process_Details[RV Acidification (kg SO2 equiv.) per kg API (ENZ&amp;PLNT)],Table_Process_Details[Display Name],Table_Process_Details[[#This Row],[Unique Process Inputs]],Table_Process_Details[Input or Output],"Input")</f>
        <v>0</v>
      </c>
      <c r="GC59" s="1">
        <f ca="1">SUMIFS(Table_Process_Details[RV Acidification (kg SO2 equiv.) per kg API (OTHER)],Table_Process_Details[Display Name],Table_Process_Details[[#This Row],[Unique Process Inputs]],Table_Process_Details[Input or Output],"Input")</f>
        <v>0</v>
      </c>
      <c r="GD59"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59"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59" s="22" t="e">
        <f ca="1">SUM(OFFSET(Table_Process_Details['[Acidification (kg SO2 equiv.) per kg API'] of Unique Inputs Sorted by '[Acidification (kg SO2 equiv.) per kg API']],0,0,Table_Process_Details[[#This Row],[Table Row]]))</f>
        <v>#N/A</v>
      </c>
      <c r="GG59"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59" s="22" t="e">
        <f ca="1">INDEX(Table_Process_Details[Total '[Acidification (kg SO2 equiv.) per kg API'] of Unique Inputs (REAGENT)], MATCH(Table_Process_Details[[#This Row],[Unique Inputs Sorted by '[Acidification (kg SO2 equiv.) per kg API']]],Table_Process_Details[Unique Process Inputs],0))</f>
        <v>#N/A</v>
      </c>
      <c r="GI59" s="22" t="e">
        <f ca="1">INDEX(Table_Process_Details[Total '[Acidification (kg SO2 equiv.) per kg API'] of Unique Inputs (METAL)], MATCH(Table_Process_Details[[#This Row],[Unique Inputs Sorted by '[Acidification (kg SO2 equiv.) per kg API']]],Table_Process_Details[Unique Process Inputs],0))</f>
        <v>#N/A</v>
      </c>
      <c r="GJ59" s="22" t="e">
        <f ca="1">INDEX(Table_Process_Details[Total '[Acidification (kg SO2 equiv.) per kg API'] of Unique Inputs (SOLVENT)], MATCH(Table_Process_Details[[#This Row],[Unique Inputs Sorted by '[Acidification (kg SO2 equiv.) per kg API']]],Table_Process_Details[Unique Process Inputs],0))</f>
        <v>#N/A</v>
      </c>
      <c r="GK59" s="22" t="e">
        <f ca="1">INDEX(Table_Process_Details[Total '[Acidification (kg SO2 equiv.) per kg API'] of Unique Inputs (WATER)], MATCH(Table_Process_Details[[#This Row],[Unique Inputs Sorted by '[Acidification (kg SO2 equiv.) per kg API']]],Table_Process_Details[Unique Process Inputs],0))</f>
        <v>#N/A</v>
      </c>
      <c r="GL59" s="22" t="e">
        <f ca="1">INDEX(Table_Process_Details[Total '[Acidification (kg SO2 equiv.) per kg API'] of Unique Inputs (ENZ&amp;PLNT)], MATCH(Table_Process_Details[[#This Row],[Unique Inputs Sorted by '[Acidification (kg SO2 equiv.) per kg API']]],Table_Process_Details[Unique Process Inputs],0))</f>
        <v>#N/A</v>
      </c>
      <c r="GM59" s="22" t="e">
        <f ca="1">INDEX(Table_Process_Details[Total '[Acidification (kg SO2 equiv.) per kg API'] of Unique Inputs (OTHER)], MATCH(Table_Process_Details[[#This Row],[Unique Inputs Sorted by '[Acidification (kg SO2 equiv.) per kg API']]],Table_Process_Details[Unique Process Inputs],0))</f>
        <v>#N/A</v>
      </c>
      <c r="GN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2.2886138407728764E-5</v>
      </c>
      <c r="GO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1.3207331630750549E-5</v>
      </c>
      <c r="GP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9.6788067769782142E-6</v>
      </c>
      <c r="GS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5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59" s="22">
        <f ca="1">SUMIFS(Table_Process_Details[RV Eutrophication (kg phosphate equiv.) per kg API],Table_Process_Details[Display Name],Table_Process_Details[[#This Row],[Unique Process Inputs]],Table_Process_Details[Input or Output],"Input")</f>
        <v>0</v>
      </c>
      <c r="GV59" s="1">
        <f ca="1">SUMIFS(Table_Process_Details[RV Eutrophication (kg phosphate equiv.) per kg API (REAGENT)],Table_Process_Details[Display Name],Table_Process_Details[[#This Row],[Unique Process Inputs]],Table_Process_Details[Input or Output],"Input")</f>
        <v>0</v>
      </c>
      <c r="GW59" s="1">
        <f ca="1">SUMIFS(Table_Process_Details[RV Eutrophication (kg phosphate equiv.) per kg API (METAL)],Table_Process_Details[Display Name],Table_Process_Details[[#This Row],[Unique Process Inputs]],Table_Process_Details[Input or Output],"Input")</f>
        <v>0</v>
      </c>
      <c r="GX59" s="1">
        <f ca="1">SUMIFS(Table_Process_Details[RV Eutrophication (kg phosphate equiv.) per kg API (SOLVENT)],Table_Process_Details[Display Name],Table_Process_Details[[#This Row],[Unique Process Inputs]],Table_Process_Details[Input or Output],"Input")</f>
        <v>0</v>
      </c>
      <c r="GY59" s="1">
        <f ca="1">SUMIFS(Table_Process_Details[RV Eutrophication (kg phosphate equiv.) per kg API (WATER)],Table_Process_Details[Display Name],Table_Process_Details[[#This Row],[Unique Process Inputs]],Table_Process_Details[Input or Output],"Input")</f>
        <v>0</v>
      </c>
      <c r="GZ59" s="1">
        <f ca="1">SUMIFS(Table_Process_Details[RV Eutrophication (kg phosphate equiv.) per kg API (ENZ&amp;PLNT)],Table_Process_Details[Display Name],Table_Process_Details[[#This Row],[Unique Process Inputs]],Table_Process_Details[Input or Output],"Input")</f>
        <v>0</v>
      </c>
      <c r="HA59" s="1">
        <f ca="1">SUMIFS(Table_Process_Details[RV Eutrophication (kg phosphate equiv.) per kg API (OTHER)],Table_Process_Details[Display Name],Table_Process_Details[[#This Row],[Unique Process Inputs]],Table_Process_Details[Input or Output],"Input")</f>
        <v>0</v>
      </c>
      <c r="HB59"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59"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59" s="22" t="e">
        <f ca="1">SUM(OFFSET(Table_Process_Details['[Eutrophication (kg posphate equiv.) per kg API'] of Unique Inputs Sorted by '[Eutrophication (kg posphate equiv.) per kg API']],0,0,Table_Process_Details[[#This Row],[Table Row]]))</f>
        <v>#N/A</v>
      </c>
      <c r="HE59"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59" s="1" t="e">
        <f ca="1">INDEX(Table_Process_Details[Total '[Eutrophication (kg posphate equiv.) per kg API'] of Unique Inputs (REAGENT)], MATCH(Table_Process_Details[[#This Row],[Unique Inputs Sorted by '[Eutrophication (kg posphate equiv.) per kg API']]],Table_Process_Details[Unique Process Inputs],0))</f>
        <v>#N/A</v>
      </c>
      <c r="HG59" s="1" t="e">
        <f ca="1">INDEX(Table_Process_Details[Total '[Eutrophication (kg posphate equiv.) per kg API'] of Unique Inputs (METAL)], MATCH(Table_Process_Details[[#This Row],[Unique Inputs Sorted by '[Eutrophication (kg posphate equiv.) per kg API']]],Table_Process_Details[Unique Process Inputs],0))</f>
        <v>#N/A</v>
      </c>
      <c r="HH59" s="1" t="e">
        <f ca="1">INDEX(Table_Process_Details[Total '[Eutrophication (kg posphate equiv.) per kg API'] of Unique Inputs (SOLVENT)], MATCH(Table_Process_Details[[#This Row],[Unique Inputs Sorted by '[Eutrophication (kg posphate equiv.) per kg API']]],Table_Process_Details[Unique Process Inputs],0))</f>
        <v>#N/A</v>
      </c>
      <c r="HI59" s="1" t="e">
        <f ca="1">INDEX(Table_Process_Details[Total '[Eutrophication (kg posphate equiv.) per kg API'] of Unique Inputs (WATER)], MATCH(Table_Process_Details[[#This Row],[Unique Inputs Sorted by '[Eutrophication (kg posphate equiv.) per kg API']]],Table_Process_Details[Unique Process Inputs],0))</f>
        <v>#N/A</v>
      </c>
      <c r="HJ59" s="1" t="e">
        <f ca="1">INDEX(Table_Process_Details[Total '[Eutrophication (kg posphate equiv.) per kg API'] of Unique Inputs (ENZ&amp;PLNT)], MATCH(Table_Process_Details[[#This Row],[Unique Inputs Sorted by '[Eutrophication (kg posphate equiv.) per kg API']]],Table_Process_Details[Unique Process Inputs],0))</f>
        <v>#N/A</v>
      </c>
      <c r="HK59" s="1" t="e">
        <f ca="1">INDEX(Table_Process_Details[Total '[Eutrophication (kg posphate equiv.) per kg API'] of Unique Inputs (OTHER)], MATCH(Table_Process_Details[[#This Row],[Unique Inputs Sorted by '[Eutrophication (kg posphate equiv.) per kg API']]],Table_Process_Details[Unique Process Inputs],0))</f>
        <v>#N/A</v>
      </c>
      <c r="HL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5.2877693397403256</v>
      </c>
      <c r="HM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1.3041862633033861E-2</v>
      </c>
      <c r="HN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5.2747274771072918</v>
      </c>
      <c r="HQ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5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59" s="1">
        <f ca="1">SUMIFS(Table_Process_Details[RV Water (kg) per kg API],Table_Process_Details[Display Name],Table_Process_Details[[#This Row],[Unique Process Inputs]],Table_Process_Details[Input or Output],"Input")</f>
        <v>0</v>
      </c>
      <c r="HT59" s="1">
        <f ca="1">SUMIFS(Table_Process_Details[RV Water (kg) per kg API (REAGENT)],Table_Process_Details[Display Name],Table_Process_Details[[#This Row],[Unique Process Inputs]],Table_Process_Details[Input or Output],"Input")</f>
        <v>0</v>
      </c>
      <c r="HU59" s="1">
        <f ca="1">SUMIFS(Table_Process_Details[RV Water (kg) per kg API (METAL)],Table_Process_Details[Display Name],Table_Process_Details[[#This Row],[Unique Process Inputs]],Table_Process_Details[Input or Output],"Input")</f>
        <v>0</v>
      </c>
      <c r="HV59" s="1">
        <f ca="1">SUMIFS(Table_Process_Details[RV Water (kg) per kg API (SOLVENT)],Table_Process_Details[Display Name],Table_Process_Details[[#This Row],[Unique Process Inputs]],Table_Process_Details[Input or Output],"Input")</f>
        <v>0</v>
      </c>
      <c r="HW59" s="1">
        <f ca="1">SUMIFS(Table_Process_Details[RV Water (kg) per kg API (WATER)],Table_Process_Details[Display Name],Table_Process_Details[[#This Row],[Unique Process Inputs]],Table_Process_Details[Input or Output],"Input")</f>
        <v>0</v>
      </c>
      <c r="HX59" s="1">
        <f ca="1">SUMIFS(Table_Process_Details[RV Water (kg) per kg API (ENZ&amp;PLNT)],Table_Process_Details[Display Name],Table_Process_Details[[#This Row],[Unique Process Inputs]],Table_Process_Details[Input or Output],"Input")</f>
        <v>0</v>
      </c>
      <c r="HY59" s="1">
        <f ca="1">SUMIFS(Table_Process_Details[RV Water (kg) per kg API (OTHER)],Table_Process_Details[Display Name],Table_Process_Details[[#This Row],[Unique Process Inputs]],Table_Process_Details[Input or Output],"Input")</f>
        <v>0</v>
      </c>
      <c r="HZ59" s="22" t="e">
        <f ca="1">INDEX(Table_Process_Details[Unique Process Inputs],MATCH(Table_Process_Details[[#This Row],['[Water (kg) per kg API'] of Unique Inputs Sorted by '[Water (kg) per kg API']]],Table_Process_Details[Total '[Water (kg) per kg API'] of Unique Inputs],0))</f>
        <v>#N/A</v>
      </c>
      <c r="IA59" s="22" t="e">
        <f ca="1">IF(LARGE(Table_Process_Details[Total '[Water (kg) per kg API'] of Unique Inputs],Table_Process_Details[[#This Row],[Table Row]])=0,NA(),LARGE(Table_Process_Details[Total '[Water (kg) per kg API'] of Unique Inputs],Table_Process_Details[[#This Row],[Table Row]]))</f>
        <v>#N/A</v>
      </c>
      <c r="IB59" s="1" t="e">
        <f ca="1">SUM(OFFSET(Table_Process_Details['[Water (kg) per kg API'] of Unique Inputs Sorted by '[Water (kg) per kg API']],0,0,Table_Process_Details[[#This Row],[Table Row]]))</f>
        <v>#N/A</v>
      </c>
      <c r="IC59" s="1" t="e">
        <f ca="1">"("&amp;TEXT(Table_Process_Details[[#This Row],['[Water (kg) per kg API'] of Unique Inputs Sorted by '[Water (kg) per kg API']]]/SUMIF(Table_Process_Details['[Water (kg) per kg API'] of Unique Inputs Sorted by '[Water (kg) per kg API']],"&lt;&gt;#N/A"),"0%")&amp;")"</f>
        <v>#N/A</v>
      </c>
      <c r="ID59" s="1" t="e">
        <f ca="1">INDEX(Table_Process_Details[Total '[Water (kg) per kg API'] of Unique Inputs (REAGENT)], MATCH(Table_Process_Details[[#This Row],[Unique Inputs Sorted by '[Water (kg) per kg API']]],Table_Process_Details[Unique Process Inputs],0))</f>
        <v>#N/A</v>
      </c>
      <c r="IE59" s="1" t="e">
        <f ca="1">INDEX(Table_Process_Details[Total '[Water (kg) per kg API'] of Unique Inputs (METAL)], MATCH(Table_Process_Details[[#This Row],[Unique Inputs Sorted by '[Water (kg) per kg API']]],Table_Process_Details[Unique Process Inputs],0))</f>
        <v>#N/A</v>
      </c>
      <c r="IF59" s="1" t="e">
        <f ca="1">INDEX(Table_Process_Details[Total '[Water (kg) per kg API'] of Unique Inputs (SOLVENT)], MATCH(Table_Process_Details[[#This Row],[Unique Inputs Sorted by '[Water (kg) per kg API']]],Table_Process_Details[Unique Process Inputs],0))</f>
        <v>#N/A</v>
      </c>
      <c r="IG59" s="1" t="e">
        <f ca="1">INDEX(Table_Process_Details[Total '[Water (kg) per kg API'] of Unique Inputs (WATER)], MATCH(Table_Process_Details[[#This Row],[Unique Inputs Sorted by '[Water (kg) per kg API']]],Table_Process_Details[Unique Process Inputs],0))</f>
        <v>#N/A</v>
      </c>
      <c r="IH59" s="1" t="e">
        <f ca="1">INDEX(Table_Process_Details[Total '[Water (kg) per kg API'] of Unique Inputs (ENZ&amp;PLNT)], MATCH(Table_Process_Details[[#This Row],[Unique Inputs Sorted by '[Water (kg) per kg API']]],Table_Process_Details[Unique Process Inputs],0))</f>
        <v>#N/A</v>
      </c>
      <c r="II59" s="1" t="e">
        <f ca="1">INDEX(Table_Process_Details[Total '[Water (kg) per kg API'] of Unique Inputs (OTHER)], MATCH(Table_Process_Details[[#This Row],[Unique Inputs Sorted by '[Water (kg) per kg API']]],Table_Process_Details[Unique Process Inputs],0))</f>
        <v>#N/A</v>
      </c>
    </row>
    <row r="60" spans="1:243" customFormat="1" x14ac:dyDescent="0.25">
      <c r="A60" s="22" t="str">
        <f t="shared" si="1"/>
        <v>2) Synthesis of Intermediate (2)</v>
      </c>
      <c r="B60" s="21" t="s">
        <v>4</v>
      </c>
      <c r="C60" s="21" t="s">
        <v>170</v>
      </c>
      <c r="D60" s="22" t="str">
        <f>A52</f>
        <v>2d) Virtual solution prep for (2): 0.2 M reagent H (inorganic) in water</v>
      </c>
      <c r="E60" s="22" t="str">
        <f>E52</f>
        <v>0.2 M reagent H (inorganic) in water</v>
      </c>
      <c r="F60" s="26">
        <v>100</v>
      </c>
      <c r="G60" s="26"/>
      <c r="H60" s="26"/>
      <c r="I60" s="26"/>
      <c r="J60" s="26" t="str">
        <f>INDEX(Process_Steps[Reference],MATCH(Table_Process_Details[[#This Row],[Step Name]],Process_Steps[Name],0))</f>
        <v>Reference Document for Step 2</v>
      </c>
      <c r="K60" s="27" t="str">
        <f>INDEX(Process_Steps[Real or Virtual?],MATCH(Table_Process_Details[[#This Row],[Step Name]],Process_Steps[Name],0))</f>
        <v>Real</v>
      </c>
      <c r="L6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60" s="26">
        <f>INDEX(Table_Process_Details[Physical Mass (kg)],MATCH(1,INDEX(((Table_Process_Details[Step Name]=Table_Process_Details[[#This Row],[Step Name]])*(Table_Process_Details[Input or Output]="Output")),0),0))</f>
        <v>157.52551020408163</v>
      </c>
      <c r="O60" s="29">
        <f ca="1">INDEX(Process_Steps[Step Scale Factor for 1kg Packaged API],MATCH(Table_Process_Details[[#This Row],[Step Name]],Process_Steps[Name],0))</f>
        <v>6.9901025556824191E-3</v>
      </c>
      <c r="P6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11.5</v>
      </c>
      <c r="Q6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9.5</v>
      </c>
      <c r="R60" s="26">
        <f ca="1">_xlfn.SWITCH(Run_Reset_PNG,"Reset",Table_Process_Details[[#This Row],[X Init]],"Run",Table_Process_Details[[#This Row],[X Moved]],"Freeze",Table_Process_Details[[#This Row],[X Mover]])</f>
        <v>2.4760936112858034</v>
      </c>
      <c r="S60" s="26">
        <f ca="1">_xlfn.SWITCH(Run_Reset_PNG,"Reset",Table_Process_Details[[#This Row],[Y Init]],"Run",Table_Process_Details[[#This Row],[Y Moved]],"Freeze",Table_Process_Details[[#This Row],[Y Mover]])</f>
        <v>2.682603164909243</v>
      </c>
      <c r="T60" s="26" cm="1">
        <f t="array" aca="1" ref="T6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0.10965847281093122</v>
      </c>
      <c r="U60" s="26" cm="1">
        <f t="array" aca="1" ref="U6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-4.466654054115538</v>
      </c>
      <c r="V60" s="26" cm="1">
        <f t="array" aca="1" ref="V60" ca="1">SUM(--(SQRT((Table_Process_Details[[#This Row],[X Mover]]-Table_Process_Details[X Mover])^2+(Table_Process_Details[[#This Row],[Y Mover]]-Table_Process_Details[Y Mover])^2)&lt;Collision_Distance))</f>
        <v>16</v>
      </c>
      <c r="W60" s="26" cm="1">
        <f t="array" aca="1" ref="W6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-0.11216969343301869</v>
      </c>
      <c r="X60" s="26" cm="1">
        <f t="array" aca="1" ref="X6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0.49821594927061053</v>
      </c>
      <c r="Y60" s="26" cm="1">
        <f t="array" aca="1" ref="Y6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60" s="26">
        <f>0</f>
        <v>0</v>
      </c>
      <c r="AA60" s="26">
        <f>0</f>
        <v>0</v>
      </c>
      <c r="AB6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-1.2380468056429017</v>
      </c>
      <c r="AC60" s="26" cm="1">
        <f t="array" aca="1" ref="AC6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-1.3413015824546215</v>
      </c>
      <c r="AD60" s="26">
        <f>MIN(1,COUNTA(Table_Process_Details[[#This Row],[target x]]),COUNTA(Table_Process_Details[[#This Row],[target y]]))*COUNTA(Table_Process_Details[Step Name])</f>
        <v>98</v>
      </c>
      <c r="AE6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2.4142292884501515</v>
      </c>
      <c r="AF6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2.6388585103209534</v>
      </c>
      <c r="AG6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60" s="26" cm="1">
        <f t="array" aca="1" ref="AH60" ca="1">INDEX(Table_Process_Details[X Mover],MATCH(1,INDEX((Table_Process_Details[Input or Output]="Output")*(Table_Process_Details[Step Name]=Table_Process_Details[[#This Row],[Step Name]])*(Table_Process_Details[[#This Row],[Input or Output]]="Input"),0),0))</f>
        <v>1.9309511115841147</v>
      </c>
      <c r="AI60" s="26" cm="1">
        <f t="array" aca="1" ref="AI60" ca="1">INDEX(Table_Process_Details[Y Mover],MATCH(1,INDEX((Table_Process_Details[Input or Output]="Output")*(Table_Process_Details[Step Name]=Table_Process_Details[[#This Row],[Step Name]])*(Table_Process_Details[[#This Row],[Input or Output]]="Input"),0),0))</f>
        <v>7.9388892826190514</v>
      </c>
      <c r="AJ60" s="26">
        <f ca="1">SQRT((Table_Process_Details[[#This Row],[X End (To Node Center)]]-Table_Process_Details[[#This Row],[X Guide]])^2+(Table_Process_Details[[#This Row],[Y End (to Node Center)]]-Table_Process_Details[[#This Row],[Y Guide]])^2)</f>
        <v>5.2844795482819169</v>
      </c>
      <c r="AK60" s="26" cm="1">
        <f t="array" aca="1" ref="AK60" ca="1">INDEX(Table_Process_Details[X Mover],MATCH(1,INDEX((Table_Process_Details[Step Name]=Table_Process_Details[[#This Row],[LCA Data Source Subclass]])*(Table_Process_Details[Input or Output]="Output"),0)*(Table_Process_Details[[#This Row],[Input or Output]]="Input"),0))</f>
        <v>2.5140487336853532</v>
      </c>
      <c r="AL60" s="26" cm="1">
        <f t="array" aca="1" ref="AL60" ca="1">INDEX(Table_Process_Details[X Mover],MATCH(1,INDEX(((Table_Process_Details[Table Row]=Table_Process_Details[[#This Row],[Table Row]])*(1)),0)*(Table_Process_Details[[#This Row],[Input or Output]]="Input"),0))</f>
        <v>2.4760936112858034</v>
      </c>
      <c r="AM60" s="26" cm="1">
        <f t="array" aca="1" ref="AM60" ca="1">(Table_Process_Details[[#This Row],[X End (To Node Center)]]*Table_Process_Details[[#This Row],[r0]]-Table_Process_Details[[#This Row],[X End (To Node Center)]]*Arrow_Offset+Table_Process_Details[[#This Row],[X Guide]]*Arrow_Offset)/Table_Process_Details[[#This Row],[r0]]</f>
        <v>2.0134784438931481</v>
      </c>
      <c r="AN60" s="26">
        <f ca="1">IF(NOT(Table_Process_Details[[#This Row],[Display As]]="None"),Table_Process_Details[[#This Row],[X Start Prefilter]],NA())</f>
        <v>2.5140487336853532</v>
      </c>
      <c r="AO60" s="26">
        <f ca="1">IF(NOT(Table_Process_Details[[#This Row],[Display As]]="None"),Table_Process_Details[[#This Row],[X Guide Prefilter]],NA())</f>
        <v>2.4760936112858034</v>
      </c>
      <c r="AP60" s="26">
        <f ca="1">IF(NOT(Table_Process_Details[[#This Row],[Display As]]="None"),Table_Process_Details[[#This Row],[X End (to Stop Radius) Prefilter]],NA())</f>
        <v>2.0134784438931481</v>
      </c>
      <c r="AQ60" s="26" t="e">
        <f>NA()</f>
        <v>#N/A</v>
      </c>
      <c r="AR60" s="26" cm="1">
        <f t="array" aca="1" ref="AR60" ca="1">INDEX(Table_Process_Details[Y Mover],MATCH(1,INDEX((Table_Process_Details[Step Name]=Table_Process_Details[[#This Row],[LCA Data Source Subclass]])*(Table_Process_Details[Input or Output]="Output"),0)*(Table_Process_Details[[#This Row],[Input or Output]]="Input"),0))</f>
        <v>-1.5931382791618636</v>
      </c>
      <c r="AS60" s="26" cm="1">
        <f t="array" aca="1" ref="AS60" ca="1">INDEX(Table_Process_Details[Y Mover],MATCH(1,INDEX(((Table_Process_Details[Table Row]=Table_Process_Details[[#This Row],[Table Row]])*(1)),0)*(Table_Process_Details[[#This Row],[Input or Output]]="Input"),0))</f>
        <v>2.682603164909243</v>
      </c>
      <c r="AT60" s="26" cm="1">
        <f t="array" aca="1" ref="AT60" ca="1">(Table_Process_Details[[#This Row],[Y Guide]]*Arrow_Offset-Table_Process_Details[[#This Row],[Y End (to Node Center)]]*Arrow_Offset+Table_Process_Details[[#This Row],[Y End (to Node Center)]]*Table_Process_Details[[#This Row],[r0]])/Table_Process_Details[[#This Row],[r0]]</f>
        <v>7.1431573934616832</v>
      </c>
      <c r="AU60" s="26">
        <f ca="1">IF(NOT(Table_Process_Details[[#This Row],[Display As]]="None"),Table_Process_Details[[#This Row],[Y Start Prefilter]],NA())</f>
        <v>-1.5931382791618636</v>
      </c>
      <c r="AV60" s="26">
        <f ca="1">IF(NOT(Table_Process_Details[[#This Row],[Display As]]="None"),Table_Process_Details[[#This Row],[Y Guide Prefilter]],NA())</f>
        <v>2.682603164909243</v>
      </c>
      <c r="AW60" s="26">
        <f ca="1">IF(NOT(Table_Process_Details[[#This Row],[Display As]]="None"),Table_Process_Details[[#This Row],[Y End (to Stop Radius) Prefilter]],NA())</f>
        <v>7.1431573934616832</v>
      </c>
      <c r="AX60" s="26" t="e">
        <f>NA()</f>
        <v>#N/A</v>
      </c>
      <c r="AY60" s="26" t="e">
        <f>IF(Table_Process_Details[[#This Row],[Display As]]="Real Step",Table_Process_Details[[#This Row],[X Mover]],NA())</f>
        <v>#N/A</v>
      </c>
      <c r="AZ60" s="26" t="e">
        <f>IF(Table_Process_Details[[#This Row],[Display As]]="Real Step",Table_Process_Details[[#This Row],[Y Mover]],NA())</f>
        <v>#N/A</v>
      </c>
      <c r="BA60" s="26" t="e">
        <f>IF(Table_Process_Details[[#This Row],[Display As]]="Raw Material",Table_Process_Details[[#This Row],[X Mover]],NA())</f>
        <v>#N/A</v>
      </c>
      <c r="BB60" s="26" t="e">
        <f>IF(Table_Process_Details[[#This Row],[Display As]]="Raw Material",Table_Process_Details[[#This Row],[Y Mover]],NA())</f>
        <v>#N/A</v>
      </c>
      <c r="BC60" s="26" t="e">
        <f>IF(OR(Table_Process_Details[[#This Row],[Display As]]="Real Step",Table_Process_Details[[#This Row],[Display As]]="Raw Material"),Table_Process_Details[[#This Row],[X Mover]],NA())</f>
        <v>#N/A</v>
      </c>
      <c r="BD60" s="26" t="e">
        <f>IF(OR(Table_Process_Details[[#This Row],[Display As]]="Real Step",Table_Process_Details[[#This Row],[Display As]]="Raw Material"),Table_Process_Details[[#This Row],[Y Mover]],NA())</f>
        <v>#N/A</v>
      </c>
      <c r="BE60" s="22">
        <f>ROW()-ROW(Table_Process_Details[[#Headers],[Table Row]])</f>
        <v>56</v>
      </c>
      <c r="BF60" s="23" t="e" cm="1">
        <f t="array" aca="1" ref="BF60" ca="1">INDEX(Table_Process_Details[Display Name],MATCH(0,IF(Table_Process_Details[Input or Output]="Input",INDEX(COUNTIF(OFFSET(Table_Process_Details[[#Headers],[Unique Process Inputs]],0,0,Table_Process_Details[[#This Row],[Table Row]],1),Table_Process_Details[Display Name]),),""),0))</f>
        <v>#N/A</v>
      </c>
      <c r="BG60" s="23">
        <f ca="1">Table_Process_Details[[#This Row],[Physical Mass (kg)]]*Table_Process_Details[[#This Row],[Step Scale Factor for 1kg Packaged API]]</f>
        <v>0.69901025556824192</v>
      </c>
      <c r="BH6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0.99999999999943712</v>
      </c>
      <c r="BI60" s="23">
        <f ca="1">MATCH(Table_Process_Details[[#This Row],[LCA Data Source Class]],INDIRECT(Table_Process_Details[[#This Row],[Input or Output]]),0)</f>
        <v>1</v>
      </c>
      <c r="BJ60" s="23">
        <f ca="1">MATCH(Table_Process_Details[[#This Row],[LCA Data Source Subclass]],INDIRECT(Table_Process_Details[[#This Row],[LCA Data Source Class]]&amp;"[Name]"),0)</f>
        <v>11</v>
      </c>
      <c r="BK60" s="23">
        <f ca="1">IFERROR(INDEX(INDIRECT(Table_Process_Details[[#This Row],[LCA Data Source Class]]&amp;"[Mass Net (kg)]"),MATCH(Table_Process_Details[[#This Row],[LCA Data Source Subclass]],INDIRECT(Table_Process_Details[[#This Row],[LCA Data Source Class]]&amp;"[Name]"),0)),0)</f>
        <v>0</v>
      </c>
      <c r="BL60" s="23">
        <f ca="1">IFERROR(INDEX(INDIRECT(Table_Process_Details[[#This Row],[LCA Data Source Class]]&amp;"[Energy (MJ)]"),MATCH(Table_Process_Details[[#This Row],[LCA Data Source Subclass]],INDIRECT(Table_Process_Details[[#This Row],[LCA Data Source Class]]&amp;"[Name]"),0)),0)</f>
        <v>0</v>
      </c>
      <c r="BM60" s="23">
        <f ca="1">IFERROR(INDEX(INDIRECT(Table_Process_Details[[#This Row],[LCA Data Source Class]]&amp;"[GWP (kg CO2 equiv.)]"),MATCH(Table_Process_Details[[#This Row],[LCA Data Source Subclass]],INDIRECT(Table_Process_Details[[#This Row],[LCA Data Source Class]]&amp;"[Name]"),0)),0)</f>
        <v>0</v>
      </c>
      <c r="BN60" s="23">
        <f ca="1">IFERROR(INDEX(INDIRECT(Table_Process_Details[[#This Row],[LCA Data Source Class]]&amp;"[Acidification (kg SO2 equiv.)]"),MATCH(Table_Process_Details[[#This Row],[LCA Data Source Subclass]],INDIRECT(Table_Process_Details[[#This Row],[LCA Data Source Class]]&amp;"[Name]"),0)),0)</f>
        <v>0</v>
      </c>
      <c r="BO60" s="23">
        <f ca="1">IFERROR(INDEX(INDIRECT(Table_Process_Details[[#This Row],[LCA Data Source Class]]&amp;"[Eutrophication (kg posphate equiv.)]"),MATCH(Table_Process_Details[[#This Row],[LCA Data Source Subclass]],INDIRECT(Table_Process_Details[[#This Row],[LCA Data Source Class]]&amp;"[Name]"),0)),0)</f>
        <v>0</v>
      </c>
      <c r="BP60" s="23">
        <f ca="1">IFERROR(INDEX(INDIRECT(Table_Process_Details[[#This Row],[LCA Data Source Class]]&amp;"[Water (kg)]"),MATCH(Table_Process_Details[[#This Row],[LCA Data Source Subclass]],INDIRECT(Table_Process_Details[[#This Row],[LCA Data Source Class]]&amp;"[Name]"),0)),0)</f>
        <v>0</v>
      </c>
      <c r="BQ60" s="27">
        <f ca="1">(Table_Process_Details[[#This Row],[Input or Output]]="Input")*(Table_Process_Details[[#This Row],[LCA Data Source Class]]&lt;&gt;"Process_Steps")*Table_Process_Details[[#This Row],[Scaled Physical Mass per kg API for All Inputs &amp; Outputs]]</f>
        <v>0</v>
      </c>
      <c r="BR60" s="27">
        <f ca="1">(Table_Process_Details[[#This Row],[Material Class]]="REAGENT")*Table_Process_Details[[#This Row],[Physical Mass per kg API]]</f>
        <v>0</v>
      </c>
      <c r="BS60" s="27">
        <f ca="1">(Table_Process_Details[[#This Row],[Material Class]]="METAL")*Table_Process_Details[[#This Row],[Physical Mass per kg API]]</f>
        <v>0</v>
      </c>
      <c r="BT60" s="27">
        <f ca="1">(Table_Process_Details[[#This Row],[Material Class]]="SOLVENT")*Table_Process_Details[[#This Row],[Physical Mass per kg API]]</f>
        <v>0</v>
      </c>
      <c r="BU60" s="27">
        <f ca="1">(Table_Process_Details[[#This Row],[Material Class]]="WATER")*Table_Process_Details[[#This Row],[Physical Mass per kg API]]</f>
        <v>0</v>
      </c>
      <c r="BV60" s="27">
        <f ca="1">(Table_Process_Details[[#This Row],[Material Class]]="ENZ&amp;PLNT")*Table_Process_Details[[#This Row],[Physical Mass per kg API]]</f>
        <v>0</v>
      </c>
      <c r="BW60" s="27">
        <f ca="1">(Table_Process_Details[[#This Row],[Material Class]]="OTHER")*Table_Process_Details[[#This Row],[Physical Mass per kg API]]</f>
        <v>0</v>
      </c>
      <c r="BX6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0.69901025556824192</v>
      </c>
      <c r="BY6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1.3980205111364839E-3</v>
      </c>
      <c r="BZ6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0.69761223505710546</v>
      </c>
      <c r="CC6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0" s="1">
        <f ca="1">SUMIFS(Table_Process_Details[RV Physical Mass per kg API],Table_Process_Details[Display Name],Table_Process_Details[[#This Row],[Unique Process Inputs]],Table_Process_Details[Input or Output],"Input")</f>
        <v>0</v>
      </c>
      <c r="CF60" s="1">
        <f ca="1">SUMIFS(Table_Process_Details[RV Physical Mass per kg API (REAGENT)],Table_Process_Details[Display Name],Table_Process_Details[[#This Row],[Unique Process Inputs]],Table_Process_Details[Input or Output],"Input")</f>
        <v>0</v>
      </c>
      <c r="CG60" s="1">
        <f ca="1">SUMIFS(Table_Process_Details[RV Physical Mass per kg API (METAL)],Table_Process_Details[Display Name],Table_Process_Details[[#This Row],[Unique Process Inputs]],Table_Process_Details[Input or Output],"Input")</f>
        <v>0</v>
      </c>
      <c r="CH60" s="1">
        <f ca="1">SUMIFS(Table_Process_Details[RV Physical Mass per kg API (SOLVENT)],Table_Process_Details[Display Name],Table_Process_Details[[#This Row],[Unique Process Inputs]],Table_Process_Details[Input or Output],"Input")</f>
        <v>0</v>
      </c>
      <c r="CI60" s="1">
        <f ca="1">SUMIFS(Table_Process_Details[RV Physical Mass per kg API (WATER)],Table_Process_Details[Display Name],Table_Process_Details[[#This Row],[Unique Process Inputs]],Table_Process_Details[Input or Output],"Input")</f>
        <v>0</v>
      </c>
      <c r="CJ60" s="1">
        <f ca="1">SUMIFS(Table_Process_Details[RV Physical Mass per kg API (ENZ&amp;PLNT)],Table_Process_Details[Display Name],Table_Process_Details[[#This Row],[Unique Process Inputs]],Table_Process_Details[Input or Output],"Input")</f>
        <v>0</v>
      </c>
      <c r="CK60" s="1">
        <f ca="1">SUMIFS(Table_Process_Details[RV Physical Mass per kg API (OTHER)],Table_Process_Details[Display Name],Table_Process_Details[[#This Row],[Unique Process Inputs]],Table_Process_Details[Input or Output],"Input")</f>
        <v>0</v>
      </c>
      <c r="CL60" s="22" t="e">
        <f ca="1">INDEX(Table_Process_Details[Unique Process Inputs],MATCH(Table_Process_Details[[#This Row],['[Physical Mass per kg API'] of Unique Inputs Sorted by '[Physical Mass per kg API']]],Table_Process_Details[Total '[Physical Mass per kg API'] of Unique Inputs],0))</f>
        <v>#N/A</v>
      </c>
      <c r="CM60" s="22" t="e">
        <f ca="1">IF(LARGE(Table_Process_Details[Total '[Physical Mass per kg API'] of Unique Inputs],Table_Process_Details[[#This Row],[Table Row]])=0,NA(),LARGE(Table_Process_Details[Total '[Physical Mass per kg API'] of Unique Inputs],Table_Process_Details[[#This Row],[Table Row]]))</f>
        <v>#N/A</v>
      </c>
      <c r="CN60" s="22" t="e">
        <f ca="1">SUM(OFFSET(Table_Process_Details['[Physical Mass per kg API'] of Unique Inputs Sorted by '[Physical Mass per kg API']],0,0,Table_Process_Details[[#This Row],[Table Row]]))</f>
        <v>#N/A</v>
      </c>
      <c r="CO60" s="22" t="e">
        <f ca="1">"("&amp;TEXT(Table_Process_Details[[#This Row],['[Physical Mass per kg API'] of Unique Inputs Sorted by '[Physical Mass per kg API']]]/SUMIF(Table_Process_Details['[Physical Mass per kg API'] of Unique Inputs Sorted by '[Physical Mass per kg API']],"&lt;&gt;#N/A"),"0%")&amp;")"</f>
        <v>#N/A</v>
      </c>
      <c r="CP60" s="22" t="e">
        <f ca="1">INDEX(Table_Process_Details[Total '[Physical Mass per kg API'] of Unique Inputs (REAGENT)],MATCH(Table_Process_Details[[#This Row],[Unique Inputs Sorted by '[Physical Mass per kg API']]],Table_Process_Details[Unique Process Inputs],0))</f>
        <v>#N/A</v>
      </c>
      <c r="CQ60" s="22" t="e">
        <f ca="1">INDEX(Table_Process_Details[Total '[Physical Mass per kg API'] of Unique Inputs (METAL)],MATCH(Table_Process_Details[[#This Row],[Unique Inputs Sorted by '[Physical Mass per kg API']]],Table_Process_Details[Unique Process Inputs],0))</f>
        <v>#N/A</v>
      </c>
      <c r="CR60" s="22" t="e">
        <f ca="1">INDEX(Table_Process_Details[Total '[Physical Mass per kg API'] of Unique Inputs (SOLVENT)],MATCH(Table_Process_Details[[#This Row],[Unique Inputs Sorted by '[Physical Mass per kg API']]],Table_Process_Details[Unique Process Inputs],0))</f>
        <v>#N/A</v>
      </c>
      <c r="CS60" s="22" t="e">
        <f ca="1">INDEX(Table_Process_Details[Total '[Physical Mass per kg API'] of Unique Inputs (WATER)],MATCH(Table_Process_Details[[#This Row],[Unique Inputs Sorted by '[Physical Mass per kg API']]],Table_Process_Details[Unique Process Inputs],0))</f>
        <v>#N/A</v>
      </c>
      <c r="CT60" s="22" t="e">
        <f ca="1">INDEX(Table_Process_Details[Total '[Physical Mass per kg API'] of Unique Inputs (ENZ&amp;PLNT)],MATCH(Table_Process_Details[[#This Row],[Unique Inputs Sorted by '[Physical Mass per kg API']]],Table_Process_Details[Unique Process Inputs],0))</f>
        <v>#N/A</v>
      </c>
      <c r="CU60" s="22" t="e">
        <f ca="1">INDEX(Table_Process_Details[Total '[Physical Mass per kg API'] of Unique Inputs (OTHER)],MATCH(Table_Process_Details[[#This Row],[Unique Inputs Sorted by '[Physical Mass per kg API']]],Table_Process_Details[Unique Process Inputs],0))</f>
        <v>#N/A</v>
      </c>
      <c r="CV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2.9408792810862202E-3</v>
      </c>
      <c r="CW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1.8733474849228886E-3</v>
      </c>
      <c r="CX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1.0675317961633319E-3</v>
      </c>
      <c r="DA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0" s="22">
        <f ca="1">SUMIFS(Table_Process_Details[RV Mass Net (kg) per kg API],Table_Process_Details[Display Name],Table_Process_Details[[#This Row],[Unique Process Inputs]],Table_Process_Details[Input or Output],"Input")</f>
        <v>0</v>
      </c>
      <c r="DD60" s="22">
        <f ca="1">SUMIFS(Table_Process_Details[RV Mass Net (kg) per kg API (REAGENT)],Table_Process_Details[Display Name],Table_Process_Details[[#This Row],[Unique Process Inputs]],Table_Process_Details[Input or Output],"Input")</f>
        <v>0</v>
      </c>
      <c r="DE60" s="22">
        <f ca="1">SUMIFS(Table_Process_Details[RV Mass Net (kg) per kg API (METAL)],Table_Process_Details[Display Name],Table_Process_Details[[#This Row],[Unique Process Inputs]],Table_Process_Details[Input or Output],"Input")</f>
        <v>0</v>
      </c>
      <c r="DF60" s="22">
        <f ca="1">SUMIFS(Table_Process_Details[RV Mass Net (kg) per kg API (SOLVENT)],Table_Process_Details[Display Name],Table_Process_Details[[#This Row],[Unique Process Inputs]],Table_Process_Details[Input or Output],"Input")</f>
        <v>0</v>
      </c>
      <c r="DG60" s="22">
        <f ca="1">SUMIFS(Table_Process_Details[RV Mass Net (kg) per kg API (WATER)],Table_Process_Details[Display Name],Table_Process_Details[[#This Row],[Unique Process Inputs]],Table_Process_Details[Input or Output],"Input")</f>
        <v>0</v>
      </c>
      <c r="DH60" s="22">
        <f ca="1">SUMIFS(Table_Process_Details[RV Mass Net (kg) per kg API (ENZ&amp;PLNT)],Table_Process_Details[Display Name],Table_Process_Details[[#This Row],[Unique Process Inputs]],Table_Process_Details[Input or Output],"Input")</f>
        <v>0</v>
      </c>
      <c r="DI60" s="22">
        <f ca="1">SUMIFS(Table_Process_Details[RV Mass Net (kg) per kg API (OTHER)],Table_Process_Details[Display Name],Table_Process_Details[[#This Row],[Unique Process Inputs]],Table_Process_Details[Input or Output],"Input")</f>
        <v>0</v>
      </c>
      <c r="DJ60" s="22" t="e">
        <f ca="1">INDEX(Table_Process_Details[Unique Process Inputs],MATCH(Table_Process_Details[[#This Row],['[Mass Net (kg) per kg API'] of Unique Inputs Sorted by '[Mass Net (kg) per kg API']]],Table_Process_Details[Total '[Mass Net (kg) per kg API'] of Unique Inputs],0))</f>
        <v>#N/A</v>
      </c>
      <c r="DK60" s="22" t="e">
        <f ca="1">IF(LARGE(Table_Process_Details[Total '[Mass Net (kg) per kg API'] of Unique Inputs],Table_Process_Details[[#This Row],[Table Row]])=0,NA(),LARGE(Table_Process_Details[Total '[Mass Net (kg) per kg API'] of Unique Inputs],Table_Process_Details[[#This Row],[Table Row]]))</f>
        <v>#N/A</v>
      </c>
      <c r="DL60" s="22" t="e">
        <f ca="1">SUM(OFFSET(Table_Process_Details['[Mass Net (kg) per kg API'] of Unique Inputs Sorted by '[Mass Net (kg) per kg API']],0,0,Table_Process_Details[[#This Row],[Table Row]]))</f>
        <v>#N/A</v>
      </c>
      <c r="DM60" s="22" t="e">
        <f ca="1">"("&amp;TEXT(Table_Process_Details[[#This Row],['[Mass Net (kg) per kg API'] of Unique Inputs Sorted by '[Mass Net (kg) per kg API']]]/SUMIF(Table_Process_Details['[Mass Net (kg) per kg API'] of Unique Inputs Sorted by '[Mass Net (kg) per kg API']],"&lt;&gt;#N/A"),"0%")&amp;")"</f>
        <v>#N/A</v>
      </c>
      <c r="DN60" s="22" t="e">
        <f ca="1">INDEX(Table_Process_Details[Total '[Mass Net (kg) per kg API'] of Unique Inputs (REAGENT)], MATCH(Table_Process_Details[[#This Row],[Unique Inputs Sorted by '[Mass Net (kg) per kg API']]],Table_Process_Details[Unique Process Inputs],0))</f>
        <v>#N/A</v>
      </c>
      <c r="DO60" s="22" t="e">
        <f ca="1">INDEX(Table_Process_Details[Total '[Mass Net (kg) per kg API'] of Unique Inputs (METAL)], MATCH(Table_Process_Details[[#This Row],[Unique Inputs Sorted by '[Mass Net (kg) per kg API']]],Table_Process_Details[Unique Process Inputs],0))</f>
        <v>#N/A</v>
      </c>
      <c r="DP60" s="22" t="e">
        <f ca="1">INDEX(Table_Process_Details[Total '[Mass Net (kg) per kg API'] of Unique Inputs (SOLVENT)], MATCH(Table_Process_Details[[#This Row],[Unique Inputs Sorted by '[Mass Net (kg) per kg API']]],Table_Process_Details[Unique Process Inputs],0))</f>
        <v>#N/A</v>
      </c>
      <c r="DQ60" s="22" t="e">
        <f ca="1">INDEX(Table_Process_Details[Total '[Mass Net (kg) per kg API'] of Unique Inputs (WATER)], MATCH(Table_Process_Details[[#This Row],[Unique Inputs Sorted by '[Mass Net (kg) per kg API']]],Table_Process_Details[Unique Process Inputs],0))</f>
        <v>#N/A</v>
      </c>
      <c r="DR60" s="22" t="e">
        <f ca="1">INDEX(Table_Process_Details[Total '[Mass Net (kg) per kg API'] of Unique Inputs (ENZ&amp;PLNT)], MATCH(Table_Process_Details[[#This Row],[Unique Inputs Sorted by '[Mass Net (kg) per kg API']]],Table_Process_Details[Unique Process Inputs],0))</f>
        <v>#N/A</v>
      </c>
      <c r="DS60" s="22" t="e">
        <f ca="1">INDEX(Table_Process_Details[Total '[Mass Net (kg) per kg API'] of Unique Inputs (OTHER)], MATCH(Table_Process_Details[[#This Row],[Unique Inputs Sorted by '[Mass Net (kg) per kg API']]],Table_Process_Details[Unique Process Inputs],0))</f>
        <v>#N/A</v>
      </c>
      <c r="DT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2.8156185950648272E-2</v>
      </c>
      <c r="DU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1.4860958033380825E-2</v>
      </c>
      <c r="DV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1.3295227917267448E-2</v>
      </c>
      <c r="DY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0" s="1">
        <f ca="1">SUMIFS(Table_Process_Details[RV Energy (MJ) per kg API],Table_Process_Details[Display Name],Table_Process_Details[[#This Row],[Unique Process Inputs]],Table_Process_Details[Input or Output],"Input")</f>
        <v>0</v>
      </c>
      <c r="EB60" s="1">
        <f ca="1">SUMIFS(Table_Process_Details[RV Energy (MJ) per kg API (REAGENT)],Table_Process_Details[Display Name],Table_Process_Details[[#This Row],[Unique Process Inputs]],Table_Process_Details[Input or Output],"Input")</f>
        <v>0</v>
      </c>
      <c r="EC60" s="1">
        <f ca="1">SUMIFS(Table_Process_Details[RV Energy (MJ) per kg API (METAL)],Table_Process_Details[Display Name],Table_Process_Details[[#This Row],[Unique Process Inputs]],Table_Process_Details[Input or Output],"Input")</f>
        <v>0</v>
      </c>
      <c r="ED60" s="1">
        <f ca="1">SUMIFS(Table_Process_Details[RV Energy (MJ) per kg API (SOLVENT)],Table_Process_Details[Display Name],Table_Process_Details[[#This Row],[Unique Process Inputs]],Table_Process_Details[Input or Output],"Input")</f>
        <v>0</v>
      </c>
      <c r="EE60" s="1">
        <f ca="1">SUMIFS(Table_Process_Details[RV Energy (MJ) per kg API (WATER)],Table_Process_Details[Display Name],Table_Process_Details[[#This Row],[Unique Process Inputs]],Table_Process_Details[Input or Output],"Input")</f>
        <v>0</v>
      </c>
      <c r="EF60" s="1">
        <f ca="1">SUMIFS(Table_Process_Details[RV Energy (MJ) per kg API (ENZ&amp;PLNT)],Table_Process_Details[Display Name],Table_Process_Details[[#This Row],[Unique Process Inputs]],Table_Process_Details[Input or Output],"Input")</f>
        <v>0</v>
      </c>
      <c r="EG60" s="1">
        <f ca="1">SUMIFS(Table_Process_Details[RV Energy (MJ) per kg API (OTHER)],Table_Process_Details[Display Name],Table_Process_Details[[#This Row],[Unique Process Inputs]],Table_Process_Details[Input or Output],"Input")</f>
        <v>0</v>
      </c>
      <c r="EH60" s="1" t="e">
        <f ca="1">INDEX(Table_Process_Details[Unique Process Inputs],MATCH(Table_Process_Details[[#This Row],['[Energy (MJ) per kg API'] of Unique Inputs Sorted by '[Energy (MJ) per kg API']]],Table_Process_Details[Total '[Energy (MJ) per kg API'] of Unique Inputs],0))</f>
        <v>#N/A</v>
      </c>
      <c r="EI60" s="22" t="e">
        <f ca="1">IF(LARGE(Table_Process_Details[Total '[Energy (MJ) per kg API'] of Unique Inputs],Table_Process_Details[[#This Row],[Table Row]])=0,NA(),LARGE(Table_Process_Details[Total '[Energy (MJ) per kg API'] of Unique Inputs],Table_Process_Details[[#This Row],[Table Row]]))</f>
        <v>#N/A</v>
      </c>
      <c r="EJ60" s="22" t="e">
        <f ca="1">SUM(OFFSET(Table_Process_Details['[Energy (MJ) per kg API'] of Unique Inputs Sorted by '[Energy (MJ) per kg API']],0,0,Table_Process_Details[[#This Row],[Table Row]]))</f>
        <v>#N/A</v>
      </c>
      <c r="EK60" s="22" t="e">
        <f ca="1">"("&amp;TEXT(Table_Process_Details[[#This Row],['[Energy (MJ) per kg API'] of Unique Inputs Sorted by '[Energy (MJ) per kg API']]]/SUMIF(Table_Process_Details['[Energy (MJ) per kg API'] of Unique Inputs Sorted by '[Energy (MJ) per kg API']],"&lt;&gt;#N/A"),"0%")&amp;")"</f>
        <v>#N/A</v>
      </c>
      <c r="EL60" s="22" t="e">
        <f ca="1">INDEX(Table_Process_Details[Total '[Energy (MJ) per kg API'] of Unique Inputs (REAGENT)], MATCH(Table_Process_Details[[#This Row],[Unique Inputs Sorted by '[Energy (MJ) per kg API']]],Table_Process_Details[Unique Process Inputs],0))</f>
        <v>#N/A</v>
      </c>
      <c r="EM60" s="22" t="e">
        <f ca="1">INDEX(Table_Process_Details[Total '[Energy (MJ) per kg API'] of Unique Inputs (METAL)], MATCH(Table_Process_Details[[#This Row],[Unique Inputs Sorted by '[Energy (MJ) per kg API']]],Table_Process_Details[Unique Process Inputs],0))</f>
        <v>#N/A</v>
      </c>
      <c r="EN60" s="22" t="e">
        <f ca="1">INDEX(Table_Process_Details[Total '[Energy (MJ) per kg API'] of Unique Inputs (SOLVENT)], MATCH(Table_Process_Details[[#This Row],[Unique Inputs Sorted by '[Energy (MJ) per kg API']]],Table_Process_Details[Unique Process Inputs],0))</f>
        <v>#N/A</v>
      </c>
      <c r="EO60" s="22" t="e">
        <f ca="1">INDEX(Table_Process_Details[Total '[Energy (MJ) per kg API'] of Unique Inputs (WATER)], MATCH(Table_Process_Details[[#This Row],[Unique Inputs Sorted by '[Energy (MJ) per kg API']]],Table_Process_Details[Unique Process Inputs],0))</f>
        <v>#N/A</v>
      </c>
      <c r="EP60" s="22" t="e">
        <f ca="1">INDEX(Table_Process_Details[Total '[Energy (MJ) per kg API'] of Unique Inputs (ENZ&amp;PLNT)], MATCH(Table_Process_Details[[#This Row],[Unique Inputs Sorted by '[Energy (MJ) per kg API']]],Table_Process_Details[Unique Process Inputs],0))</f>
        <v>#N/A</v>
      </c>
      <c r="EQ60" s="22" t="e">
        <f ca="1">INDEX(Table_Process_Details[Total '[Energy (MJ) per kg API'] of Unique Inputs (OTHER)], MATCH(Table_Process_Details[[#This Row],[Unique Inputs Sorted by '[Energy (MJ) per kg API']]],Table_Process_Details[Unique Process Inputs],0))</f>
        <v>#N/A</v>
      </c>
      <c r="ER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2.6454116629898586E-3</v>
      </c>
      <c r="ES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1.9368176161284846E-3</v>
      </c>
      <c r="ET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7.0859404686137437E-4</v>
      </c>
      <c r="EW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0" s="22">
        <f ca="1">SUMIFS(Table_Process_Details[RV GWP (kg CO2 equiv.) per kg API],Table_Process_Details[Display Name],Table_Process_Details[[#This Row],[Unique Process Inputs]],Table_Process_Details[Input or Output],"Input")</f>
        <v>0</v>
      </c>
      <c r="EZ60" s="1">
        <f ca="1">SUMIFS(Table_Process_Details[RV GWP (kg CO2 equiv.) per kg API (REAGENT)],Table_Process_Details[Display Name],Table_Process_Details[[#This Row],[Unique Process Inputs]],Table_Process_Details[Input or Output],"Input")</f>
        <v>0</v>
      </c>
      <c r="FA60" s="1">
        <f ca="1">SUMIFS(Table_Process_Details[RV GWP (kg CO2 equiv.) per kg API (METAL)],Table_Process_Details[Display Name],Table_Process_Details[[#This Row],[Unique Process Inputs]],Table_Process_Details[Input or Output],"Input")</f>
        <v>0</v>
      </c>
      <c r="FB60" s="1">
        <f ca="1">SUMIFS(Table_Process_Details[RV GWP (kg CO2 equiv.) per kg API (SOLVENT)],Table_Process_Details[Display Name],Table_Process_Details[[#This Row],[Unique Process Inputs]],Table_Process_Details[Input or Output],"Input")</f>
        <v>0</v>
      </c>
      <c r="FC60" s="1">
        <f ca="1">SUMIFS(Table_Process_Details[RV GWP (kg CO2 equiv.) per kg API (WATER)],Table_Process_Details[Display Name],Table_Process_Details[[#This Row],[Unique Process Inputs]],Table_Process_Details[Input or Output],"Input")</f>
        <v>0</v>
      </c>
      <c r="FD60" s="1">
        <f ca="1">SUMIFS(Table_Process_Details[RV GWP (kg CO2 equiv.) per kg API (ENZ&amp;PLNT)],Table_Process_Details[Display Name],Table_Process_Details[[#This Row],[Unique Process Inputs]],Table_Process_Details[Input or Output],"Input")</f>
        <v>0</v>
      </c>
      <c r="FE60" s="1">
        <f ca="1">SUMIFS(Table_Process_Details[RV GWP (kg CO2 equiv.) per kg API (OTHER)],Table_Process_Details[Display Name],Table_Process_Details[[#This Row],[Unique Process Inputs]],Table_Process_Details[Input or Output],"Input")</f>
        <v>0</v>
      </c>
      <c r="FF60" s="22" t="e">
        <f ca="1">INDEX(Table_Process_Details[Unique Process Inputs],MATCH(Table_Process_Details[[#This Row],['[GWP (kg CO2 equiv.) per kg API'] of Unique Inputs Sorted by '[GWP (kg CO2 equiv.) per kg API']]],Table_Process_Details[Total '[GWP (kg CO2 equiv.) per kg API'] of Unique Inputs],0))</f>
        <v>#N/A</v>
      </c>
      <c r="FG60" s="22" t="e">
        <f ca="1">IF(LARGE(Table_Process_Details[Total '[GWP (kg CO2 equiv.) per kg API'] of Unique Inputs],Table_Process_Details[[#This Row],[Table Row]])=0,NA(),LARGE(Table_Process_Details[Total '[GWP (kg CO2 equiv.) per kg API'] of Unique Inputs],Table_Process_Details[[#This Row],[Table Row]]))</f>
        <v>#N/A</v>
      </c>
      <c r="FH60" s="22" t="e">
        <f ca="1">SUM(OFFSET(Table_Process_Details['[GWP (kg CO2 equiv.) per kg API'] of Unique Inputs Sorted by '[GWP (kg CO2 equiv.) per kg API']],0,0,Table_Process_Details[[#This Row],[Table Row]]))</f>
        <v>#N/A</v>
      </c>
      <c r="FI60" s="22" t="e">
        <f ca="1">"("&amp;TEXT(Table_Process_Details[[#This Row],['[GWP (kg CO2 equiv.) per kg API'] of Unique Inputs Sorted by '[GWP (kg CO2 equiv.) per kg API']]]/SUMIF(Table_Process_Details['[GWP (kg CO2 equiv.) per kg API'] of Unique Inputs Sorted by '[GWP (kg CO2 equiv.) per kg API']],"&lt;&gt;#N/A"),"0%")&amp;")"</f>
        <v>#N/A</v>
      </c>
      <c r="FJ60" s="22" t="e">
        <f ca="1">INDEX(Table_Process_Details[Total '[GWP (kg CO2 equiv.) per kg API'] of Unique Inputs (REAGENT)], MATCH(Table_Process_Details[[#This Row],[Unique Inputs Sorted by '[GWP (kg CO2 equiv.) per kg API']]],Table_Process_Details[Unique Process Inputs],0))</f>
        <v>#N/A</v>
      </c>
      <c r="FK60" s="22" t="e">
        <f ca="1">INDEX(Table_Process_Details[Total '[GWP (kg CO2 equiv.) per kg API'] of Unique Inputs (METAL)], MATCH(Table_Process_Details[[#This Row],[Unique Inputs Sorted by '[GWP (kg CO2 equiv.) per kg API']]],Table_Process_Details[Unique Process Inputs],0))</f>
        <v>#N/A</v>
      </c>
      <c r="FL60" s="22" t="e">
        <f ca="1">INDEX(Table_Process_Details[Total '[GWP (kg CO2 equiv.) per kg API'] of Unique Inputs (SOLVENT)], MATCH(Table_Process_Details[[#This Row],[Unique Inputs Sorted by '[GWP (kg CO2 equiv.) per kg API']]],Table_Process_Details[Unique Process Inputs],0))</f>
        <v>#N/A</v>
      </c>
      <c r="FM60" s="22" t="e">
        <f ca="1">INDEX(Table_Process_Details[Total '[GWP (kg CO2 equiv.) per kg API'] of Unique Inputs (WATER)], MATCH(Table_Process_Details[[#This Row],[Unique Inputs Sorted by '[GWP (kg CO2 equiv.) per kg API']]],Table_Process_Details[Unique Process Inputs],0))</f>
        <v>#N/A</v>
      </c>
      <c r="FN60" s="22" t="e">
        <f ca="1">INDEX(Table_Process_Details[Total '[GWP (kg CO2 equiv.) per kg API'] of Unique Inputs (ENZ&amp;PLNT)], MATCH(Table_Process_Details[[#This Row],[Unique Inputs Sorted by '[GWP (kg CO2 equiv.) per kg API']]],Table_Process_Details[Unique Process Inputs],0))</f>
        <v>#N/A</v>
      </c>
      <c r="FO60" s="22" t="e">
        <f ca="1">INDEX(Table_Process_Details[Total '[GWP (kg CO2 equiv.) per kg API'] of Unique Inputs (OTHER)], MATCH(Table_Process_Details[[#This Row],[Unique Inputs Sorted by '[GWP (kg CO2 equiv.) per kg API']]],Table_Process_Details[Unique Process Inputs],0))</f>
        <v>#N/A</v>
      </c>
      <c r="FP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2.2147197772726571E-5</v>
      </c>
      <c r="FQ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1.9432485104797125E-5</v>
      </c>
      <c r="FR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2.7147126679294471E-6</v>
      </c>
      <c r="FU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0" s="22">
        <f ca="1">SUMIFS(Table_Process_Details[RV Acidification (kg SO2 equiv.) per kg API],Table_Process_Details[Display Name],Table_Process_Details[[#This Row],[Unique Process Inputs]],Table_Process_Details[Input or Output],"Input")</f>
        <v>0</v>
      </c>
      <c r="FX60" s="1">
        <f ca="1">SUMIFS(Table_Process_Details[RV Acidification (kg SO2 equiv.) per kg API (REAGENT)],Table_Process_Details[Display Name],Table_Process_Details[[#This Row],[Unique Process Inputs]],Table_Process_Details[Input or Output],"Input")</f>
        <v>0</v>
      </c>
      <c r="FY60" s="1">
        <f ca="1">SUMIFS(Table_Process_Details[RV Acidification (kg SO2 equiv.) per kg API (METAL)],Table_Process_Details[Display Name],Table_Process_Details[[#This Row],[Unique Process Inputs]],Table_Process_Details[Input or Output],"Input")</f>
        <v>0</v>
      </c>
      <c r="FZ60" s="1">
        <f ca="1">SUMIFS(Table_Process_Details[RV Acidification (kg SO2 equiv.) per kg API (SOLVENT)],Table_Process_Details[Display Name],Table_Process_Details[[#This Row],[Unique Process Inputs]],Table_Process_Details[Input or Output],"Input")</f>
        <v>0</v>
      </c>
      <c r="GA60" s="1">
        <f ca="1">SUMIFS(Table_Process_Details[RV Acidification (kg SO2 equiv.) per kg API (WATER)],Table_Process_Details[Display Name],Table_Process_Details[[#This Row],[Unique Process Inputs]],Table_Process_Details[Input or Output],"Input")</f>
        <v>0</v>
      </c>
      <c r="GB60" s="1">
        <f ca="1">SUMIFS(Table_Process_Details[RV Acidification (kg SO2 equiv.) per kg API (ENZ&amp;PLNT)],Table_Process_Details[Display Name],Table_Process_Details[[#This Row],[Unique Process Inputs]],Table_Process_Details[Input or Output],"Input")</f>
        <v>0</v>
      </c>
      <c r="GC60" s="1">
        <f ca="1">SUMIFS(Table_Process_Details[RV Acidification (kg SO2 equiv.) per kg API (OTHER)],Table_Process_Details[Display Name],Table_Process_Details[[#This Row],[Unique Process Inputs]],Table_Process_Details[Input or Output],"Input")</f>
        <v>0</v>
      </c>
      <c r="GD6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0" s="22" t="e">
        <f ca="1">SUM(OFFSET(Table_Process_Details['[Acidification (kg SO2 equiv.) per kg API'] of Unique Inputs Sorted by '[Acidification (kg SO2 equiv.) per kg API']],0,0,Table_Process_Details[[#This Row],[Table Row]]))</f>
        <v>#N/A</v>
      </c>
      <c r="GG6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0" s="22" t="e">
        <f ca="1">INDEX(Table_Process_Details[Total '[Acidification (kg SO2 equiv.) per kg API'] of Unique Inputs (REAGENT)], MATCH(Table_Process_Details[[#This Row],[Unique Inputs Sorted by '[Acidification (kg SO2 equiv.) per kg API']]],Table_Process_Details[Unique Process Inputs],0))</f>
        <v>#N/A</v>
      </c>
      <c r="GI60" s="22" t="e">
        <f ca="1">INDEX(Table_Process_Details[Total '[Acidification (kg SO2 equiv.) per kg API'] of Unique Inputs (METAL)], MATCH(Table_Process_Details[[#This Row],[Unique Inputs Sorted by '[Acidification (kg SO2 equiv.) per kg API']]],Table_Process_Details[Unique Process Inputs],0))</f>
        <v>#N/A</v>
      </c>
      <c r="GJ60" s="22" t="e">
        <f ca="1">INDEX(Table_Process_Details[Total '[Acidification (kg SO2 equiv.) per kg API'] of Unique Inputs (SOLVENT)], MATCH(Table_Process_Details[[#This Row],[Unique Inputs Sorted by '[Acidification (kg SO2 equiv.) per kg API']]],Table_Process_Details[Unique Process Inputs],0))</f>
        <v>#N/A</v>
      </c>
      <c r="GK60" s="22" t="e">
        <f ca="1">INDEX(Table_Process_Details[Total '[Acidification (kg SO2 equiv.) per kg API'] of Unique Inputs (WATER)], MATCH(Table_Process_Details[[#This Row],[Unique Inputs Sorted by '[Acidification (kg SO2 equiv.) per kg API']]],Table_Process_Details[Unique Process Inputs],0))</f>
        <v>#N/A</v>
      </c>
      <c r="GL60" s="22" t="e">
        <f ca="1">INDEX(Table_Process_Details[Total '[Acidification (kg SO2 equiv.) per kg API'] of Unique Inputs (ENZ&amp;PLNT)], MATCH(Table_Process_Details[[#This Row],[Unique Inputs Sorted by '[Acidification (kg SO2 equiv.) per kg API']]],Table_Process_Details[Unique Process Inputs],0))</f>
        <v>#N/A</v>
      </c>
      <c r="GM60" s="22" t="e">
        <f ca="1">INDEX(Table_Process_Details[Total '[Acidification (kg SO2 equiv.) per kg API'] of Unique Inputs (OTHER)], MATCH(Table_Process_Details[[#This Row],[Unique Inputs Sorted by '[Acidification (kg SO2 equiv.) per kg API']]],Table_Process_Details[Unique Process Inputs],0))</f>
        <v>#N/A</v>
      </c>
      <c r="GN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2.5957976941705282E-6</v>
      </c>
      <c r="GO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9.7861435779553877E-7</v>
      </c>
      <c r="GP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1.6171833363749892E-6</v>
      </c>
      <c r="GS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0" s="22">
        <f ca="1">SUMIFS(Table_Process_Details[RV Eutrophication (kg phosphate equiv.) per kg API],Table_Process_Details[Display Name],Table_Process_Details[[#This Row],[Unique Process Inputs]],Table_Process_Details[Input or Output],"Input")</f>
        <v>0</v>
      </c>
      <c r="GV60" s="1">
        <f ca="1">SUMIFS(Table_Process_Details[RV Eutrophication (kg phosphate equiv.) per kg API (REAGENT)],Table_Process_Details[Display Name],Table_Process_Details[[#This Row],[Unique Process Inputs]],Table_Process_Details[Input or Output],"Input")</f>
        <v>0</v>
      </c>
      <c r="GW60" s="1">
        <f ca="1">SUMIFS(Table_Process_Details[RV Eutrophication (kg phosphate equiv.) per kg API (METAL)],Table_Process_Details[Display Name],Table_Process_Details[[#This Row],[Unique Process Inputs]],Table_Process_Details[Input or Output],"Input")</f>
        <v>0</v>
      </c>
      <c r="GX60" s="1">
        <f ca="1">SUMIFS(Table_Process_Details[RV Eutrophication (kg phosphate equiv.) per kg API (SOLVENT)],Table_Process_Details[Display Name],Table_Process_Details[[#This Row],[Unique Process Inputs]],Table_Process_Details[Input or Output],"Input")</f>
        <v>0</v>
      </c>
      <c r="GY60" s="1">
        <f ca="1">SUMIFS(Table_Process_Details[RV Eutrophication (kg phosphate equiv.) per kg API (WATER)],Table_Process_Details[Display Name],Table_Process_Details[[#This Row],[Unique Process Inputs]],Table_Process_Details[Input or Output],"Input")</f>
        <v>0</v>
      </c>
      <c r="GZ60" s="1">
        <f ca="1">SUMIFS(Table_Process_Details[RV Eutrophication (kg phosphate equiv.) per kg API (ENZ&amp;PLNT)],Table_Process_Details[Display Name],Table_Process_Details[[#This Row],[Unique Process Inputs]],Table_Process_Details[Input or Output],"Input")</f>
        <v>0</v>
      </c>
      <c r="HA60" s="1">
        <f ca="1">SUMIFS(Table_Process_Details[RV Eutrophication (kg phosphate equiv.) per kg API (OTHER)],Table_Process_Details[Display Name],Table_Process_Details[[#This Row],[Unique Process Inputs]],Table_Process_Details[Input or Output],"Input")</f>
        <v>0</v>
      </c>
      <c r="HB6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0" s="22" t="e">
        <f ca="1">SUM(OFFSET(Table_Process_Details['[Eutrophication (kg posphate equiv.) per kg API'] of Unique Inputs Sorted by '[Eutrophication (kg posphate equiv.) per kg API']],0,0,Table_Process_Details[[#This Row],[Table Row]]))</f>
        <v>#N/A</v>
      </c>
      <c r="HE6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0" s="1" t="e">
        <f ca="1">INDEX(Table_Process_Details[Total '[Eutrophication (kg posphate equiv.) per kg API'] of Unique Inputs (REAGENT)], MATCH(Table_Process_Details[[#This Row],[Unique Inputs Sorted by '[Eutrophication (kg posphate equiv.) per kg API']]],Table_Process_Details[Unique Process Inputs],0))</f>
        <v>#N/A</v>
      </c>
      <c r="HG60" s="1" t="e">
        <f ca="1">INDEX(Table_Process_Details[Total '[Eutrophication (kg posphate equiv.) per kg API'] of Unique Inputs (METAL)], MATCH(Table_Process_Details[[#This Row],[Unique Inputs Sorted by '[Eutrophication (kg posphate equiv.) per kg API']]],Table_Process_Details[Unique Process Inputs],0))</f>
        <v>#N/A</v>
      </c>
      <c r="HH60" s="1" t="e">
        <f ca="1">INDEX(Table_Process_Details[Total '[Eutrophication (kg posphate equiv.) per kg API'] of Unique Inputs (SOLVENT)], MATCH(Table_Process_Details[[#This Row],[Unique Inputs Sorted by '[Eutrophication (kg posphate equiv.) per kg API']]],Table_Process_Details[Unique Process Inputs],0))</f>
        <v>#N/A</v>
      </c>
      <c r="HI60" s="1" t="e">
        <f ca="1">INDEX(Table_Process_Details[Total '[Eutrophication (kg posphate equiv.) per kg API'] of Unique Inputs (WATER)], MATCH(Table_Process_Details[[#This Row],[Unique Inputs Sorted by '[Eutrophication (kg posphate equiv.) per kg API']]],Table_Process_Details[Unique Process Inputs],0))</f>
        <v>#N/A</v>
      </c>
      <c r="HJ60" s="1" t="e">
        <f ca="1">INDEX(Table_Process_Details[Total '[Eutrophication (kg posphate equiv.) per kg API'] of Unique Inputs (ENZ&amp;PLNT)], MATCH(Table_Process_Details[[#This Row],[Unique Inputs Sorted by '[Eutrophication (kg posphate equiv.) per kg API']]],Table_Process_Details[Unique Process Inputs],0))</f>
        <v>#N/A</v>
      </c>
      <c r="HK60" s="1" t="e">
        <f ca="1">INDEX(Table_Process_Details[Total '[Eutrophication (kg posphate equiv.) per kg API'] of Unique Inputs (OTHER)], MATCH(Table_Process_Details[[#This Row],[Unique Inputs Sorted by '[Eutrophication (kg posphate equiv.) per kg API']]],Table_Process_Details[Unique Process Inputs],0))</f>
        <v>#N/A</v>
      </c>
      <c r="HL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0.8822941430262955</v>
      </c>
      <c r="HM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9.6635371791287171E-4</v>
      </c>
      <c r="HN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0.88132778930838263</v>
      </c>
      <c r="HQ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0" s="1">
        <f ca="1">SUMIFS(Table_Process_Details[RV Water (kg) per kg API],Table_Process_Details[Display Name],Table_Process_Details[[#This Row],[Unique Process Inputs]],Table_Process_Details[Input or Output],"Input")</f>
        <v>0</v>
      </c>
      <c r="HT60" s="1">
        <f ca="1">SUMIFS(Table_Process_Details[RV Water (kg) per kg API (REAGENT)],Table_Process_Details[Display Name],Table_Process_Details[[#This Row],[Unique Process Inputs]],Table_Process_Details[Input or Output],"Input")</f>
        <v>0</v>
      </c>
      <c r="HU60" s="1">
        <f ca="1">SUMIFS(Table_Process_Details[RV Water (kg) per kg API (METAL)],Table_Process_Details[Display Name],Table_Process_Details[[#This Row],[Unique Process Inputs]],Table_Process_Details[Input or Output],"Input")</f>
        <v>0</v>
      </c>
      <c r="HV60" s="1">
        <f ca="1">SUMIFS(Table_Process_Details[RV Water (kg) per kg API (SOLVENT)],Table_Process_Details[Display Name],Table_Process_Details[[#This Row],[Unique Process Inputs]],Table_Process_Details[Input or Output],"Input")</f>
        <v>0</v>
      </c>
      <c r="HW60" s="1">
        <f ca="1">SUMIFS(Table_Process_Details[RV Water (kg) per kg API (WATER)],Table_Process_Details[Display Name],Table_Process_Details[[#This Row],[Unique Process Inputs]],Table_Process_Details[Input or Output],"Input")</f>
        <v>0</v>
      </c>
      <c r="HX60" s="1">
        <f ca="1">SUMIFS(Table_Process_Details[RV Water (kg) per kg API (ENZ&amp;PLNT)],Table_Process_Details[Display Name],Table_Process_Details[[#This Row],[Unique Process Inputs]],Table_Process_Details[Input or Output],"Input")</f>
        <v>0</v>
      </c>
      <c r="HY60" s="1">
        <f ca="1">SUMIFS(Table_Process_Details[RV Water (kg) per kg API (OTHER)],Table_Process_Details[Display Name],Table_Process_Details[[#This Row],[Unique Process Inputs]],Table_Process_Details[Input or Output],"Input")</f>
        <v>0</v>
      </c>
      <c r="HZ60" s="22" t="e">
        <f ca="1">INDEX(Table_Process_Details[Unique Process Inputs],MATCH(Table_Process_Details[[#This Row],['[Water (kg) per kg API'] of Unique Inputs Sorted by '[Water (kg) per kg API']]],Table_Process_Details[Total '[Water (kg) per kg API'] of Unique Inputs],0))</f>
        <v>#N/A</v>
      </c>
      <c r="IA60" s="22" t="e">
        <f ca="1">IF(LARGE(Table_Process_Details[Total '[Water (kg) per kg API'] of Unique Inputs],Table_Process_Details[[#This Row],[Table Row]])=0,NA(),LARGE(Table_Process_Details[Total '[Water (kg) per kg API'] of Unique Inputs],Table_Process_Details[[#This Row],[Table Row]]))</f>
        <v>#N/A</v>
      </c>
      <c r="IB60" s="1" t="e">
        <f ca="1">SUM(OFFSET(Table_Process_Details['[Water (kg) per kg API'] of Unique Inputs Sorted by '[Water (kg) per kg API']],0,0,Table_Process_Details[[#This Row],[Table Row]]))</f>
        <v>#N/A</v>
      </c>
      <c r="IC60" s="1" t="e">
        <f ca="1">"("&amp;TEXT(Table_Process_Details[[#This Row],['[Water (kg) per kg API'] of Unique Inputs Sorted by '[Water (kg) per kg API']]]/SUMIF(Table_Process_Details['[Water (kg) per kg API'] of Unique Inputs Sorted by '[Water (kg) per kg API']],"&lt;&gt;#N/A"),"0%")&amp;")"</f>
        <v>#N/A</v>
      </c>
      <c r="ID60" s="1" t="e">
        <f ca="1">INDEX(Table_Process_Details[Total '[Water (kg) per kg API'] of Unique Inputs (REAGENT)], MATCH(Table_Process_Details[[#This Row],[Unique Inputs Sorted by '[Water (kg) per kg API']]],Table_Process_Details[Unique Process Inputs],0))</f>
        <v>#N/A</v>
      </c>
      <c r="IE60" s="1" t="e">
        <f ca="1">INDEX(Table_Process_Details[Total '[Water (kg) per kg API'] of Unique Inputs (METAL)], MATCH(Table_Process_Details[[#This Row],[Unique Inputs Sorted by '[Water (kg) per kg API']]],Table_Process_Details[Unique Process Inputs],0))</f>
        <v>#N/A</v>
      </c>
      <c r="IF60" s="1" t="e">
        <f ca="1">INDEX(Table_Process_Details[Total '[Water (kg) per kg API'] of Unique Inputs (SOLVENT)], MATCH(Table_Process_Details[[#This Row],[Unique Inputs Sorted by '[Water (kg) per kg API']]],Table_Process_Details[Unique Process Inputs],0))</f>
        <v>#N/A</v>
      </c>
      <c r="IG60" s="1" t="e">
        <f ca="1">INDEX(Table_Process_Details[Total '[Water (kg) per kg API'] of Unique Inputs (WATER)], MATCH(Table_Process_Details[[#This Row],[Unique Inputs Sorted by '[Water (kg) per kg API']]],Table_Process_Details[Unique Process Inputs],0))</f>
        <v>#N/A</v>
      </c>
      <c r="IH60" s="1" t="e">
        <f ca="1">INDEX(Table_Process_Details[Total '[Water (kg) per kg API'] of Unique Inputs (ENZ&amp;PLNT)], MATCH(Table_Process_Details[[#This Row],[Unique Inputs Sorted by '[Water (kg) per kg API']]],Table_Process_Details[Unique Process Inputs],0))</f>
        <v>#N/A</v>
      </c>
      <c r="II60" s="1" t="e">
        <f ca="1">INDEX(Table_Process_Details[Total '[Water (kg) per kg API'] of Unique Inputs (OTHER)], MATCH(Table_Process_Details[[#This Row],[Unique Inputs Sorted by '[Water (kg) per kg API']]],Table_Process_Details[Unique Process Inputs],0))</f>
        <v>#N/A</v>
      </c>
    </row>
    <row r="61" spans="1:243" s="139" customFormat="1" ht="15.75" thickBot="1" x14ac:dyDescent="0.3">
      <c r="A61" s="132" t="str">
        <f t="shared" si="1"/>
        <v>2) Synthesis of Intermediate (2)</v>
      </c>
      <c r="B61" s="133" t="s">
        <v>5</v>
      </c>
      <c r="C61" s="133" t="s">
        <v>155</v>
      </c>
      <c r="D61" s="132" t="s">
        <v>155</v>
      </c>
      <c r="E61" s="132" t="str">
        <f>'1. Define Process Steps'!C18</f>
        <v>Intermediate (2)</v>
      </c>
      <c r="F61" s="166">
        <f>F53*3.25/1*0.95</f>
        <v>157.52551020408163</v>
      </c>
      <c r="G61" s="134"/>
      <c r="H61" s="134" t="s">
        <v>860</v>
      </c>
      <c r="I61" s="134"/>
      <c r="J61" s="134" t="str">
        <f>INDEX(Process_Steps[Reference],MATCH(Table_Process_Details[[#This Row],[Step Name]],Process_Steps[Name],0))</f>
        <v>Reference Document for Step 2</v>
      </c>
      <c r="K61" s="135" t="str">
        <f>INDEX(Process_Steps[Real or Virtual?],MATCH(Table_Process_Details[[#This Row],[Step Name]],Process_Steps[Name],0))</f>
        <v>Real</v>
      </c>
      <c r="L61" s="134"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1" s="134"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61" s="134">
        <f>INDEX(Table_Process_Details[Physical Mass (kg)],MATCH(1,INDEX(((Table_Process_Details[Step Name]=Table_Process_Details[[#This Row],[Step Name]])*(Table_Process_Details[Input or Output]="Output")),0),0))</f>
        <v>157.52551020408163</v>
      </c>
      <c r="O61" s="136">
        <f ca="1">INDEX(Process_Steps[Step Scale Factor for 1kg Packaged API],MATCH(Table_Process_Details[[#This Row],[Step Name]],Process_Steps[Name],0))</f>
        <v>6.9901025556824191E-3</v>
      </c>
      <c r="P61" s="134">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v>
      </c>
      <c r="Q61" s="134">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9</v>
      </c>
      <c r="R61" s="134">
        <f ca="1">_xlfn.SWITCH(Run_Reset_PNG,"Reset",Table_Process_Details[[#This Row],[X Init]],"Run",Table_Process_Details[[#This Row],[X Moved]],"Freeze",Table_Process_Details[[#This Row],[X Mover]])</f>
        <v>1.9309511115841147</v>
      </c>
      <c r="S61" s="134">
        <f ca="1">_xlfn.SWITCH(Run_Reset_PNG,"Reset",Table_Process_Details[[#This Row],[Y Init]],"Run",Table_Process_Details[[#This Row],[Y Moved]],"Freeze",Table_Process_Details[[#This Row],[Y Mover]])</f>
        <v>7.9388892826190514</v>
      </c>
      <c r="T61" s="134" cm="1">
        <f t="array" aca="1" ref="T6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-2.7224838350923903</v>
      </c>
      <c r="U61" s="134" cm="1">
        <f t="array" aca="1" ref="U6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1.3118720865506983</v>
      </c>
      <c r="V61" s="134" cm="1">
        <f t="array" aca="1" ref="V61" ca="1">SUM(--(SQRT((Table_Process_Details[[#This Row],[X Mover]]-Table_Process_Details[X Mover])^2+(Table_Process_Details[[#This Row],[Y Mover]]-Table_Process_Details[Y Mover])^2)&lt;Collision_Distance))</f>
        <v>20</v>
      </c>
      <c r="W61" s="134" cm="1">
        <f t="array" aca="1" ref="W6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0.74298061317076103</v>
      </c>
      <c r="X61" s="134" cm="1">
        <f t="array" aca="1" ref="X6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-0.52203975592288976</v>
      </c>
      <c r="Y61" s="134" cm="1">
        <f t="array" aca="1" ref="Y6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v>
      </c>
      <c r="Z61" s="134">
        <f>0</f>
        <v>0</v>
      </c>
      <c r="AA61" s="134">
        <f>0</f>
        <v>0</v>
      </c>
      <c r="AB61" s="134">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-0.96547555579205735</v>
      </c>
      <c r="AC61" s="134" cm="1">
        <f t="array" aca="1" ref="AC6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-3.9694446413095257</v>
      </c>
      <c r="AD61" s="134">
        <f>MIN(1,COUNTA(Table_Process_Details[[#This Row],[target x]]),COUNTA(Table_Process_Details[[#This Row],[target y]]))*COUNTA(Table_Process_Details[Step Name])</f>
        <v>98</v>
      </c>
      <c r="AE61" s="134">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1.8675285299072799</v>
      </c>
      <c r="AF61" s="134">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7.905973932465602</v>
      </c>
      <c r="AG61" s="134"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61" s="134" t="e" cm="1">
        <f t="array" ref="AH61">INDEX(Table_Process_Details[X Mover],MATCH(1,INDEX((Table_Process_Details[Input or Output]="Output")*(Table_Process_Details[Step Name]=Table_Process_Details[[#This Row],[Step Name]])*(Table_Process_Details[[#This Row],[Input or Output]]="Input"),0),0))</f>
        <v>#N/A</v>
      </c>
      <c r="AI61" s="134" t="e" cm="1">
        <f t="array" ref="AI61">INDEX(Table_Process_Details[Y Mover],MATCH(1,INDEX((Table_Process_Details[Input or Output]="Output")*(Table_Process_Details[Step Name]=Table_Process_Details[[#This Row],[Step Name]])*(Table_Process_Details[[#This Row],[Input or Output]]="Input"),0),0))</f>
        <v>#N/A</v>
      </c>
      <c r="AJ61" s="134" t="e">
        <f>SQRT((Table_Process_Details[[#This Row],[X End (To Node Center)]]-Table_Process_Details[[#This Row],[X Guide]])^2+(Table_Process_Details[[#This Row],[Y End (to Node Center)]]-Table_Process_Details[[#This Row],[Y Guide]])^2)</f>
        <v>#N/A</v>
      </c>
      <c r="AK61" s="134" t="e" cm="1">
        <f t="array" ref="AK61">INDEX(Table_Process_Details[X Mover],MATCH(1,INDEX((Table_Process_Details[Step Name]=Table_Process_Details[[#This Row],[LCA Data Source Subclass]])*(Table_Process_Details[Input or Output]="Output"),0)*(Table_Process_Details[[#This Row],[Input or Output]]="Input"),0))</f>
        <v>#N/A</v>
      </c>
      <c r="AL61" s="134" t="e" cm="1">
        <f t="array" ref="AL61">INDEX(Table_Process_Details[X Mover],MATCH(1,INDEX(((Table_Process_Details[Table Row]=Table_Process_Details[[#This Row],[Table Row]])*(1)),0)*(Table_Process_Details[[#This Row],[Input or Output]]="Input"),0))</f>
        <v>#N/A</v>
      </c>
      <c r="AM61" s="134" t="e" cm="1">
        <f t="array" ref="AM61">(Table_Process_Details[[#This Row],[X End (To Node Center)]]*Table_Process_Details[[#This Row],[r0]]-Table_Process_Details[[#This Row],[X End (To Node Center)]]*Arrow_Offset+Table_Process_Details[[#This Row],[X Guide]]*Arrow_Offset)/Table_Process_Details[[#This Row],[r0]]</f>
        <v>#N/A</v>
      </c>
      <c r="AN61" s="134" t="e">
        <f>IF(NOT(Table_Process_Details[[#This Row],[Display As]]="None"),Table_Process_Details[[#This Row],[X Start Prefilter]],NA())</f>
        <v>#N/A</v>
      </c>
      <c r="AO61" s="134" t="e">
        <f>IF(NOT(Table_Process_Details[[#This Row],[Display As]]="None"),Table_Process_Details[[#This Row],[X Guide Prefilter]],NA())</f>
        <v>#N/A</v>
      </c>
      <c r="AP61" s="134" t="e">
        <f>IF(NOT(Table_Process_Details[[#This Row],[Display As]]="None"),Table_Process_Details[[#This Row],[X End (to Stop Radius) Prefilter]],NA())</f>
        <v>#N/A</v>
      </c>
      <c r="AQ61" s="134" t="e">
        <f>NA()</f>
        <v>#N/A</v>
      </c>
      <c r="AR61" s="134" t="e" cm="1">
        <f t="array" ref="AR61">INDEX(Table_Process_Details[Y Mover],MATCH(1,INDEX((Table_Process_Details[Step Name]=Table_Process_Details[[#This Row],[LCA Data Source Subclass]])*(Table_Process_Details[Input or Output]="Output"),0)*(Table_Process_Details[[#This Row],[Input or Output]]="Input"),0))</f>
        <v>#N/A</v>
      </c>
      <c r="AS61" s="134" t="e" cm="1">
        <f t="array" ref="AS61">INDEX(Table_Process_Details[Y Mover],MATCH(1,INDEX(((Table_Process_Details[Table Row]=Table_Process_Details[[#This Row],[Table Row]])*(1)),0)*(Table_Process_Details[[#This Row],[Input or Output]]="Input"),0))</f>
        <v>#N/A</v>
      </c>
      <c r="AT61" s="134" t="e" cm="1">
        <f t="array" ref="AT61">(Table_Process_Details[[#This Row],[Y Guide]]*Arrow_Offset-Table_Process_Details[[#This Row],[Y End (to Node Center)]]*Arrow_Offset+Table_Process_Details[[#This Row],[Y End (to Node Center)]]*Table_Process_Details[[#This Row],[r0]])/Table_Process_Details[[#This Row],[r0]]</f>
        <v>#N/A</v>
      </c>
      <c r="AU61" s="134" t="e">
        <f>IF(NOT(Table_Process_Details[[#This Row],[Display As]]="None"),Table_Process_Details[[#This Row],[Y Start Prefilter]],NA())</f>
        <v>#N/A</v>
      </c>
      <c r="AV61" s="134" t="e">
        <f>IF(NOT(Table_Process_Details[[#This Row],[Display As]]="None"),Table_Process_Details[[#This Row],[Y Guide Prefilter]],NA())</f>
        <v>#N/A</v>
      </c>
      <c r="AW61" s="134" t="e">
        <f>IF(NOT(Table_Process_Details[[#This Row],[Display As]]="None"),Table_Process_Details[[#This Row],[Y End (to Stop Radius) Prefilter]],NA())</f>
        <v>#N/A</v>
      </c>
      <c r="AX61" s="134" t="e">
        <f>NA()</f>
        <v>#N/A</v>
      </c>
      <c r="AY61" s="134">
        <f ca="1">IF(Table_Process_Details[[#This Row],[Display As]]="Real Step",Table_Process_Details[[#This Row],[X Mover]],NA())</f>
        <v>1.9309511115841147</v>
      </c>
      <c r="AZ61" s="134">
        <f ca="1">IF(Table_Process_Details[[#This Row],[Display As]]="Real Step",Table_Process_Details[[#This Row],[Y Mover]],NA())</f>
        <v>7.9388892826190514</v>
      </c>
      <c r="BA61" s="134" t="e">
        <f>IF(Table_Process_Details[[#This Row],[Display As]]="Raw Material",Table_Process_Details[[#This Row],[X Mover]],NA())</f>
        <v>#N/A</v>
      </c>
      <c r="BB61" s="134" t="e">
        <f>IF(Table_Process_Details[[#This Row],[Display As]]="Raw Material",Table_Process_Details[[#This Row],[Y Mover]],NA())</f>
        <v>#N/A</v>
      </c>
      <c r="BC61" s="134">
        <f ca="1">IF(OR(Table_Process_Details[[#This Row],[Display As]]="Real Step",Table_Process_Details[[#This Row],[Display As]]="Raw Material"),Table_Process_Details[[#This Row],[X Mover]],NA())</f>
        <v>1.9309511115841147</v>
      </c>
      <c r="BD61" s="134">
        <f ca="1">IF(OR(Table_Process_Details[[#This Row],[Display As]]="Real Step",Table_Process_Details[[#This Row],[Display As]]="Raw Material"),Table_Process_Details[[#This Row],[Y Mover]],NA())</f>
        <v>7.9388892826190514</v>
      </c>
      <c r="BE61" s="132">
        <f>ROW()-ROW(Table_Process_Details[[#Headers],[Table Row]])</f>
        <v>57</v>
      </c>
      <c r="BF61" s="137" t="e" cm="1">
        <f t="array" aca="1" ref="BF61" ca="1">INDEX(Table_Process_Details[Display Name],MATCH(0,IF(Table_Process_Details[Input or Output]="Input",INDEX(COUNTIF(OFFSET(Table_Process_Details[[#Headers],[Unique Process Inputs]],0,0,Table_Process_Details[[#This Row],[Table Row]],1),Table_Process_Details[Display Name]),),""),0))</f>
        <v>#N/A</v>
      </c>
      <c r="BG61" s="137">
        <f ca="1">Table_Process_Details[[#This Row],[Physical Mass (kg)]]*Table_Process_Details[[#This Row],[Step Scale Factor for 1kg Packaged API]]</f>
        <v>1.1011194714627279</v>
      </c>
      <c r="BH61" s="137">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1" s="137">
        <f ca="1">MATCH(Table_Process_Details[[#This Row],[LCA Data Source Class]],INDIRECT(Table_Process_Details[[#This Row],[Input or Output]]),0)</f>
        <v>1</v>
      </c>
      <c r="BJ61" s="137">
        <f ca="1">MATCH(Table_Process_Details[[#This Row],[LCA Data Source Subclass]],INDIRECT(Table_Process_Details[[#This Row],[LCA Data Source Class]]&amp;"[Name]"),0)</f>
        <v>1</v>
      </c>
      <c r="BK61" s="137">
        <f ca="1">IFERROR(INDEX(INDIRECT(Table_Process_Details[[#This Row],[LCA Data Source Class]]&amp;"[Mass Net (kg)]"),MATCH(Table_Process_Details[[#This Row],[LCA Data Source Subclass]],INDIRECT(Table_Process_Details[[#This Row],[LCA Data Source Class]]&amp;"[Name]"),0)),0)</f>
        <v>0</v>
      </c>
      <c r="BL61" s="137">
        <f ca="1">IFERROR(INDEX(INDIRECT(Table_Process_Details[[#This Row],[LCA Data Source Class]]&amp;"[Energy (MJ)]"),MATCH(Table_Process_Details[[#This Row],[LCA Data Source Subclass]],INDIRECT(Table_Process_Details[[#This Row],[LCA Data Source Class]]&amp;"[Name]"),0)),0)</f>
        <v>0</v>
      </c>
      <c r="BM61" s="137">
        <f ca="1">IFERROR(INDEX(INDIRECT(Table_Process_Details[[#This Row],[LCA Data Source Class]]&amp;"[GWP (kg CO2 equiv.)]"),MATCH(Table_Process_Details[[#This Row],[LCA Data Source Subclass]],INDIRECT(Table_Process_Details[[#This Row],[LCA Data Source Class]]&amp;"[Name]"),0)),0)</f>
        <v>0</v>
      </c>
      <c r="BN61" s="137">
        <f ca="1">IFERROR(INDEX(INDIRECT(Table_Process_Details[[#This Row],[LCA Data Source Class]]&amp;"[Acidification (kg SO2 equiv.)]"),MATCH(Table_Process_Details[[#This Row],[LCA Data Source Subclass]],INDIRECT(Table_Process_Details[[#This Row],[LCA Data Source Class]]&amp;"[Name]"),0)),0)</f>
        <v>0</v>
      </c>
      <c r="BO61" s="137">
        <f ca="1">IFERROR(INDEX(INDIRECT(Table_Process_Details[[#This Row],[LCA Data Source Class]]&amp;"[Eutrophication (kg posphate equiv.)]"),MATCH(Table_Process_Details[[#This Row],[LCA Data Source Subclass]],INDIRECT(Table_Process_Details[[#This Row],[LCA Data Source Class]]&amp;"[Name]"),0)),0)</f>
        <v>0</v>
      </c>
      <c r="BP61" s="137">
        <f ca="1">IFERROR(INDEX(INDIRECT(Table_Process_Details[[#This Row],[LCA Data Source Class]]&amp;"[Water (kg)]"),MATCH(Table_Process_Details[[#This Row],[LCA Data Source Subclass]],INDIRECT(Table_Process_Details[[#This Row],[LCA Data Source Class]]&amp;"[Name]"),0)),0)</f>
        <v>0</v>
      </c>
      <c r="BQ61" s="135">
        <f ca="1">(Table_Process_Details[[#This Row],[Input or Output]]="Input")*(Table_Process_Details[[#This Row],[LCA Data Source Class]]&lt;&gt;"Process_Steps")*Table_Process_Details[[#This Row],[Scaled Physical Mass per kg API for All Inputs &amp; Outputs]]</f>
        <v>0</v>
      </c>
      <c r="BR61" s="135">
        <f ca="1">(Table_Process_Details[[#This Row],[Material Class]]="REAGENT")*Table_Process_Details[[#This Row],[Physical Mass per kg API]]</f>
        <v>0</v>
      </c>
      <c r="BS61" s="135">
        <f ca="1">(Table_Process_Details[[#This Row],[Material Class]]="METAL")*Table_Process_Details[[#This Row],[Physical Mass per kg API]]</f>
        <v>0</v>
      </c>
      <c r="BT61" s="135">
        <f ca="1">(Table_Process_Details[[#This Row],[Material Class]]="SOLVENT")*Table_Process_Details[[#This Row],[Physical Mass per kg API]]</f>
        <v>0</v>
      </c>
      <c r="BU61" s="135">
        <f ca="1">(Table_Process_Details[[#This Row],[Material Class]]="WATER")*Table_Process_Details[[#This Row],[Physical Mass per kg API]]</f>
        <v>0</v>
      </c>
      <c r="BV61" s="135">
        <f ca="1">(Table_Process_Details[[#This Row],[Material Class]]="ENZ&amp;PLNT")*Table_Process_Details[[#This Row],[Physical Mass per kg API]]</f>
        <v>0</v>
      </c>
      <c r="BW61" s="135">
        <f ca="1">(Table_Process_Details[[#This Row],[Material Class]]="OTHER")*Table_Process_Details[[#This Row],[Physical Mass per kg API]]</f>
        <v>0</v>
      </c>
      <c r="BX61" s="135">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1" s="135">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1" s="136">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1" s="135">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1" s="135">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1" s="136">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1" s="136">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1" s="138">
        <f ca="1">SUMIFS(Table_Process_Details[RV Physical Mass per kg API],Table_Process_Details[Display Name],Table_Process_Details[[#This Row],[Unique Process Inputs]],Table_Process_Details[Input or Output],"Input")</f>
        <v>0</v>
      </c>
      <c r="CF61" s="138">
        <f ca="1">SUMIFS(Table_Process_Details[RV Physical Mass per kg API (REAGENT)],Table_Process_Details[Display Name],Table_Process_Details[[#This Row],[Unique Process Inputs]],Table_Process_Details[Input or Output],"Input")</f>
        <v>0</v>
      </c>
      <c r="CG61" s="138">
        <f ca="1">SUMIFS(Table_Process_Details[RV Physical Mass per kg API (METAL)],Table_Process_Details[Display Name],Table_Process_Details[[#This Row],[Unique Process Inputs]],Table_Process_Details[Input or Output],"Input")</f>
        <v>0</v>
      </c>
      <c r="CH61" s="138">
        <f ca="1">SUMIFS(Table_Process_Details[RV Physical Mass per kg API (SOLVENT)],Table_Process_Details[Display Name],Table_Process_Details[[#This Row],[Unique Process Inputs]],Table_Process_Details[Input or Output],"Input")</f>
        <v>0</v>
      </c>
      <c r="CI61" s="138">
        <f ca="1">SUMIFS(Table_Process_Details[RV Physical Mass per kg API (WATER)],Table_Process_Details[Display Name],Table_Process_Details[[#This Row],[Unique Process Inputs]],Table_Process_Details[Input or Output],"Input")</f>
        <v>0</v>
      </c>
      <c r="CJ61" s="138">
        <f ca="1">SUMIFS(Table_Process_Details[RV Physical Mass per kg API (ENZ&amp;PLNT)],Table_Process_Details[Display Name],Table_Process_Details[[#This Row],[Unique Process Inputs]],Table_Process_Details[Input or Output],"Input")</f>
        <v>0</v>
      </c>
      <c r="CK61" s="138">
        <f ca="1">SUMIFS(Table_Process_Details[RV Physical Mass per kg API (OTHER)],Table_Process_Details[Display Name],Table_Process_Details[[#This Row],[Unique Process Inputs]],Table_Process_Details[Input or Output],"Input")</f>
        <v>0</v>
      </c>
      <c r="CL61" s="132" t="e">
        <f ca="1">INDEX(Table_Process_Details[Unique Process Inputs],MATCH(Table_Process_Details[[#This Row],['[Physical Mass per kg API'] of Unique Inputs Sorted by '[Physical Mass per kg API']]],Table_Process_Details[Total '[Physical Mass per kg API'] of Unique Inputs],0))</f>
        <v>#N/A</v>
      </c>
      <c r="CM61" s="132" t="e">
        <f ca="1">IF(LARGE(Table_Process_Details[Total '[Physical Mass per kg API'] of Unique Inputs],Table_Process_Details[[#This Row],[Table Row]])=0,NA(),LARGE(Table_Process_Details[Total '[Physical Mass per kg API'] of Unique Inputs],Table_Process_Details[[#This Row],[Table Row]]))</f>
        <v>#N/A</v>
      </c>
      <c r="CN61" s="132" t="e">
        <f ca="1">SUM(OFFSET(Table_Process_Details['[Physical Mass per kg API'] of Unique Inputs Sorted by '[Physical Mass per kg API']],0,0,Table_Process_Details[[#This Row],[Table Row]]))</f>
        <v>#N/A</v>
      </c>
      <c r="CO61" s="132" t="e">
        <f ca="1">"("&amp;TEXT(Table_Process_Details[[#This Row],['[Physical Mass per kg API'] of Unique Inputs Sorted by '[Physical Mass per kg API']]]/SUMIF(Table_Process_Details['[Physical Mass per kg API'] of Unique Inputs Sorted by '[Physical Mass per kg API']],"&lt;&gt;#N/A"),"0%")&amp;")"</f>
        <v>#N/A</v>
      </c>
      <c r="CP61" s="132" t="e">
        <f ca="1">INDEX(Table_Process_Details[Total '[Physical Mass per kg API'] of Unique Inputs (REAGENT)],MATCH(Table_Process_Details[[#This Row],[Unique Inputs Sorted by '[Physical Mass per kg API']]],Table_Process_Details[Unique Process Inputs],0))</f>
        <v>#N/A</v>
      </c>
      <c r="CQ61" s="132" t="e">
        <f ca="1">INDEX(Table_Process_Details[Total '[Physical Mass per kg API'] of Unique Inputs (METAL)],MATCH(Table_Process_Details[[#This Row],[Unique Inputs Sorted by '[Physical Mass per kg API']]],Table_Process_Details[Unique Process Inputs],0))</f>
        <v>#N/A</v>
      </c>
      <c r="CR61" s="132" t="e">
        <f ca="1">INDEX(Table_Process_Details[Total '[Physical Mass per kg API'] of Unique Inputs (SOLVENT)],MATCH(Table_Process_Details[[#This Row],[Unique Inputs Sorted by '[Physical Mass per kg API']]],Table_Process_Details[Unique Process Inputs],0))</f>
        <v>#N/A</v>
      </c>
      <c r="CS61" s="132" t="e">
        <f ca="1">INDEX(Table_Process_Details[Total '[Physical Mass per kg API'] of Unique Inputs (WATER)],MATCH(Table_Process_Details[[#This Row],[Unique Inputs Sorted by '[Physical Mass per kg API']]],Table_Process_Details[Unique Process Inputs],0))</f>
        <v>#N/A</v>
      </c>
      <c r="CT61" s="132" t="e">
        <f ca="1">INDEX(Table_Process_Details[Total '[Physical Mass per kg API'] of Unique Inputs (ENZ&amp;PLNT)],MATCH(Table_Process_Details[[#This Row],[Unique Inputs Sorted by '[Physical Mass per kg API']]],Table_Process_Details[Unique Process Inputs],0))</f>
        <v>#N/A</v>
      </c>
      <c r="CU61" s="132" t="e">
        <f ca="1">INDEX(Table_Process_Details[Total '[Physical Mass per kg API'] of Unique Inputs (OTHER)],MATCH(Table_Process_Details[[#This Row],[Unique Inputs Sorted by '[Physical Mass per kg API']]],Table_Process_Details[Unique Process Inputs],0))</f>
        <v>#N/A</v>
      </c>
      <c r="CV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1"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1" s="132">
        <f ca="1">SUMIFS(Table_Process_Details[RV Mass Net (kg) per kg API],Table_Process_Details[Display Name],Table_Process_Details[[#This Row],[Unique Process Inputs]],Table_Process_Details[Input or Output],"Input")</f>
        <v>0</v>
      </c>
      <c r="DD61" s="132">
        <f ca="1">SUMIFS(Table_Process_Details[RV Mass Net (kg) per kg API (REAGENT)],Table_Process_Details[Display Name],Table_Process_Details[[#This Row],[Unique Process Inputs]],Table_Process_Details[Input or Output],"Input")</f>
        <v>0</v>
      </c>
      <c r="DE61" s="132">
        <f ca="1">SUMIFS(Table_Process_Details[RV Mass Net (kg) per kg API (METAL)],Table_Process_Details[Display Name],Table_Process_Details[[#This Row],[Unique Process Inputs]],Table_Process_Details[Input or Output],"Input")</f>
        <v>0</v>
      </c>
      <c r="DF61" s="132">
        <f ca="1">SUMIFS(Table_Process_Details[RV Mass Net (kg) per kg API (SOLVENT)],Table_Process_Details[Display Name],Table_Process_Details[[#This Row],[Unique Process Inputs]],Table_Process_Details[Input or Output],"Input")</f>
        <v>0</v>
      </c>
      <c r="DG61" s="132">
        <f ca="1">SUMIFS(Table_Process_Details[RV Mass Net (kg) per kg API (WATER)],Table_Process_Details[Display Name],Table_Process_Details[[#This Row],[Unique Process Inputs]],Table_Process_Details[Input or Output],"Input")</f>
        <v>0</v>
      </c>
      <c r="DH61" s="132">
        <f ca="1">SUMIFS(Table_Process_Details[RV Mass Net (kg) per kg API (ENZ&amp;PLNT)],Table_Process_Details[Display Name],Table_Process_Details[[#This Row],[Unique Process Inputs]],Table_Process_Details[Input or Output],"Input")</f>
        <v>0</v>
      </c>
      <c r="DI61" s="132">
        <f ca="1">SUMIFS(Table_Process_Details[RV Mass Net (kg) per kg API (OTHER)],Table_Process_Details[Display Name],Table_Process_Details[[#This Row],[Unique Process Inputs]],Table_Process_Details[Input or Output],"Input")</f>
        <v>0</v>
      </c>
      <c r="DJ61" s="132" t="e">
        <f ca="1">INDEX(Table_Process_Details[Unique Process Inputs],MATCH(Table_Process_Details[[#This Row],['[Mass Net (kg) per kg API'] of Unique Inputs Sorted by '[Mass Net (kg) per kg API']]],Table_Process_Details[Total '[Mass Net (kg) per kg API'] of Unique Inputs],0))</f>
        <v>#N/A</v>
      </c>
      <c r="DK61" s="132" t="e">
        <f ca="1">IF(LARGE(Table_Process_Details[Total '[Mass Net (kg) per kg API'] of Unique Inputs],Table_Process_Details[[#This Row],[Table Row]])=0,NA(),LARGE(Table_Process_Details[Total '[Mass Net (kg) per kg API'] of Unique Inputs],Table_Process_Details[[#This Row],[Table Row]]))</f>
        <v>#N/A</v>
      </c>
      <c r="DL61" s="132" t="e">
        <f ca="1">SUM(OFFSET(Table_Process_Details['[Mass Net (kg) per kg API'] of Unique Inputs Sorted by '[Mass Net (kg) per kg API']],0,0,Table_Process_Details[[#This Row],[Table Row]]))</f>
        <v>#N/A</v>
      </c>
      <c r="DM61" s="132" t="e">
        <f ca="1">"("&amp;TEXT(Table_Process_Details[[#This Row],['[Mass Net (kg) per kg API'] of Unique Inputs Sorted by '[Mass Net (kg) per kg API']]]/SUMIF(Table_Process_Details['[Mass Net (kg) per kg API'] of Unique Inputs Sorted by '[Mass Net (kg) per kg API']],"&lt;&gt;#N/A"),"0%")&amp;")"</f>
        <v>#N/A</v>
      </c>
      <c r="DN61" s="132" t="e">
        <f ca="1">INDEX(Table_Process_Details[Total '[Mass Net (kg) per kg API'] of Unique Inputs (REAGENT)], MATCH(Table_Process_Details[[#This Row],[Unique Inputs Sorted by '[Mass Net (kg) per kg API']]],Table_Process_Details[Unique Process Inputs],0))</f>
        <v>#N/A</v>
      </c>
      <c r="DO61" s="132" t="e">
        <f ca="1">INDEX(Table_Process_Details[Total '[Mass Net (kg) per kg API'] of Unique Inputs (METAL)], MATCH(Table_Process_Details[[#This Row],[Unique Inputs Sorted by '[Mass Net (kg) per kg API']]],Table_Process_Details[Unique Process Inputs],0))</f>
        <v>#N/A</v>
      </c>
      <c r="DP61" s="132" t="e">
        <f ca="1">INDEX(Table_Process_Details[Total '[Mass Net (kg) per kg API'] of Unique Inputs (SOLVENT)], MATCH(Table_Process_Details[[#This Row],[Unique Inputs Sorted by '[Mass Net (kg) per kg API']]],Table_Process_Details[Unique Process Inputs],0))</f>
        <v>#N/A</v>
      </c>
      <c r="DQ61" s="132" t="e">
        <f ca="1">INDEX(Table_Process_Details[Total '[Mass Net (kg) per kg API'] of Unique Inputs (WATER)], MATCH(Table_Process_Details[[#This Row],[Unique Inputs Sorted by '[Mass Net (kg) per kg API']]],Table_Process_Details[Unique Process Inputs],0))</f>
        <v>#N/A</v>
      </c>
      <c r="DR61" s="132" t="e">
        <f ca="1">INDEX(Table_Process_Details[Total '[Mass Net (kg) per kg API'] of Unique Inputs (ENZ&amp;PLNT)], MATCH(Table_Process_Details[[#This Row],[Unique Inputs Sorted by '[Mass Net (kg) per kg API']]],Table_Process_Details[Unique Process Inputs],0))</f>
        <v>#N/A</v>
      </c>
      <c r="DS61" s="132" t="e">
        <f ca="1">INDEX(Table_Process_Details[Total '[Mass Net (kg) per kg API'] of Unique Inputs (OTHER)], MATCH(Table_Process_Details[[#This Row],[Unique Inputs Sorted by '[Mass Net (kg) per kg API']]],Table_Process_Details[Unique Process Inputs],0))</f>
        <v>#N/A</v>
      </c>
      <c r="DT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1"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1" s="138">
        <f ca="1">SUMIFS(Table_Process_Details[RV Energy (MJ) per kg API],Table_Process_Details[Display Name],Table_Process_Details[[#This Row],[Unique Process Inputs]],Table_Process_Details[Input or Output],"Input")</f>
        <v>0</v>
      </c>
      <c r="EB61" s="138">
        <f ca="1">SUMIFS(Table_Process_Details[RV Energy (MJ) per kg API (REAGENT)],Table_Process_Details[Display Name],Table_Process_Details[[#This Row],[Unique Process Inputs]],Table_Process_Details[Input or Output],"Input")</f>
        <v>0</v>
      </c>
      <c r="EC61" s="138">
        <f ca="1">SUMIFS(Table_Process_Details[RV Energy (MJ) per kg API (METAL)],Table_Process_Details[Display Name],Table_Process_Details[[#This Row],[Unique Process Inputs]],Table_Process_Details[Input or Output],"Input")</f>
        <v>0</v>
      </c>
      <c r="ED61" s="138">
        <f ca="1">SUMIFS(Table_Process_Details[RV Energy (MJ) per kg API (SOLVENT)],Table_Process_Details[Display Name],Table_Process_Details[[#This Row],[Unique Process Inputs]],Table_Process_Details[Input or Output],"Input")</f>
        <v>0</v>
      </c>
      <c r="EE61" s="138">
        <f ca="1">SUMIFS(Table_Process_Details[RV Energy (MJ) per kg API (WATER)],Table_Process_Details[Display Name],Table_Process_Details[[#This Row],[Unique Process Inputs]],Table_Process_Details[Input or Output],"Input")</f>
        <v>0</v>
      </c>
      <c r="EF61" s="138">
        <f ca="1">SUMIFS(Table_Process_Details[RV Energy (MJ) per kg API (ENZ&amp;PLNT)],Table_Process_Details[Display Name],Table_Process_Details[[#This Row],[Unique Process Inputs]],Table_Process_Details[Input or Output],"Input")</f>
        <v>0</v>
      </c>
      <c r="EG61" s="138">
        <f ca="1">SUMIFS(Table_Process_Details[RV Energy (MJ) per kg API (OTHER)],Table_Process_Details[Display Name],Table_Process_Details[[#This Row],[Unique Process Inputs]],Table_Process_Details[Input or Output],"Input")</f>
        <v>0</v>
      </c>
      <c r="EH61" s="138" t="e">
        <f ca="1">INDEX(Table_Process_Details[Unique Process Inputs],MATCH(Table_Process_Details[[#This Row],['[Energy (MJ) per kg API'] of Unique Inputs Sorted by '[Energy (MJ) per kg API']]],Table_Process_Details[Total '[Energy (MJ) per kg API'] of Unique Inputs],0))</f>
        <v>#N/A</v>
      </c>
      <c r="EI61" s="132" t="e">
        <f ca="1">IF(LARGE(Table_Process_Details[Total '[Energy (MJ) per kg API'] of Unique Inputs],Table_Process_Details[[#This Row],[Table Row]])=0,NA(),LARGE(Table_Process_Details[Total '[Energy (MJ) per kg API'] of Unique Inputs],Table_Process_Details[[#This Row],[Table Row]]))</f>
        <v>#N/A</v>
      </c>
      <c r="EJ61" s="132" t="e">
        <f ca="1">SUM(OFFSET(Table_Process_Details['[Energy (MJ) per kg API'] of Unique Inputs Sorted by '[Energy (MJ) per kg API']],0,0,Table_Process_Details[[#This Row],[Table Row]]))</f>
        <v>#N/A</v>
      </c>
      <c r="EK61" s="132" t="e">
        <f ca="1">"("&amp;TEXT(Table_Process_Details[[#This Row],['[Energy (MJ) per kg API'] of Unique Inputs Sorted by '[Energy (MJ) per kg API']]]/SUMIF(Table_Process_Details['[Energy (MJ) per kg API'] of Unique Inputs Sorted by '[Energy (MJ) per kg API']],"&lt;&gt;#N/A"),"0%")&amp;")"</f>
        <v>#N/A</v>
      </c>
      <c r="EL61" s="132" t="e">
        <f ca="1">INDEX(Table_Process_Details[Total '[Energy (MJ) per kg API'] of Unique Inputs (REAGENT)], MATCH(Table_Process_Details[[#This Row],[Unique Inputs Sorted by '[Energy (MJ) per kg API']]],Table_Process_Details[Unique Process Inputs],0))</f>
        <v>#N/A</v>
      </c>
      <c r="EM61" s="132" t="e">
        <f ca="1">INDEX(Table_Process_Details[Total '[Energy (MJ) per kg API'] of Unique Inputs (METAL)], MATCH(Table_Process_Details[[#This Row],[Unique Inputs Sorted by '[Energy (MJ) per kg API']]],Table_Process_Details[Unique Process Inputs],0))</f>
        <v>#N/A</v>
      </c>
      <c r="EN61" s="132" t="e">
        <f ca="1">INDEX(Table_Process_Details[Total '[Energy (MJ) per kg API'] of Unique Inputs (SOLVENT)], MATCH(Table_Process_Details[[#This Row],[Unique Inputs Sorted by '[Energy (MJ) per kg API']]],Table_Process_Details[Unique Process Inputs],0))</f>
        <v>#N/A</v>
      </c>
      <c r="EO61" s="132" t="e">
        <f ca="1">INDEX(Table_Process_Details[Total '[Energy (MJ) per kg API'] of Unique Inputs (WATER)], MATCH(Table_Process_Details[[#This Row],[Unique Inputs Sorted by '[Energy (MJ) per kg API']]],Table_Process_Details[Unique Process Inputs],0))</f>
        <v>#N/A</v>
      </c>
      <c r="EP61" s="132" t="e">
        <f ca="1">INDEX(Table_Process_Details[Total '[Energy (MJ) per kg API'] of Unique Inputs (ENZ&amp;PLNT)], MATCH(Table_Process_Details[[#This Row],[Unique Inputs Sorted by '[Energy (MJ) per kg API']]],Table_Process_Details[Unique Process Inputs],0))</f>
        <v>#N/A</v>
      </c>
      <c r="EQ61" s="132" t="e">
        <f ca="1">INDEX(Table_Process_Details[Total '[Energy (MJ) per kg API'] of Unique Inputs (OTHER)], MATCH(Table_Process_Details[[#This Row],[Unique Inputs Sorted by '[Energy (MJ) per kg API']]],Table_Process_Details[Unique Process Inputs],0))</f>
        <v>#N/A</v>
      </c>
      <c r="ER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1"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1" s="132">
        <f ca="1">SUMIFS(Table_Process_Details[RV GWP (kg CO2 equiv.) per kg API],Table_Process_Details[Display Name],Table_Process_Details[[#This Row],[Unique Process Inputs]],Table_Process_Details[Input or Output],"Input")</f>
        <v>0</v>
      </c>
      <c r="EZ61" s="138">
        <f ca="1">SUMIFS(Table_Process_Details[RV GWP (kg CO2 equiv.) per kg API (REAGENT)],Table_Process_Details[Display Name],Table_Process_Details[[#This Row],[Unique Process Inputs]],Table_Process_Details[Input or Output],"Input")</f>
        <v>0</v>
      </c>
      <c r="FA61" s="138">
        <f ca="1">SUMIFS(Table_Process_Details[RV GWP (kg CO2 equiv.) per kg API (METAL)],Table_Process_Details[Display Name],Table_Process_Details[[#This Row],[Unique Process Inputs]],Table_Process_Details[Input or Output],"Input")</f>
        <v>0</v>
      </c>
      <c r="FB61" s="138">
        <f ca="1">SUMIFS(Table_Process_Details[RV GWP (kg CO2 equiv.) per kg API (SOLVENT)],Table_Process_Details[Display Name],Table_Process_Details[[#This Row],[Unique Process Inputs]],Table_Process_Details[Input or Output],"Input")</f>
        <v>0</v>
      </c>
      <c r="FC61" s="138">
        <f ca="1">SUMIFS(Table_Process_Details[RV GWP (kg CO2 equiv.) per kg API (WATER)],Table_Process_Details[Display Name],Table_Process_Details[[#This Row],[Unique Process Inputs]],Table_Process_Details[Input or Output],"Input")</f>
        <v>0</v>
      </c>
      <c r="FD61" s="138">
        <f ca="1">SUMIFS(Table_Process_Details[RV GWP (kg CO2 equiv.) per kg API (ENZ&amp;PLNT)],Table_Process_Details[Display Name],Table_Process_Details[[#This Row],[Unique Process Inputs]],Table_Process_Details[Input or Output],"Input")</f>
        <v>0</v>
      </c>
      <c r="FE61" s="138">
        <f ca="1">SUMIFS(Table_Process_Details[RV GWP (kg CO2 equiv.) per kg API (OTHER)],Table_Process_Details[Display Name],Table_Process_Details[[#This Row],[Unique Process Inputs]],Table_Process_Details[Input or Output],"Input")</f>
        <v>0</v>
      </c>
      <c r="FF61" s="132" t="e">
        <f ca="1">INDEX(Table_Process_Details[Unique Process Inputs],MATCH(Table_Process_Details[[#This Row],['[GWP (kg CO2 equiv.) per kg API'] of Unique Inputs Sorted by '[GWP (kg CO2 equiv.) per kg API']]],Table_Process_Details[Total '[GWP (kg CO2 equiv.) per kg API'] of Unique Inputs],0))</f>
        <v>#N/A</v>
      </c>
      <c r="FG61" s="132" t="e">
        <f ca="1">IF(LARGE(Table_Process_Details[Total '[GWP (kg CO2 equiv.) per kg API'] of Unique Inputs],Table_Process_Details[[#This Row],[Table Row]])=0,NA(),LARGE(Table_Process_Details[Total '[GWP (kg CO2 equiv.) per kg API'] of Unique Inputs],Table_Process_Details[[#This Row],[Table Row]]))</f>
        <v>#N/A</v>
      </c>
      <c r="FH61" s="132" t="e">
        <f ca="1">SUM(OFFSET(Table_Process_Details['[GWP (kg CO2 equiv.) per kg API'] of Unique Inputs Sorted by '[GWP (kg CO2 equiv.) per kg API']],0,0,Table_Process_Details[[#This Row],[Table Row]]))</f>
        <v>#N/A</v>
      </c>
      <c r="FI61" s="132" t="e">
        <f ca="1">"("&amp;TEXT(Table_Process_Details[[#This Row],['[GWP (kg CO2 equiv.) per kg API'] of Unique Inputs Sorted by '[GWP (kg CO2 equiv.) per kg API']]]/SUMIF(Table_Process_Details['[GWP (kg CO2 equiv.) per kg API'] of Unique Inputs Sorted by '[GWP (kg CO2 equiv.) per kg API']],"&lt;&gt;#N/A"),"0%")&amp;")"</f>
        <v>#N/A</v>
      </c>
      <c r="FJ61" s="132" t="e">
        <f ca="1">INDEX(Table_Process_Details[Total '[GWP (kg CO2 equiv.) per kg API'] of Unique Inputs (REAGENT)], MATCH(Table_Process_Details[[#This Row],[Unique Inputs Sorted by '[GWP (kg CO2 equiv.) per kg API']]],Table_Process_Details[Unique Process Inputs],0))</f>
        <v>#N/A</v>
      </c>
      <c r="FK61" s="132" t="e">
        <f ca="1">INDEX(Table_Process_Details[Total '[GWP (kg CO2 equiv.) per kg API'] of Unique Inputs (METAL)], MATCH(Table_Process_Details[[#This Row],[Unique Inputs Sorted by '[GWP (kg CO2 equiv.) per kg API']]],Table_Process_Details[Unique Process Inputs],0))</f>
        <v>#N/A</v>
      </c>
      <c r="FL61" s="132" t="e">
        <f ca="1">INDEX(Table_Process_Details[Total '[GWP (kg CO2 equiv.) per kg API'] of Unique Inputs (SOLVENT)], MATCH(Table_Process_Details[[#This Row],[Unique Inputs Sorted by '[GWP (kg CO2 equiv.) per kg API']]],Table_Process_Details[Unique Process Inputs],0))</f>
        <v>#N/A</v>
      </c>
      <c r="FM61" s="132" t="e">
        <f ca="1">INDEX(Table_Process_Details[Total '[GWP (kg CO2 equiv.) per kg API'] of Unique Inputs (WATER)], MATCH(Table_Process_Details[[#This Row],[Unique Inputs Sorted by '[GWP (kg CO2 equiv.) per kg API']]],Table_Process_Details[Unique Process Inputs],0))</f>
        <v>#N/A</v>
      </c>
      <c r="FN61" s="132" t="e">
        <f ca="1">INDEX(Table_Process_Details[Total '[GWP (kg CO2 equiv.) per kg API'] of Unique Inputs (ENZ&amp;PLNT)], MATCH(Table_Process_Details[[#This Row],[Unique Inputs Sorted by '[GWP (kg CO2 equiv.) per kg API']]],Table_Process_Details[Unique Process Inputs],0))</f>
        <v>#N/A</v>
      </c>
      <c r="FO61" s="132" t="e">
        <f ca="1">INDEX(Table_Process_Details[Total '[GWP (kg CO2 equiv.) per kg API'] of Unique Inputs (OTHER)], MATCH(Table_Process_Details[[#This Row],[Unique Inputs Sorted by '[GWP (kg CO2 equiv.) per kg API']]],Table_Process_Details[Unique Process Inputs],0))</f>
        <v>#N/A</v>
      </c>
      <c r="FP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1"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1" s="132">
        <f ca="1">SUMIFS(Table_Process_Details[RV Acidification (kg SO2 equiv.) per kg API],Table_Process_Details[Display Name],Table_Process_Details[[#This Row],[Unique Process Inputs]],Table_Process_Details[Input or Output],"Input")</f>
        <v>0</v>
      </c>
      <c r="FX61" s="138">
        <f ca="1">SUMIFS(Table_Process_Details[RV Acidification (kg SO2 equiv.) per kg API (REAGENT)],Table_Process_Details[Display Name],Table_Process_Details[[#This Row],[Unique Process Inputs]],Table_Process_Details[Input or Output],"Input")</f>
        <v>0</v>
      </c>
      <c r="FY61" s="138">
        <f ca="1">SUMIFS(Table_Process_Details[RV Acidification (kg SO2 equiv.) per kg API (METAL)],Table_Process_Details[Display Name],Table_Process_Details[[#This Row],[Unique Process Inputs]],Table_Process_Details[Input or Output],"Input")</f>
        <v>0</v>
      </c>
      <c r="FZ61" s="138">
        <f ca="1">SUMIFS(Table_Process_Details[RV Acidification (kg SO2 equiv.) per kg API (SOLVENT)],Table_Process_Details[Display Name],Table_Process_Details[[#This Row],[Unique Process Inputs]],Table_Process_Details[Input or Output],"Input")</f>
        <v>0</v>
      </c>
      <c r="GA61" s="138">
        <f ca="1">SUMIFS(Table_Process_Details[RV Acidification (kg SO2 equiv.) per kg API (WATER)],Table_Process_Details[Display Name],Table_Process_Details[[#This Row],[Unique Process Inputs]],Table_Process_Details[Input or Output],"Input")</f>
        <v>0</v>
      </c>
      <c r="GB61" s="138">
        <f ca="1">SUMIFS(Table_Process_Details[RV Acidification (kg SO2 equiv.) per kg API (ENZ&amp;PLNT)],Table_Process_Details[Display Name],Table_Process_Details[[#This Row],[Unique Process Inputs]],Table_Process_Details[Input or Output],"Input")</f>
        <v>0</v>
      </c>
      <c r="GC61" s="138">
        <f ca="1">SUMIFS(Table_Process_Details[RV Acidification (kg SO2 equiv.) per kg API (OTHER)],Table_Process_Details[Display Name],Table_Process_Details[[#This Row],[Unique Process Inputs]],Table_Process_Details[Input or Output],"Input")</f>
        <v>0</v>
      </c>
      <c r="GD61" s="13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1" s="132" t="e">
        <f ca="1">IF(LARGE(Table_Process_Details[Total '[Acidification (kg SO2 equiv.) per kg API'] of Unique Inputs],Table_Process_Details[[#This Row],[Table Row]])=0,NA(),LARGE(Table_Process_Details[Total '[Acidification (kg SO2 equiv.) per kg API'] of Unique Inputs],Table_Process_Details[[#This Row],[Table Row]]))</f>
        <v>#N/A</v>
      </c>
      <c r="GF61" s="132" t="e">
        <f ca="1">SUM(OFFSET(Table_Process_Details['[Acidification (kg SO2 equiv.) per kg API'] of Unique Inputs Sorted by '[Acidification (kg SO2 equiv.) per kg API']],0,0,Table_Process_Details[[#This Row],[Table Row]]))</f>
        <v>#N/A</v>
      </c>
      <c r="GG61" s="13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1" s="132" t="e">
        <f ca="1">INDEX(Table_Process_Details[Total '[Acidification (kg SO2 equiv.) per kg API'] of Unique Inputs (REAGENT)], MATCH(Table_Process_Details[[#This Row],[Unique Inputs Sorted by '[Acidification (kg SO2 equiv.) per kg API']]],Table_Process_Details[Unique Process Inputs],0))</f>
        <v>#N/A</v>
      </c>
      <c r="GI61" s="132" t="e">
        <f ca="1">INDEX(Table_Process_Details[Total '[Acidification (kg SO2 equiv.) per kg API'] of Unique Inputs (METAL)], MATCH(Table_Process_Details[[#This Row],[Unique Inputs Sorted by '[Acidification (kg SO2 equiv.) per kg API']]],Table_Process_Details[Unique Process Inputs],0))</f>
        <v>#N/A</v>
      </c>
      <c r="GJ61" s="132" t="e">
        <f ca="1">INDEX(Table_Process_Details[Total '[Acidification (kg SO2 equiv.) per kg API'] of Unique Inputs (SOLVENT)], MATCH(Table_Process_Details[[#This Row],[Unique Inputs Sorted by '[Acidification (kg SO2 equiv.) per kg API']]],Table_Process_Details[Unique Process Inputs],0))</f>
        <v>#N/A</v>
      </c>
      <c r="GK61" s="132" t="e">
        <f ca="1">INDEX(Table_Process_Details[Total '[Acidification (kg SO2 equiv.) per kg API'] of Unique Inputs (WATER)], MATCH(Table_Process_Details[[#This Row],[Unique Inputs Sorted by '[Acidification (kg SO2 equiv.) per kg API']]],Table_Process_Details[Unique Process Inputs],0))</f>
        <v>#N/A</v>
      </c>
      <c r="GL61" s="132" t="e">
        <f ca="1">INDEX(Table_Process_Details[Total '[Acidification (kg SO2 equiv.) per kg API'] of Unique Inputs (ENZ&amp;PLNT)], MATCH(Table_Process_Details[[#This Row],[Unique Inputs Sorted by '[Acidification (kg SO2 equiv.) per kg API']]],Table_Process_Details[Unique Process Inputs],0))</f>
        <v>#N/A</v>
      </c>
      <c r="GM61" s="132" t="e">
        <f ca="1">INDEX(Table_Process_Details[Total '[Acidification (kg SO2 equiv.) per kg API'] of Unique Inputs (OTHER)], MATCH(Table_Process_Details[[#This Row],[Unique Inputs Sorted by '[Acidification (kg SO2 equiv.) per kg API']]],Table_Process_Details[Unique Process Inputs],0))</f>
        <v>#N/A</v>
      </c>
      <c r="GN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1"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1" s="132">
        <f ca="1">SUMIFS(Table_Process_Details[RV Eutrophication (kg phosphate equiv.) per kg API],Table_Process_Details[Display Name],Table_Process_Details[[#This Row],[Unique Process Inputs]],Table_Process_Details[Input or Output],"Input")</f>
        <v>0</v>
      </c>
      <c r="GV61" s="138">
        <f ca="1">SUMIFS(Table_Process_Details[RV Eutrophication (kg phosphate equiv.) per kg API (REAGENT)],Table_Process_Details[Display Name],Table_Process_Details[[#This Row],[Unique Process Inputs]],Table_Process_Details[Input or Output],"Input")</f>
        <v>0</v>
      </c>
      <c r="GW61" s="138">
        <f ca="1">SUMIFS(Table_Process_Details[RV Eutrophication (kg phosphate equiv.) per kg API (METAL)],Table_Process_Details[Display Name],Table_Process_Details[[#This Row],[Unique Process Inputs]],Table_Process_Details[Input or Output],"Input")</f>
        <v>0</v>
      </c>
      <c r="GX61" s="138">
        <f ca="1">SUMIFS(Table_Process_Details[RV Eutrophication (kg phosphate equiv.) per kg API (SOLVENT)],Table_Process_Details[Display Name],Table_Process_Details[[#This Row],[Unique Process Inputs]],Table_Process_Details[Input or Output],"Input")</f>
        <v>0</v>
      </c>
      <c r="GY61" s="138">
        <f ca="1">SUMIFS(Table_Process_Details[RV Eutrophication (kg phosphate equiv.) per kg API (WATER)],Table_Process_Details[Display Name],Table_Process_Details[[#This Row],[Unique Process Inputs]],Table_Process_Details[Input or Output],"Input")</f>
        <v>0</v>
      </c>
      <c r="GZ61" s="138">
        <f ca="1">SUMIFS(Table_Process_Details[RV Eutrophication (kg phosphate equiv.) per kg API (ENZ&amp;PLNT)],Table_Process_Details[Display Name],Table_Process_Details[[#This Row],[Unique Process Inputs]],Table_Process_Details[Input or Output],"Input")</f>
        <v>0</v>
      </c>
      <c r="HA61" s="138">
        <f ca="1">SUMIFS(Table_Process_Details[RV Eutrophication (kg phosphate equiv.) per kg API (OTHER)],Table_Process_Details[Display Name],Table_Process_Details[[#This Row],[Unique Process Inputs]],Table_Process_Details[Input or Output],"Input")</f>
        <v>0</v>
      </c>
      <c r="HB61" s="13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1" s="13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1" s="132" t="e">
        <f ca="1">SUM(OFFSET(Table_Process_Details['[Eutrophication (kg posphate equiv.) per kg API'] of Unique Inputs Sorted by '[Eutrophication (kg posphate equiv.) per kg API']],0,0,Table_Process_Details[[#This Row],[Table Row]]))</f>
        <v>#N/A</v>
      </c>
      <c r="HE61" s="13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1" s="138" t="e">
        <f ca="1">INDEX(Table_Process_Details[Total '[Eutrophication (kg posphate equiv.) per kg API'] of Unique Inputs (REAGENT)], MATCH(Table_Process_Details[[#This Row],[Unique Inputs Sorted by '[Eutrophication (kg posphate equiv.) per kg API']]],Table_Process_Details[Unique Process Inputs],0))</f>
        <v>#N/A</v>
      </c>
      <c r="HG61" s="138" t="e">
        <f ca="1">INDEX(Table_Process_Details[Total '[Eutrophication (kg posphate equiv.) per kg API'] of Unique Inputs (METAL)], MATCH(Table_Process_Details[[#This Row],[Unique Inputs Sorted by '[Eutrophication (kg posphate equiv.) per kg API']]],Table_Process_Details[Unique Process Inputs],0))</f>
        <v>#N/A</v>
      </c>
      <c r="HH61" s="138" t="e">
        <f ca="1">INDEX(Table_Process_Details[Total '[Eutrophication (kg posphate equiv.) per kg API'] of Unique Inputs (SOLVENT)], MATCH(Table_Process_Details[[#This Row],[Unique Inputs Sorted by '[Eutrophication (kg posphate equiv.) per kg API']]],Table_Process_Details[Unique Process Inputs],0))</f>
        <v>#N/A</v>
      </c>
      <c r="HI61" s="138" t="e">
        <f ca="1">INDEX(Table_Process_Details[Total '[Eutrophication (kg posphate equiv.) per kg API'] of Unique Inputs (WATER)], MATCH(Table_Process_Details[[#This Row],[Unique Inputs Sorted by '[Eutrophication (kg posphate equiv.) per kg API']]],Table_Process_Details[Unique Process Inputs],0))</f>
        <v>#N/A</v>
      </c>
      <c r="HJ61" s="138" t="e">
        <f ca="1">INDEX(Table_Process_Details[Total '[Eutrophication (kg posphate equiv.) per kg API'] of Unique Inputs (ENZ&amp;PLNT)], MATCH(Table_Process_Details[[#This Row],[Unique Inputs Sorted by '[Eutrophication (kg posphate equiv.) per kg API']]],Table_Process_Details[Unique Process Inputs],0))</f>
        <v>#N/A</v>
      </c>
      <c r="HK61" s="138" t="e">
        <f ca="1">INDEX(Table_Process_Details[Total '[Eutrophication (kg posphate equiv.) per kg API'] of Unique Inputs (OTHER)], MATCH(Table_Process_Details[[#This Row],[Unique Inputs Sorted by '[Eutrophication (kg posphate equiv.) per kg API']]],Table_Process_Details[Unique Process Inputs],0))</f>
        <v>#N/A</v>
      </c>
      <c r="HL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1"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1" s="138">
        <f ca="1">SUMIFS(Table_Process_Details[RV Water (kg) per kg API],Table_Process_Details[Display Name],Table_Process_Details[[#This Row],[Unique Process Inputs]],Table_Process_Details[Input or Output],"Input")</f>
        <v>0</v>
      </c>
      <c r="HT61" s="138">
        <f ca="1">SUMIFS(Table_Process_Details[RV Water (kg) per kg API (REAGENT)],Table_Process_Details[Display Name],Table_Process_Details[[#This Row],[Unique Process Inputs]],Table_Process_Details[Input or Output],"Input")</f>
        <v>0</v>
      </c>
      <c r="HU61" s="138">
        <f ca="1">SUMIFS(Table_Process_Details[RV Water (kg) per kg API (METAL)],Table_Process_Details[Display Name],Table_Process_Details[[#This Row],[Unique Process Inputs]],Table_Process_Details[Input or Output],"Input")</f>
        <v>0</v>
      </c>
      <c r="HV61" s="138">
        <f ca="1">SUMIFS(Table_Process_Details[RV Water (kg) per kg API (SOLVENT)],Table_Process_Details[Display Name],Table_Process_Details[[#This Row],[Unique Process Inputs]],Table_Process_Details[Input or Output],"Input")</f>
        <v>0</v>
      </c>
      <c r="HW61" s="138">
        <f ca="1">SUMIFS(Table_Process_Details[RV Water (kg) per kg API (WATER)],Table_Process_Details[Display Name],Table_Process_Details[[#This Row],[Unique Process Inputs]],Table_Process_Details[Input or Output],"Input")</f>
        <v>0</v>
      </c>
      <c r="HX61" s="138">
        <f ca="1">SUMIFS(Table_Process_Details[RV Water (kg) per kg API (ENZ&amp;PLNT)],Table_Process_Details[Display Name],Table_Process_Details[[#This Row],[Unique Process Inputs]],Table_Process_Details[Input or Output],"Input")</f>
        <v>0</v>
      </c>
      <c r="HY61" s="138">
        <f ca="1">SUMIFS(Table_Process_Details[RV Water (kg) per kg API (OTHER)],Table_Process_Details[Display Name],Table_Process_Details[[#This Row],[Unique Process Inputs]],Table_Process_Details[Input or Output],"Input")</f>
        <v>0</v>
      </c>
      <c r="HZ61" s="132" t="e">
        <f ca="1">INDEX(Table_Process_Details[Unique Process Inputs],MATCH(Table_Process_Details[[#This Row],['[Water (kg) per kg API'] of Unique Inputs Sorted by '[Water (kg) per kg API']]],Table_Process_Details[Total '[Water (kg) per kg API'] of Unique Inputs],0))</f>
        <v>#N/A</v>
      </c>
      <c r="IA61" s="132" t="e">
        <f ca="1">IF(LARGE(Table_Process_Details[Total '[Water (kg) per kg API'] of Unique Inputs],Table_Process_Details[[#This Row],[Table Row]])=0,NA(),LARGE(Table_Process_Details[Total '[Water (kg) per kg API'] of Unique Inputs],Table_Process_Details[[#This Row],[Table Row]]))</f>
        <v>#N/A</v>
      </c>
      <c r="IB61" s="138" t="e">
        <f ca="1">SUM(OFFSET(Table_Process_Details['[Water (kg) per kg API'] of Unique Inputs Sorted by '[Water (kg) per kg API']],0,0,Table_Process_Details[[#This Row],[Table Row]]))</f>
        <v>#N/A</v>
      </c>
      <c r="IC61" s="138" t="e">
        <f ca="1">"("&amp;TEXT(Table_Process_Details[[#This Row],['[Water (kg) per kg API'] of Unique Inputs Sorted by '[Water (kg) per kg API']]]/SUMIF(Table_Process_Details['[Water (kg) per kg API'] of Unique Inputs Sorted by '[Water (kg) per kg API']],"&lt;&gt;#N/A"),"0%")&amp;")"</f>
        <v>#N/A</v>
      </c>
      <c r="ID61" s="138" t="e">
        <f ca="1">INDEX(Table_Process_Details[Total '[Water (kg) per kg API'] of Unique Inputs (REAGENT)], MATCH(Table_Process_Details[[#This Row],[Unique Inputs Sorted by '[Water (kg) per kg API']]],Table_Process_Details[Unique Process Inputs],0))</f>
        <v>#N/A</v>
      </c>
      <c r="IE61" s="138" t="e">
        <f ca="1">INDEX(Table_Process_Details[Total '[Water (kg) per kg API'] of Unique Inputs (METAL)], MATCH(Table_Process_Details[[#This Row],[Unique Inputs Sorted by '[Water (kg) per kg API']]],Table_Process_Details[Unique Process Inputs],0))</f>
        <v>#N/A</v>
      </c>
      <c r="IF61" s="138" t="e">
        <f ca="1">INDEX(Table_Process_Details[Total '[Water (kg) per kg API'] of Unique Inputs (SOLVENT)], MATCH(Table_Process_Details[[#This Row],[Unique Inputs Sorted by '[Water (kg) per kg API']]],Table_Process_Details[Unique Process Inputs],0))</f>
        <v>#N/A</v>
      </c>
      <c r="IG61" s="138" t="e">
        <f ca="1">INDEX(Table_Process_Details[Total '[Water (kg) per kg API'] of Unique Inputs (WATER)], MATCH(Table_Process_Details[[#This Row],[Unique Inputs Sorted by '[Water (kg) per kg API']]],Table_Process_Details[Unique Process Inputs],0))</f>
        <v>#N/A</v>
      </c>
      <c r="IH61" s="138" t="e">
        <f ca="1">INDEX(Table_Process_Details[Total '[Water (kg) per kg API'] of Unique Inputs (ENZ&amp;PLNT)], MATCH(Table_Process_Details[[#This Row],[Unique Inputs Sorted by '[Water (kg) per kg API']]],Table_Process_Details[Unique Process Inputs],0))</f>
        <v>#N/A</v>
      </c>
      <c r="II61" s="138" t="e">
        <f ca="1">INDEX(Table_Process_Details[Total '[Water (kg) per kg API'] of Unique Inputs (OTHER)], MATCH(Table_Process_Details[[#This Row],[Unique Inputs Sorted by '[Water (kg) per kg API']]],Table_Process_Details[Unique Process Inputs],0))</f>
        <v>#N/A</v>
      </c>
    </row>
    <row r="62" spans="1:243" customFormat="1" x14ac:dyDescent="0.25">
      <c r="A62" s="22" t="str">
        <f>'1. Define Process Steps'!A19</f>
        <v>3a) Virtual solution prep for (3): 25 wt% reagent I (organic) in DMF</v>
      </c>
      <c r="B62" s="21" t="s">
        <v>4</v>
      </c>
      <c r="C62" s="21" t="s">
        <v>153</v>
      </c>
      <c r="D62" s="22" t="s">
        <v>156</v>
      </c>
      <c r="E62" s="22" t="s">
        <v>831</v>
      </c>
      <c r="F62" s="26">
        <v>25</v>
      </c>
      <c r="G62" s="26"/>
      <c r="H62" s="26"/>
      <c r="I62" s="26"/>
      <c r="J62" s="26" t="str">
        <f>INDEX(Process_Steps[Reference],MATCH(Table_Process_Details[[#This Row],[Step Name]],Process_Steps[Name],0))</f>
        <v>Another Reference Document!</v>
      </c>
      <c r="K62" s="27" t="str">
        <f>INDEX(Process_Steps[Real or Virtual?],MATCH(Table_Process_Details[[#This Row],[Step Name]],Process_Steps[Name],0))</f>
        <v>Virtual</v>
      </c>
      <c r="L6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6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62" s="26">
        <f>INDEX(Table_Process_Details[Physical Mass (kg)],MATCH(1,INDEX(((Table_Process_Details[Step Name]=Table_Process_Details[[#This Row],[Step Name]])*(Table_Process_Details[Input or Output]="Output")),0),0))</f>
        <v>100</v>
      </c>
      <c r="O62" s="29">
        <f ca="1">INDEX(Process_Steps[Step Scale Factor for 1kg Packaged API],MATCH(Table_Process_Details[[#This Row],[Step Name]],Process_Steps[Name],0))</f>
        <v>2.2022389429254559E-2</v>
      </c>
      <c r="P6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12.333333333333334</v>
      </c>
      <c r="Q6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7.3333333333333339</v>
      </c>
      <c r="R62" s="26">
        <f ca="1">_xlfn.SWITCH(Run_Reset_PNG,"Reset",Table_Process_Details[[#This Row],[X Init]],"Run",Table_Process_Details[[#This Row],[X Moved]],"Freeze",Table_Process_Details[[#This Row],[X Mover]])</f>
        <v>24.948688074652768</v>
      </c>
      <c r="S62" s="26">
        <f ca="1">_xlfn.SWITCH(Run_Reset_PNG,"Reset",Table_Process_Details[[#This Row],[Y Init]],"Run",Table_Process_Details[[#This Row],[Y Moved]],"Freeze",Table_Process_Details[[#This Row],[Y Mover]])</f>
        <v>21.025495330997444</v>
      </c>
      <c r="T62" s="26" cm="1">
        <f t="array" aca="1" ref="T6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-9.268121395859602E-2</v>
      </c>
      <c r="U62" s="26" cm="1">
        <f t="array" aca="1" ref="U6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4.6247637995567397</v>
      </c>
      <c r="V62" s="26" cm="1">
        <f t="array" aca="1" ref="V62" ca="1">SUM(--(SQRT((Table_Process_Details[[#This Row],[X Mover]]-Table_Process_Details[X Mover])^2+(Table_Process_Details[[#This Row],[Y Mover]]-Table_Process_Details[Y Mover])^2)&lt;Collision_Distance))</f>
        <v>5</v>
      </c>
      <c r="W62" s="26" cm="1">
        <f t="array" aca="1" ref="W6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6.8875996412436427E-2</v>
      </c>
      <c r="X62" s="26" cm="1">
        <f t="array" aca="1" ref="X6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-0.77398604633560286</v>
      </c>
      <c r="Y62" s="26" cm="1">
        <f t="array" aca="1" ref="Y6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62" s="26">
        <f>0</f>
        <v>0</v>
      </c>
      <c r="AA62" s="26">
        <f>0</f>
        <v>0</v>
      </c>
      <c r="AB6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-12.474344037326384</v>
      </c>
      <c r="AC62" s="26" cm="1">
        <f t="array" aca="1" ref="AC6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-10.512747665498722</v>
      </c>
      <c r="AD62" s="26">
        <f>MIN(1,COUNTA(Table_Process_Details[[#This Row],[target x]]),COUNTA(Table_Process_Details[[#This Row],[target y]]))*COUNTA(Table_Process_Details[Step Name])</f>
        <v>98</v>
      </c>
      <c r="AE6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24.871738603402811</v>
      </c>
      <c r="AF6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21.069189109210956</v>
      </c>
      <c r="AG6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62" s="26" cm="1">
        <f t="array" aca="1" ref="AH62" ca="1">INDEX(Table_Process_Details[X Mover],MATCH(1,INDEX((Table_Process_Details[Input or Output]="Output")*(Table_Process_Details[Step Name]=Table_Process_Details[[#This Row],[Step Name]])*(Table_Process_Details[[#This Row],[Input or Output]]="Input"),0),0))</f>
        <v>25.352355293624477</v>
      </c>
      <c r="AI62" s="26" cm="1">
        <f t="array" aca="1" ref="AI62" ca="1">INDEX(Table_Process_Details[Y Mover],MATCH(1,INDEX((Table_Process_Details[Input or Output]="Output")*(Table_Process_Details[Step Name]=Table_Process_Details[[#This Row],[Step Name]])*(Table_Process_Details[[#This Row],[Input or Output]]="Input"),0),0))</f>
        <v>16.489331629258427</v>
      </c>
      <c r="AJ62" s="26" t="e">
        <f ca="1">SQRT((Table_Process_Details[[#This Row],[X End (To Node Center)]]-Table_Process_Details[[#This Row],[X Guide]])^2+(Table_Process_Details[[#This Row],[Y End (to Node Center)]]-Table_Process_Details[[#This Row],[Y Guide]])^2)</f>
        <v>#N/A</v>
      </c>
      <c r="AK62" s="26" t="e" cm="1">
        <f t="array" ref="AK62">INDEX(Table_Process_Details[X Mover],MATCH(1,INDEX((Table_Process_Details[Step Name]=Table_Process_Details[[#This Row],[LCA Data Source Subclass]])*(Table_Process_Details[Input or Output]="Output"),0)*(Table_Process_Details[[#This Row],[Input or Output]]="Input"),0))</f>
        <v>#N/A</v>
      </c>
      <c r="AL62" s="26" cm="1">
        <f t="array" aca="1" ref="AL62" ca="1">INDEX(Table_Process_Details[X Mover],MATCH(1,INDEX(((Table_Process_Details[Table Row]=Table_Process_Details[[#This Row],[Table Row]])*(1)),0)*(Table_Process_Details[[#This Row],[Input or Output]]="Input"),0))</f>
        <v>24.948688074652768</v>
      </c>
      <c r="AM62" s="26" t="e" cm="1">
        <f t="array" aca="1" ref="AM62" ca="1">(Table_Process_Details[[#This Row],[X End (To Node Center)]]*Table_Process_Details[[#This Row],[r0]]-Table_Process_Details[[#This Row],[X End (To Node Center)]]*Arrow_Offset+Table_Process_Details[[#This Row],[X Guide]]*Arrow_Offset)/Table_Process_Details[[#This Row],[r0]]</f>
        <v>#N/A</v>
      </c>
      <c r="AN62" s="26" t="e">
        <f>IF(NOT(Table_Process_Details[[#This Row],[Display As]]="None"),Table_Process_Details[[#This Row],[X Start Prefilter]],NA())</f>
        <v>#N/A</v>
      </c>
      <c r="AO62" s="26" t="e">
        <f>IF(NOT(Table_Process_Details[[#This Row],[Display As]]="None"),Table_Process_Details[[#This Row],[X Guide Prefilter]],NA())</f>
        <v>#N/A</v>
      </c>
      <c r="AP62" s="26" t="e">
        <f>IF(NOT(Table_Process_Details[[#This Row],[Display As]]="None"),Table_Process_Details[[#This Row],[X End (to Stop Radius) Prefilter]],NA())</f>
        <v>#N/A</v>
      </c>
      <c r="AQ62" s="26" t="e">
        <f>NA()</f>
        <v>#N/A</v>
      </c>
      <c r="AR62" s="26" t="e" cm="1">
        <f t="array" ref="AR62">INDEX(Table_Process_Details[Y Mover],MATCH(1,INDEX((Table_Process_Details[Step Name]=Table_Process_Details[[#This Row],[LCA Data Source Subclass]])*(Table_Process_Details[Input or Output]="Output"),0)*(Table_Process_Details[[#This Row],[Input or Output]]="Input"),0))</f>
        <v>#N/A</v>
      </c>
      <c r="AS62" s="26" cm="1">
        <f t="array" aca="1" ref="AS62" ca="1">INDEX(Table_Process_Details[Y Mover],MATCH(1,INDEX(((Table_Process_Details[Table Row]=Table_Process_Details[[#This Row],[Table Row]])*(1)),0)*(Table_Process_Details[[#This Row],[Input or Output]]="Input"),0))</f>
        <v>21.025495330997444</v>
      </c>
      <c r="AT62" s="26" t="e" cm="1">
        <f t="array" aca="1" ref="AT62" ca="1">(Table_Process_Details[[#This Row],[Y Guide]]*Arrow_Offset-Table_Process_Details[[#This Row],[Y End (to Node Center)]]*Arrow_Offset+Table_Process_Details[[#This Row],[Y End (to Node Center)]]*Table_Process_Details[[#This Row],[r0]])/Table_Process_Details[[#This Row],[r0]]</f>
        <v>#N/A</v>
      </c>
      <c r="AU62" s="26" t="e">
        <f>IF(NOT(Table_Process_Details[[#This Row],[Display As]]="None"),Table_Process_Details[[#This Row],[Y Start Prefilter]],NA())</f>
        <v>#N/A</v>
      </c>
      <c r="AV62" s="26" t="e">
        <f>IF(NOT(Table_Process_Details[[#This Row],[Display As]]="None"),Table_Process_Details[[#This Row],[Y Guide Prefilter]],NA())</f>
        <v>#N/A</v>
      </c>
      <c r="AW62" s="26" t="e">
        <f>IF(NOT(Table_Process_Details[[#This Row],[Display As]]="None"),Table_Process_Details[[#This Row],[Y End (to Stop Radius) Prefilter]],NA())</f>
        <v>#N/A</v>
      </c>
      <c r="AX62" s="26" t="e">
        <f>NA()</f>
        <v>#N/A</v>
      </c>
      <c r="AY62" s="26" t="e">
        <f>IF(Table_Process_Details[[#This Row],[Display As]]="Real Step",Table_Process_Details[[#This Row],[X Mover]],NA())</f>
        <v>#N/A</v>
      </c>
      <c r="AZ62" s="26" t="e">
        <f>IF(Table_Process_Details[[#This Row],[Display As]]="Real Step",Table_Process_Details[[#This Row],[Y Mover]],NA())</f>
        <v>#N/A</v>
      </c>
      <c r="BA62" s="26" t="e">
        <f>IF(Table_Process_Details[[#This Row],[Display As]]="Raw Material",Table_Process_Details[[#This Row],[X Mover]],NA())</f>
        <v>#N/A</v>
      </c>
      <c r="BB62" s="26" t="e">
        <f>IF(Table_Process_Details[[#This Row],[Display As]]="Raw Material",Table_Process_Details[[#This Row],[Y Mover]],NA())</f>
        <v>#N/A</v>
      </c>
      <c r="BC62" s="26" t="e">
        <f>IF(OR(Table_Process_Details[[#This Row],[Display As]]="Real Step",Table_Process_Details[[#This Row],[Display As]]="Raw Material"),Table_Process_Details[[#This Row],[X Mover]],NA())</f>
        <v>#N/A</v>
      </c>
      <c r="BD62" s="26" t="e">
        <f>IF(OR(Table_Process_Details[[#This Row],[Display As]]="Real Step",Table_Process_Details[[#This Row],[Display As]]="Raw Material"),Table_Process_Details[[#This Row],[Y Mover]],NA())</f>
        <v>#N/A</v>
      </c>
      <c r="BE62" s="22">
        <f>ROW()-ROW(Table_Process_Details[[#Headers],[Table Row]])</f>
        <v>58</v>
      </c>
      <c r="BF62" s="23" t="e" cm="1">
        <f t="array" aca="1" ref="BF62" ca="1">INDEX(Table_Process_Details[Display Name],MATCH(0,IF(Table_Process_Details[Input or Output]="Input",INDEX(COUNTIF(OFFSET(Table_Process_Details[[#Headers],[Unique Process Inputs]],0,0,Table_Process_Details[[#This Row],[Table Row]],1),Table_Process_Details[Display Name]),),""),0))</f>
        <v>#N/A</v>
      </c>
      <c r="BG62" s="23">
        <f ca="1">Table_Process_Details[[#This Row],[Physical Mass (kg)]]*Table_Process_Details[[#This Row],[Step Scale Factor for 1kg Packaged API]]</f>
        <v>0.55055973573136396</v>
      </c>
      <c r="BH6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2" s="23">
        <f ca="1">MATCH(Table_Process_Details[[#This Row],[LCA Data Source Class]],INDIRECT(Table_Process_Details[[#This Row],[Input or Output]]),0)</f>
        <v>3</v>
      </c>
      <c r="BJ62" s="23">
        <f ca="1">MATCH(Table_Process_Details[[#This Row],[LCA Data Source Subclass]],INDIRECT(Table_Process_Details[[#This Row],[LCA Data Source Class]]&amp;"[Name]"),0)</f>
        <v>1</v>
      </c>
      <c r="BK62" s="23">
        <f ca="1">IFERROR(INDEX(INDIRECT(Table_Process_Details[[#This Row],[LCA Data Source Class]]&amp;"[Mass Net (kg)]"),MATCH(Table_Process_Details[[#This Row],[LCA Data Source Subclass]],INDIRECT(Table_Process_Details[[#This Row],[LCA Data Source Class]]&amp;"[Name]"),0)),0)</f>
        <v>2.0861208174193546</v>
      </c>
      <c r="BL62" s="23">
        <f ca="1">IFERROR(INDEX(INDIRECT(Table_Process_Details[[#This Row],[LCA Data Source Class]]&amp;"[Energy (MJ)]"),MATCH(Table_Process_Details[[#This Row],[LCA Data Source Subclass]],INDIRECT(Table_Process_Details[[#This Row],[LCA Data Source Class]]&amp;"[Name]"),0)),0)</f>
        <v>74.867288612903238</v>
      </c>
      <c r="BM62" s="23">
        <f ca="1">IFERROR(INDEX(INDIRECT(Table_Process_Details[[#This Row],[LCA Data Source Class]]&amp;"[GWP (kg CO2 equiv.)]"),MATCH(Table_Process_Details[[#This Row],[LCA Data Source Subclass]],INDIRECT(Table_Process_Details[[#This Row],[LCA Data Source Class]]&amp;"[Name]"),0)),0)</f>
        <v>2.6244035558064511</v>
      </c>
      <c r="BN62" s="23">
        <f ca="1">IFERROR(INDEX(INDIRECT(Table_Process_Details[[#This Row],[LCA Data Source Class]]&amp;"[Acidification (kg SO2 equiv.)]"),MATCH(Table_Process_Details[[#This Row],[LCA Data Source Subclass]],INDIRECT(Table_Process_Details[[#This Row],[LCA Data Source Class]]&amp;"[Name]"),0)),0)</f>
        <v>1.1223113743548388E-2</v>
      </c>
      <c r="BO62" s="23">
        <f ca="1">IFERROR(INDEX(INDIRECT(Table_Process_Details[[#This Row],[LCA Data Source Class]]&amp;"[Eutrophication (kg posphate equiv.)]"),MATCH(Table_Process_Details[[#This Row],[LCA Data Source Subclass]],INDIRECT(Table_Process_Details[[#This Row],[LCA Data Source Class]]&amp;"[Name]"),0)),0)</f>
        <v>8.9864536225806452E-3</v>
      </c>
      <c r="BP62" s="23">
        <f ca="1">IFERROR(INDEX(INDIRECT(Table_Process_Details[[#This Row],[LCA Data Source Class]]&amp;"[Water (kg)]"),MATCH(Table_Process_Details[[#This Row],[LCA Data Source Subclass]],INDIRECT(Table_Process_Details[[#This Row],[LCA Data Source Class]]&amp;"[Name]"),0)),0)</f>
        <v>14.695319198225807</v>
      </c>
      <c r="BQ62" s="27">
        <f ca="1">(Table_Process_Details[[#This Row],[Input or Output]]="Input")*(Table_Process_Details[[#This Row],[LCA Data Source Class]]&lt;&gt;"Process_Steps")*Table_Process_Details[[#This Row],[Scaled Physical Mass per kg API for All Inputs &amp; Outputs]]</f>
        <v>0.55055973573136396</v>
      </c>
      <c r="BR62" s="27">
        <f ca="1">(Table_Process_Details[[#This Row],[Material Class]]="REAGENT")*Table_Process_Details[[#This Row],[Physical Mass per kg API]]</f>
        <v>0.55055973573136396</v>
      </c>
      <c r="BS62" s="27">
        <f ca="1">(Table_Process_Details[[#This Row],[Material Class]]="METAL")*Table_Process_Details[[#This Row],[Physical Mass per kg API]]</f>
        <v>0</v>
      </c>
      <c r="BT62" s="27">
        <f ca="1">(Table_Process_Details[[#This Row],[Material Class]]="SOLVENT")*Table_Process_Details[[#This Row],[Physical Mass per kg API]]</f>
        <v>0</v>
      </c>
      <c r="BU62" s="27">
        <f ca="1">(Table_Process_Details[[#This Row],[Material Class]]="WATER")*Table_Process_Details[[#This Row],[Physical Mass per kg API]]</f>
        <v>0</v>
      </c>
      <c r="BV62" s="27">
        <f ca="1">(Table_Process_Details[[#This Row],[Material Class]]="ENZ&amp;PLNT")*Table_Process_Details[[#This Row],[Physical Mass per kg API]]</f>
        <v>0</v>
      </c>
      <c r="BW62" s="27">
        <f ca="1">(Table_Process_Details[[#This Row],[Material Class]]="OTHER")*Table_Process_Details[[#This Row],[Physical Mass per kg API]]</f>
        <v>0</v>
      </c>
      <c r="BX6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2" s="1">
        <f ca="1">SUMIFS(Table_Process_Details[RV Physical Mass per kg API],Table_Process_Details[Display Name],Table_Process_Details[[#This Row],[Unique Process Inputs]],Table_Process_Details[Input or Output],"Input")</f>
        <v>0</v>
      </c>
      <c r="CF62" s="1">
        <f ca="1">SUMIFS(Table_Process_Details[RV Physical Mass per kg API (REAGENT)],Table_Process_Details[Display Name],Table_Process_Details[[#This Row],[Unique Process Inputs]],Table_Process_Details[Input or Output],"Input")</f>
        <v>0</v>
      </c>
      <c r="CG62" s="1">
        <f ca="1">SUMIFS(Table_Process_Details[RV Physical Mass per kg API (METAL)],Table_Process_Details[Display Name],Table_Process_Details[[#This Row],[Unique Process Inputs]],Table_Process_Details[Input or Output],"Input")</f>
        <v>0</v>
      </c>
      <c r="CH62" s="1">
        <f ca="1">SUMIFS(Table_Process_Details[RV Physical Mass per kg API (SOLVENT)],Table_Process_Details[Display Name],Table_Process_Details[[#This Row],[Unique Process Inputs]],Table_Process_Details[Input or Output],"Input")</f>
        <v>0</v>
      </c>
      <c r="CI62" s="1">
        <f ca="1">SUMIFS(Table_Process_Details[RV Physical Mass per kg API (WATER)],Table_Process_Details[Display Name],Table_Process_Details[[#This Row],[Unique Process Inputs]],Table_Process_Details[Input or Output],"Input")</f>
        <v>0</v>
      </c>
      <c r="CJ62" s="1">
        <f ca="1">SUMIFS(Table_Process_Details[RV Physical Mass per kg API (ENZ&amp;PLNT)],Table_Process_Details[Display Name],Table_Process_Details[[#This Row],[Unique Process Inputs]],Table_Process_Details[Input or Output],"Input")</f>
        <v>0</v>
      </c>
      <c r="CK62" s="1">
        <f ca="1">SUMIFS(Table_Process_Details[RV Physical Mass per kg API (OTHER)],Table_Process_Details[Display Name],Table_Process_Details[[#This Row],[Unique Process Inputs]],Table_Process_Details[Input or Output],"Input")</f>
        <v>0</v>
      </c>
      <c r="CL62" s="22" t="e">
        <f ca="1">INDEX(Table_Process_Details[Unique Process Inputs],MATCH(Table_Process_Details[[#This Row],['[Physical Mass per kg API'] of Unique Inputs Sorted by '[Physical Mass per kg API']]],Table_Process_Details[Total '[Physical Mass per kg API'] of Unique Inputs],0))</f>
        <v>#N/A</v>
      </c>
      <c r="CM62" s="22" t="e">
        <f ca="1">IF(LARGE(Table_Process_Details[Total '[Physical Mass per kg API'] of Unique Inputs],Table_Process_Details[[#This Row],[Table Row]])=0,NA(),LARGE(Table_Process_Details[Total '[Physical Mass per kg API'] of Unique Inputs],Table_Process_Details[[#This Row],[Table Row]]))</f>
        <v>#N/A</v>
      </c>
      <c r="CN62" s="22" t="e">
        <f ca="1">SUM(OFFSET(Table_Process_Details['[Physical Mass per kg API'] of Unique Inputs Sorted by '[Physical Mass per kg API']],0,0,Table_Process_Details[[#This Row],[Table Row]]))</f>
        <v>#N/A</v>
      </c>
      <c r="CO62" s="22" t="e">
        <f ca="1">"("&amp;TEXT(Table_Process_Details[[#This Row],['[Physical Mass per kg API'] of Unique Inputs Sorted by '[Physical Mass per kg API']]]/SUMIF(Table_Process_Details['[Physical Mass per kg API'] of Unique Inputs Sorted by '[Physical Mass per kg API']],"&lt;&gt;#N/A"),"0%")&amp;")"</f>
        <v>#N/A</v>
      </c>
      <c r="CP62" s="22" t="e">
        <f ca="1">INDEX(Table_Process_Details[Total '[Physical Mass per kg API'] of Unique Inputs (REAGENT)],MATCH(Table_Process_Details[[#This Row],[Unique Inputs Sorted by '[Physical Mass per kg API']]],Table_Process_Details[Unique Process Inputs],0))</f>
        <v>#N/A</v>
      </c>
      <c r="CQ62" s="22" t="e">
        <f ca="1">INDEX(Table_Process_Details[Total '[Physical Mass per kg API'] of Unique Inputs (METAL)],MATCH(Table_Process_Details[[#This Row],[Unique Inputs Sorted by '[Physical Mass per kg API']]],Table_Process_Details[Unique Process Inputs],0))</f>
        <v>#N/A</v>
      </c>
      <c r="CR62" s="22" t="e">
        <f ca="1">INDEX(Table_Process_Details[Total '[Physical Mass per kg API'] of Unique Inputs (SOLVENT)],MATCH(Table_Process_Details[[#This Row],[Unique Inputs Sorted by '[Physical Mass per kg API']]],Table_Process_Details[Unique Process Inputs],0))</f>
        <v>#N/A</v>
      </c>
      <c r="CS62" s="22" t="e">
        <f ca="1">INDEX(Table_Process_Details[Total '[Physical Mass per kg API'] of Unique Inputs (WATER)],MATCH(Table_Process_Details[[#This Row],[Unique Inputs Sorted by '[Physical Mass per kg API']]],Table_Process_Details[Unique Process Inputs],0))</f>
        <v>#N/A</v>
      </c>
      <c r="CT62" s="22" t="e">
        <f ca="1">INDEX(Table_Process_Details[Total '[Physical Mass per kg API'] of Unique Inputs (ENZ&amp;PLNT)],MATCH(Table_Process_Details[[#This Row],[Unique Inputs Sorted by '[Physical Mass per kg API']]],Table_Process_Details[Unique Process Inputs],0))</f>
        <v>#N/A</v>
      </c>
      <c r="CU62" s="22" t="e">
        <f ca="1">INDEX(Table_Process_Details[Total '[Physical Mass per kg API'] of Unique Inputs (OTHER)],MATCH(Table_Process_Details[[#This Row],[Unique Inputs Sorted by '[Physical Mass per kg API']]],Table_Process_Details[Unique Process Inputs],0))</f>
        <v>#N/A</v>
      </c>
      <c r="CV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2" s="22">
        <f ca="1">SUMIFS(Table_Process_Details[RV Mass Net (kg) per kg API],Table_Process_Details[Display Name],Table_Process_Details[[#This Row],[Unique Process Inputs]],Table_Process_Details[Input or Output],"Input")</f>
        <v>0</v>
      </c>
      <c r="DD62" s="22">
        <f ca="1">SUMIFS(Table_Process_Details[RV Mass Net (kg) per kg API (REAGENT)],Table_Process_Details[Display Name],Table_Process_Details[[#This Row],[Unique Process Inputs]],Table_Process_Details[Input or Output],"Input")</f>
        <v>0</v>
      </c>
      <c r="DE62" s="22">
        <f ca="1">SUMIFS(Table_Process_Details[RV Mass Net (kg) per kg API (METAL)],Table_Process_Details[Display Name],Table_Process_Details[[#This Row],[Unique Process Inputs]],Table_Process_Details[Input or Output],"Input")</f>
        <v>0</v>
      </c>
      <c r="DF62" s="22">
        <f ca="1">SUMIFS(Table_Process_Details[RV Mass Net (kg) per kg API (SOLVENT)],Table_Process_Details[Display Name],Table_Process_Details[[#This Row],[Unique Process Inputs]],Table_Process_Details[Input or Output],"Input")</f>
        <v>0</v>
      </c>
      <c r="DG62" s="22">
        <f ca="1">SUMIFS(Table_Process_Details[RV Mass Net (kg) per kg API (WATER)],Table_Process_Details[Display Name],Table_Process_Details[[#This Row],[Unique Process Inputs]],Table_Process_Details[Input or Output],"Input")</f>
        <v>0</v>
      </c>
      <c r="DH62" s="22">
        <f ca="1">SUMIFS(Table_Process_Details[RV Mass Net (kg) per kg API (ENZ&amp;PLNT)],Table_Process_Details[Display Name],Table_Process_Details[[#This Row],[Unique Process Inputs]],Table_Process_Details[Input or Output],"Input")</f>
        <v>0</v>
      </c>
      <c r="DI62" s="22">
        <f ca="1">SUMIFS(Table_Process_Details[RV Mass Net (kg) per kg API (OTHER)],Table_Process_Details[Display Name],Table_Process_Details[[#This Row],[Unique Process Inputs]],Table_Process_Details[Input or Output],"Input")</f>
        <v>0</v>
      </c>
      <c r="DJ62" s="22" t="e">
        <f ca="1">INDEX(Table_Process_Details[Unique Process Inputs],MATCH(Table_Process_Details[[#This Row],['[Mass Net (kg) per kg API'] of Unique Inputs Sorted by '[Mass Net (kg) per kg API']]],Table_Process_Details[Total '[Mass Net (kg) per kg API'] of Unique Inputs],0))</f>
        <v>#N/A</v>
      </c>
      <c r="DK62" s="22" t="e">
        <f ca="1">IF(LARGE(Table_Process_Details[Total '[Mass Net (kg) per kg API'] of Unique Inputs],Table_Process_Details[[#This Row],[Table Row]])=0,NA(),LARGE(Table_Process_Details[Total '[Mass Net (kg) per kg API'] of Unique Inputs],Table_Process_Details[[#This Row],[Table Row]]))</f>
        <v>#N/A</v>
      </c>
      <c r="DL62" s="22" t="e">
        <f ca="1">SUM(OFFSET(Table_Process_Details['[Mass Net (kg) per kg API'] of Unique Inputs Sorted by '[Mass Net (kg) per kg API']],0,0,Table_Process_Details[[#This Row],[Table Row]]))</f>
        <v>#N/A</v>
      </c>
      <c r="DM62" s="22" t="e">
        <f ca="1">"("&amp;TEXT(Table_Process_Details[[#This Row],['[Mass Net (kg) per kg API'] of Unique Inputs Sorted by '[Mass Net (kg) per kg API']]]/SUMIF(Table_Process_Details['[Mass Net (kg) per kg API'] of Unique Inputs Sorted by '[Mass Net (kg) per kg API']],"&lt;&gt;#N/A"),"0%")&amp;")"</f>
        <v>#N/A</v>
      </c>
      <c r="DN62" s="22" t="e">
        <f ca="1">INDEX(Table_Process_Details[Total '[Mass Net (kg) per kg API'] of Unique Inputs (REAGENT)], MATCH(Table_Process_Details[[#This Row],[Unique Inputs Sorted by '[Mass Net (kg) per kg API']]],Table_Process_Details[Unique Process Inputs],0))</f>
        <v>#N/A</v>
      </c>
      <c r="DO62" s="22" t="e">
        <f ca="1">INDEX(Table_Process_Details[Total '[Mass Net (kg) per kg API'] of Unique Inputs (METAL)], MATCH(Table_Process_Details[[#This Row],[Unique Inputs Sorted by '[Mass Net (kg) per kg API']]],Table_Process_Details[Unique Process Inputs],0))</f>
        <v>#N/A</v>
      </c>
      <c r="DP62" s="22" t="e">
        <f ca="1">INDEX(Table_Process_Details[Total '[Mass Net (kg) per kg API'] of Unique Inputs (SOLVENT)], MATCH(Table_Process_Details[[#This Row],[Unique Inputs Sorted by '[Mass Net (kg) per kg API']]],Table_Process_Details[Unique Process Inputs],0))</f>
        <v>#N/A</v>
      </c>
      <c r="DQ62" s="22" t="e">
        <f ca="1">INDEX(Table_Process_Details[Total '[Mass Net (kg) per kg API'] of Unique Inputs (WATER)], MATCH(Table_Process_Details[[#This Row],[Unique Inputs Sorted by '[Mass Net (kg) per kg API']]],Table_Process_Details[Unique Process Inputs],0))</f>
        <v>#N/A</v>
      </c>
      <c r="DR62" s="22" t="e">
        <f ca="1">INDEX(Table_Process_Details[Total '[Mass Net (kg) per kg API'] of Unique Inputs (ENZ&amp;PLNT)], MATCH(Table_Process_Details[[#This Row],[Unique Inputs Sorted by '[Mass Net (kg) per kg API']]],Table_Process_Details[Unique Process Inputs],0))</f>
        <v>#N/A</v>
      </c>
      <c r="DS62" s="22" t="e">
        <f ca="1">INDEX(Table_Process_Details[Total '[Mass Net (kg) per kg API'] of Unique Inputs (OTHER)], MATCH(Table_Process_Details[[#This Row],[Unique Inputs Sorted by '[Mass Net (kg) per kg API']]],Table_Process_Details[Unique Process Inputs],0))</f>
        <v>#N/A</v>
      </c>
      <c r="DT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2" s="1">
        <f ca="1">SUMIFS(Table_Process_Details[RV Energy (MJ) per kg API],Table_Process_Details[Display Name],Table_Process_Details[[#This Row],[Unique Process Inputs]],Table_Process_Details[Input or Output],"Input")</f>
        <v>0</v>
      </c>
      <c r="EB62" s="1">
        <f ca="1">SUMIFS(Table_Process_Details[RV Energy (MJ) per kg API (REAGENT)],Table_Process_Details[Display Name],Table_Process_Details[[#This Row],[Unique Process Inputs]],Table_Process_Details[Input or Output],"Input")</f>
        <v>0</v>
      </c>
      <c r="EC62" s="1">
        <f ca="1">SUMIFS(Table_Process_Details[RV Energy (MJ) per kg API (METAL)],Table_Process_Details[Display Name],Table_Process_Details[[#This Row],[Unique Process Inputs]],Table_Process_Details[Input or Output],"Input")</f>
        <v>0</v>
      </c>
      <c r="ED62" s="1">
        <f ca="1">SUMIFS(Table_Process_Details[RV Energy (MJ) per kg API (SOLVENT)],Table_Process_Details[Display Name],Table_Process_Details[[#This Row],[Unique Process Inputs]],Table_Process_Details[Input or Output],"Input")</f>
        <v>0</v>
      </c>
      <c r="EE62" s="1">
        <f ca="1">SUMIFS(Table_Process_Details[RV Energy (MJ) per kg API (WATER)],Table_Process_Details[Display Name],Table_Process_Details[[#This Row],[Unique Process Inputs]],Table_Process_Details[Input or Output],"Input")</f>
        <v>0</v>
      </c>
      <c r="EF62" s="1">
        <f ca="1">SUMIFS(Table_Process_Details[RV Energy (MJ) per kg API (ENZ&amp;PLNT)],Table_Process_Details[Display Name],Table_Process_Details[[#This Row],[Unique Process Inputs]],Table_Process_Details[Input or Output],"Input")</f>
        <v>0</v>
      </c>
      <c r="EG62" s="1">
        <f ca="1">SUMIFS(Table_Process_Details[RV Energy (MJ) per kg API (OTHER)],Table_Process_Details[Display Name],Table_Process_Details[[#This Row],[Unique Process Inputs]],Table_Process_Details[Input or Output],"Input")</f>
        <v>0</v>
      </c>
      <c r="EH62" s="1" t="e">
        <f ca="1">INDEX(Table_Process_Details[Unique Process Inputs],MATCH(Table_Process_Details[[#This Row],['[Energy (MJ) per kg API'] of Unique Inputs Sorted by '[Energy (MJ) per kg API']]],Table_Process_Details[Total '[Energy (MJ) per kg API'] of Unique Inputs],0))</f>
        <v>#N/A</v>
      </c>
      <c r="EI62" s="22" t="e">
        <f ca="1">IF(LARGE(Table_Process_Details[Total '[Energy (MJ) per kg API'] of Unique Inputs],Table_Process_Details[[#This Row],[Table Row]])=0,NA(),LARGE(Table_Process_Details[Total '[Energy (MJ) per kg API'] of Unique Inputs],Table_Process_Details[[#This Row],[Table Row]]))</f>
        <v>#N/A</v>
      </c>
      <c r="EJ62" s="22" t="e">
        <f ca="1">SUM(OFFSET(Table_Process_Details['[Energy (MJ) per kg API'] of Unique Inputs Sorted by '[Energy (MJ) per kg API']],0,0,Table_Process_Details[[#This Row],[Table Row]]))</f>
        <v>#N/A</v>
      </c>
      <c r="EK62" s="22" t="e">
        <f ca="1">"("&amp;TEXT(Table_Process_Details[[#This Row],['[Energy (MJ) per kg API'] of Unique Inputs Sorted by '[Energy (MJ) per kg API']]]/SUMIF(Table_Process_Details['[Energy (MJ) per kg API'] of Unique Inputs Sorted by '[Energy (MJ) per kg API']],"&lt;&gt;#N/A"),"0%")&amp;")"</f>
        <v>#N/A</v>
      </c>
      <c r="EL62" s="22" t="e">
        <f ca="1">INDEX(Table_Process_Details[Total '[Energy (MJ) per kg API'] of Unique Inputs (REAGENT)], MATCH(Table_Process_Details[[#This Row],[Unique Inputs Sorted by '[Energy (MJ) per kg API']]],Table_Process_Details[Unique Process Inputs],0))</f>
        <v>#N/A</v>
      </c>
      <c r="EM62" s="22" t="e">
        <f ca="1">INDEX(Table_Process_Details[Total '[Energy (MJ) per kg API'] of Unique Inputs (METAL)], MATCH(Table_Process_Details[[#This Row],[Unique Inputs Sorted by '[Energy (MJ) per kg API']]],Table_Process_Details[Unique Process Inputs],0))</f>
        <v>#N/A</v>
      </c>
      <c r="EN62" s="22" t="e">
        <f ca="1">INDEX(Table_Process_Details[Total '[Energy (MJ) per kg API'] of Unique Inputs (SOLVENT)], MATCH(Table_Process_Details[[#This Row],[Unique Inputs Sorted by '[Energy (MJ) per kg API']]],Table_Process_Details[Unique Process Inputs],0))</f>
        <v>#N/A</v>
      </c>
      <c r="EO62" s="22" t="e">
        <f ca="1">INDEX(Table_Process_Details[Total '[Energy (MJ) per kg API'] of Unique Inputs (WATER)], MATCH(Table_Process_Details[[#This Row],[Unique Inputs Sorted by '[Energy (MJ) per kg API']]],Table_Process_Details[Unique Process Inputs],0))</f>
        <v>#N/A</v>
      </c>
      <c r="EP62" s="22" t="e">
        <f ca="1">INDEX(Table_Process_Details[Total '[Energy (MJ) per kg API'] of Unique Inputs (ENZ&amp;PLNT)], MATCH(Table_Process_Details[[#This Row],[Unique Inputs Sorted by '[Energy (MJ) per kg API']]],Table_Process_Details[Unique Process Inputs],0))</f>
        <v>#N/A</v>
      </c>
      <c r="EQ62" s="22" t="e">
        <f ca="1">INDEX(Table_Process_Details[Total '[Energy (MJ) per kg API'] of Unique Inputs (OTHER)], MATCH(Table_Process_Details[[#This Row],[Unique Inputs Sorted by '[Energy (MJ) per kg API']]],Table_Process_Details[Unique Process Inputs],0))</f>
        <v>#N/A</v>
      </c>
      <c r="ER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2" s="22">
        <f ca="1">SUMIFS(Table_Process_Details[RV GWP (kg CO2 equiv.) per kg API],Table_Process_Details[Display Name],Table_Process_Details[[#This Row],[Unique Process Inputs]],Table_Process_Details[Input or Output],"Input")</f>
        <v>0</v>
      </c>
      <c r="EZ62" s="1">
        <f ca="1">SUMIFS(Table_Process_Details[RV GWP (kg CO2 equiv.) per kg API (REAGENT)],Table_Process_Details[Display Name],Table_Process_Details[[#This Row],[Unique Process Inputs]],Table_Process_Details[Input or Output],"Input")</f>
        <v>0</v>
      </c>
      <c r="FA62" s="1">
        <f ca="1">SUMIFS(Table_Process_Details[RV GWP (kg CO2 equiv.) per kg API (METAL)],Table_Process_Details[Display Name],Table_Process_Details[[#This Row],[Unique Process Inputs]],Table_Process_Details[Input or Output],"Input")</f>
        <v>0</v>
      </c>
      <c r="FB62" s="1">
        <f ca="1">SUMIFS(Table_Process_Details[RV GWP (kg CO2 equiv.) per kg API (SOLVENT)],Table_Process_Details[Display Name],Table_Process_Details[[#This Row],[Unique Process Inputs]],Table_Process_Details[Input or Output],"Input")</f>
        <v>0</v>
      </c>
      <c r="FC62" s="1">
        <f ca="1">SUMIFS(Table_Process_Details[RV GWP (kg CO2 equiv.) per kg API (WATER)],Table_Process_Details[Display Name],Table_Process_Details[[#This Row],[Unique Process Inputs]],Table_Process_Details[Input or Output],"Input")</f>
        <v>0</v>
      </c>
      <c r="FD62" s="1">
        <f ca="1">SUMIFS(Table_Process_Details[RV GWP (kg CO2 equiv.) per kg API (ENZ&amp;PLNT)],Table_Process_Details[Display Name],Table_Process_Details[[#This Row],[Unique Process Inputs]],Table_Process_Details[Input or Output],"Input")</f>
        <v>0</v>
      </c>
      <c r="FE62" s="1">
        <f ca="1">SUMIFS(Table_Process_Details[RV GWP (kg CO2 equiv.) per kg API (OTHER)],Table_Process_Details[Display Name],Table_Process_Details[[#This Row],[Unique Process Inputs]],Table_Process_Details[Input or Output],"Input")</f>
        <v>0</v>
      </c>
      <c r="FF62" s="22" t="e">
        <f ca="1">INDEX(Table_Process_Details[Unique Process Inputs],MATCH(Table_Process_Details[[#This Row],['[GWP (kg CO2 equiv.) per kg API'] of Unique Inputs Sorted by '[GWP (kg CO2 equiv.) per kg API']]],Table_Process_Details[Total '[GWP (kg CO2 equiv.) per kg API'] of Unique Inputs],0))</f>
        <v>#N/A</v>
      </c>
      <c r="FG62" s="22" t="e">
        <f ca="1">IF(LARGE(Table_Process_Details[Total '[GWP (kg CO2 equiv.) per kg API'] of Unique Inputs],Table_Process_Details[[#This Row],[Table Row]])=0,NA(),LARGE(Table_Process_Details[Total '[GWP (kg CO2 equiv.) per kg API'] of Unique Inputs],Table_Process_Details[[#This Row],[Table Row]]))</f>
        <v>#N/A</v>
      </c>
      <c r="FH62" s="22" t="e">
        <f ca="1">SUM(OFFSET(Table_Process_Details['[GWP (kg CO2 equiv.) per kg API'] of Unique Inputs Sorted by '[GWP (kg CO2 equiv.) per kg API']],0,0,Table_Process_Details[[#This Row],[Table Row]]))</f>
        <v>#N/A</v>
      </c>
      <c r="FI62" s="22" t="e">
        <f ca="1">"("&amp;TEXT(Table_Process_Details[[#This Row],['[GWP (kg CO2 equiv.) per kg API'] of Unique Inputs Sorted by '[GWP (kg CO2 equiv.) per kg API']]]/SUMIF(Table_Process_Details['[GWP (kg CO2 equiv.) per kg API'] of Unique Inputs Sorted by '[GWP (kg CO2 equiv.) per kg API']],"&lt;&gt;#N/A"),"0%")&amp;")"</f>
        <v>#N/A</v>
      </c>
      <c r="FJ62" s="22" t="e">
        <f ca="1">INDEX(Table_Process_Details[Total '[GWP (kg CO2 equiv.) per kg API'] of Unique Inputs (REAGENT)], MATCH(Table_Process_Details[[#This Row],[Unique Inputs Sorted by '[GWP (kg CO2 equiv.) per kg API']]],Table_Process_Details[Unique Process Inputs],0))</f>
        <v>#N/A</v>
      </c>
      <c r="FK62" s="22" t="e">
        <f ca="1">INDEX(Table_Process_Details[Total '[GWP (kg CO2 equiv.) per kg API'] of Unique Inputs (METAL)], MATCH(Table_Process_Details[[#This Row],[Unique Inputs Sorted by '[GWP (kg CO2 equiv.) per kg API']]],Table_Process_Details[Unique Process Inputs],0))</f>
        <v>#N/A</v>
      </c>
      <c r="FL62" s="22" t="e">
        <f ca="1">INDEX(Table_Process_Details[Total '[GWP (kg CO2 equiv.) per kg API'] of Unique Inputs (SOLVENT)], MATCH(Table_Process_Details[[#This Row],[Unique Inputs Sorted by '[GWP (kg CO2 equiv.) per kg API']]],Table_Process_Details[Unique Process Inputs],0))</f>
        <v>#N/A</v>
      </c>
      <c r="FM62" s="22" t="e">
        <f ca="1">INDEX(Table_Process_Details[Total '[GWP (kg CO2 equiv.) per kg API'] of Unique Inputs (WATER)], MATCH(Table_Process_Details[[#This Row],[Unique Inputs Sorted by '[GWP (kg CO2 equiv.) per kg API']]],Table_Process_Details[Unique Process Inputs],0))</f>
        <v>#N/A</v>
      </c>
      <c r="FN62" s="22" t="e">
        <f ca="1">INDEX(Table_Process_Details[Total '[GWP (kg CO2 equiv.) per kg API'] of Unique Inputs (ENZ&amp;PLNT)], MATCH(Table_Process_Details[[#This Row],[Unique Inputs Sorted by '[GWP (kg CO2 equiv.) per kg API']]],Table_Process_Details[Unique Process Inputs],0))</f>
        <v>#N/A</v>
      </c>
      <c r="FO62" s="22" t="e">
        <f ca="1">INDEX(Table_Process_Details[Total '[GWP (kg CO2 equiv.) per kg API'] of Unique Inputs (OTHER)], MATCH(Table_Process_Details[[#This Row],[Unique Inputs Sorted by '[GWP (kg CO2 equiv.) per kg API']]],Table_Process_Details[Unique Process Inputs],0))</f>
        <v>#N/A</v>
      </c>
      <c r="FP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2" s="22">
        <f ca="1">SUMIFS(Table_Process_Details[RV Acidification (kg SO2 equiv.) per kg API],Table_Process_Details[Display Name],Table_Process_Details[[#This Row],[Unique Process Inputs]],Table_Process_Details[Input or Output],"Input")</f>
        <v>0</v>
      </c>
      <c r="FX62" s="1">
        <f ca="1">SUMIFS(Table_Process_Details[RV Acidification (kg SO2 equiv.) per kg API (REAGENT)],Table_Process_Details[Display Name],Table_Process_Details[[#This Row],[Unique Process Inputs]],Table_Process_Details[Input or Output],"Input")</f>
        <v>0</v>
      </c>
      <c r="FY62" s="1">
        <f ca="1">SUMIFS(Table_Process_Details[RV Acidification (kg SO2 equiv.) per kg API (METAL)],Table_Process_Details[Display Name],Table_Process_Details[[#This Row],[Unique Process Inputs]],Table_Process_Details[Input or Output],"Input")</f>
        <v>0</v>
      </c>
      <c r="FZ62" s="1">
        <f ca="1">SUMIFS(Table_Process_Details[RV Acidification (kg SO2 equiv.) per kg API (SOLVENT)],Table_Process_Details[Display Name],Table_Process_Details[[#This Row],[Unique Process Inputs]],Table_Process_Details[Input or Output],"Input")</f>
        <v>0</v>
      </c>
      <c r="GA62" s="1">
        <f ca="1">SUMIFS(Table_Process_Details[RV Acidification (kg SO2 equiv.) per kg API (WATER)],Table_Process_Details[Display Name],Table_Process_Details[[#This Row],[Unique Process Inputs]],Table_Process_Details[Input or Output],"Input")</f>
        <v>0</v>
      </c>
      <c r="GB62" s="1">
        <f ca="1">SUMIFS(Table_Process_Details[RV Acidification (kg SO2 equiv.) per kg API (ENZ&amp;PLNT)],Table_Process_Details[Display Name],Table_Process_Details[[#This Row],[Unique Process Inputs]],Table_Process_Details[Input or Output],"Input")</f>
        <v>0</v>
      </c>
      <c r="GC62" s="1">
        <f ca="1">SUMIFS(Table_Process_Details[RV Acidification (kg SO2 equiv.) per kg API (OTHER)],Table_Process_Details[Display Name],Table_Process_Details[[#This Row],[Unique Process Inputs]],Table_Process_Details[Input or Output],"Input")</f>
        <v>0</v>
      </c>
      <c r="GD62"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2"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2" s="22" t="e">
        <f ca="1">SUM(OFFSET(Table_Process_Details['[Acidification (kg SO2 equiv.) per kg API'] of Unique Inputs Sorted by '[Acidification (kg SO2 equiv.) per kg API']],0,0,Table_Process_Details[[#This Row],[Table Row]]))</f>
        <v>#N/A</v>
      </c>
      <c r="GG62"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2" s="22" t="e">
        <f ca="1">INDEX(Table_Process_Details[Total '[Acidification (kg SO2 equiv.) per kg API'] of Unique Inputs (REAGENT)], MATCH(Table_Process_Details[[#This Row],[Unique Inputs Sorted by '[Acidification (kg SO2 equiv.) per kg API']]],Table_Process_Details[Unique Process Inputs],0))</f>
        <v>#N/A</v>
      </c>
      <c r="GI62" s="22" t="e">
        <f ca="1">INDEX(Table_Process_Details[Total '[Acidification (kg SO2 equiv.) per kg API'] of Unique Inputs (METAL)], MATCH(Table_Process_Details[[#This Row],[Unique Inputs Sorted by '[Acidification (kg SO2 equiv.) per kg API']]],Table_Process_Details[Unique Process Inputs],0))</f>
        <v>#N/A</v>
      </c>
      <c r="GJ62" s="22" t="e">
        <f ca="1">INDEX(Table_Process_Details[Total '[Acidification (kg SO2 equiv.) per kg API'] of Unique Inputs (SOLVENT)], MATCH(Table_Process_Details[[#This Row],[Unique Inputs Sorted by '[Acidification (kg SO2 equiv.) per kg API']]],Table_Process_Details[Unique Process Inputs],0))</f>
        <v>#N/A</v>
      </c>
      <c r="GK62" s="22" t="e">
        <f ca="1">INDEX(Table_Process_Details[Total '[Acidification (kg SO2 equiv.) per kg API'] of Unique Inputs (WATER)], MATCH(Table_Process_Details[[#This Row],[Unique Inputs Sorted by '[Acidification (kg SO2 equiv.) per kg API']]],Table_Process_Details[Unique Process Inputs],0))</f>
        <v>#N/A</v>
      </c>
      <c r="GL62" s="22" t="e">
        <f ca="1">INDEX(Table_Process_Details[Total '[Acidification (kg SO2 equiv.) per kg API'] of Unique Inputs (ENZ&amp;PLNT)], MATCH(Table_Process_Details[[#This Row],[Unique Inputs Sorted by '[Acidification (kg SO2 equiv.) per kg API']]],Table_Process_Details[Unique Process Inputs],0))</f>
        <v>#N/A</v>
      </c>
      <c r="GM62" s="22" t="e">
        <f ca="1">INDEX(Table_Process_Details[Total '[Acidification (kg SO2 equiv.) per kg API'] of Unique Inputs (OTHER)], MATCH(Table_Process_Details[[#This Row],[Unique Inputs Sorted by '[Acidification (kg SO2 equiv.) per kg API']]],Table_Process_Details[Unique Process Inputs],0))</f>
        <v>#N/A</v>
      </c>
      <c r="GN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2" s="22">
        <f ca="1">SUMIFS(Table_Process_Details[RV Eutrophication (kg phosphate equiv.) per kg API],Table_Process_Details[Display Name],Table_Process_Details[[#This Row],[Unique Process Inputs]],Table_Process_Details[Input or Output],"Input")</f>
        <v>0</v>
      </c>
      <c r="GV62" s="1">
        <f ca="1">SUMIFS(Table_Process_Details[RV Eutrophication (kg phosphate equiv.) per kg API (REAGENT)],Table_Process_Details[Display Name],Table_Process_Details[[#This Row],[Unique Process Inputs]],Table_Process_Details[Input or Output],"Input")</f>
        <v>0</v>
      </c>
      <c r="GW62" s="1">
        <f ca="1">SUMIFS(Table_Process_Details[RV Eutrophication (kg phosphate equiv.) per kg API (METAL)],Table_Process_Details[Display Name],Table_Process_Details[[#This Row],[Unique Process Inputs]],Table_Process_Details[Input or Output],"Input")</f>
        <v>0</v>
      </c>
      <c r="GX62" s="1">
        <f ca="1">SUMIFS(Table_Process_Details[RV Eutrophication (kg phosphate equiv.) per kg API (SOLVENT)],Table_Process_Details[Display Name],Table_Process_Details[[#This Row],[Unique Process Inputs]],Table_Process_Details[Input or Output],"Input")</f>
        <v>0</v>
      </c>
      <c r="GY62" s="1">
        <f ca="1">SUMIFS(Table_Process_Details[RV Eutrophication (kg phosphate equiv.) per kg API (WATER)],Table_Process_Details[Display Name],Table_Process_Details[[#This Row],[Unique Process Inputs]],Table_Process_Details[Input or Output],"Input")</f>
        <v>0</v>
      </c>
      <c r="GZ62" s="1">
        <f ca="1">SUMIFS(Table_Process_Details[RV Eutrophication (kg phosphate equiv.) per kg API (ENZ&amp;PLNT)],Table_Process_Details[Display Name],Table_Process_Details[[#This Row],[Unique Process Inputs]],Table_Process_Details[Input or Output],"Input")</f>
        <v>0</v>
      </c>
      <c r="HA62" s="1">
        <f ca="1">SUMIFS(Table_Process_Details[RV Eutrophication (kg phosphate equiv.) per kg API (OTHER)],Table_Process_Details[Display Name],Table_Process_Details[[#This Row],[Unique Process Inputs]],Table_Process_Details[Input or Output],"Input")</f>
        <v>0</v>
      </c>
      <c r="HB62"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2"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2" s="22" t="e">
        <f ca="1">SUM(OFFSET(Table_Process_Details['[Eutrophication (kg posphate equiv.) per kg API'] of Unique Inputs Sorted by '[Eutrophication (kg posphate equiv.) per kg API']],0,0,Table_Process_Details[[#This Row],[Table Row]]))</f>
        <v>#N/A</v>
      </c>
      <c r="HE62"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2" s="1" t="e">
        <f ca="1">INDEX(Table_Process_Details[Total '[Eutrophication (kg posphate equiv.) per kg API'] of Unique Inputs (REAGENT)], MATCH(Table_Process_Details[[#This Row],[Unique Inputs Sorted by '[Eutrophication (kg posphate equiv.) per kg API']]],Table_Process_Details[Unique Process Inputs],0))</f>
        <v>#N/A</v>
      </c>
      <c r="HG62" s="1" t="e">
        <f ca="1">INDEX(Table_Process_Details[Total '[Eutrophication (kg posphate equiv.) per kg API'] of Unique Inputs (METAL)], MATCH(Table_Process_Details[[#This Row],[Unique Inputs Sorted by '[Eutrophication (kg posphate equiv.) per kg API']]],Table_Process_Details[Unique Process Inputs],0))</f>
        <v>#N/A</v>
      </c>
      <c r="HH62" s="1" t="e">
        <f ca="1">INDEX(Table_Process_Details[Total '[Eutrophication (kg posphate equiv.) per kg API'] of Unique Inputs (SOLVENT)], MATCH(Table_Process_Details[[#This Row],[Unique Inputs Sorted by '[Eutrophication (kg posphate equiv.) per kg API']]],Table_Process_Details[Unique Process Inputs],0))</f>
        <v>#N/A</v>
      </c>
      <c r="HI62" s="1" t="e">
        <f ca="1">INDEX(Table_Process_Details[Total '[Eutrophication (kg posphate equiv.) per kg API'] of Unique Inputs (WATER)], MATCH(Table_Process_Details[[#This Row],[Unique Inputs Sorted by '[Eutrophication (kg posphate equiv.) per kg API']]],Table_Process_Details[Unique Process Inputs],0))</f>
        <v>#N/A</v>
      </c>
      <c r="HJ62" s="1" t="e">
        <f ca="1">INDEX(Table_Process_Details[Total '[Eutrophication (kg posphate equiv.) per kg API'] of Unique Inputs (ENZ&amp;PLNT)], MATCH(Table_Process_Details[[#This Row],[Unique Inputs Sorted by '[Eutrophication (kg posphate equiv.) per kg API']]],Table_Process_Details[Unique Process Inputs],0))</f>
        <v>#N/A</v>
      </c>
      <c r="HK62" s="1" t="e">
        <f ca="1">INDEX(Table_Process_Details[Total '[Eutrophication (kg posphate equiv.) per kg API'] of Unique Inputs (OTHER)], MATCH(Table_Process_Details[[#This Row],[Unique Inputs Sorted by '[Eutrophication (kg posphate equiv.) per kg API']]],Table_Process_Details[Unique Process Inputs],0))</f>
        <v>#N/A</v>
      </c>
      <c r="HL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2" s="1">
        <f ca="1">SUMIFS(Table_Process_Details[RV Water (kg) per kg API],Table_Process_Details[Display Name],Table_Process_Details[[#This Row],[Unique Process Inputs]],Table_Process_Details[Input or Output],"Input")</f>
        <v>0</v>
      </c>
      <c r="HT62" s="1">
        <f ca="1">SUMIFS(Table_Process_Details[RV Water (kg) per kg API (REAGENT)],Table_Process_Details[Display Name],Table_Process_Details[[#This Row],[Unique Process Inputs]],Table_Process_Details[Input or Output],"Input")</f>
        <v>0</v>
      </c>
      <c r="HU62" s="1">
        <f ca="1">SUMIFS(Table_Process_Details[RV Water (kg) per kg API (METAL)],Table_Process_Details[Display Name],Table_Process_Details[[#This Row],[Unique Process Inputs]],Table_Process_Details[Input or Output],"Input")</f>
        <v>0</v>
      </c>
      <c r="HV62" s="1">
        <f ca="1">SUMIFS(Table_Process_Details[RV Water (kg) per kg API (SOLVENT)],Table_Process_Details[Display Name],Table_Process_Details[[#This Row],[Unique Process Inputs]],Table_Process_Details[Input or Output],"Input")</f>
        <v>0</v>
      </c>
      <c r="HW62" s="1">
        <f ca="1">SUMIFS(Table_Process_Details[RV Water (kg) per kg API (WATER)],Table_Process_Details[Display Name],Table_Process_Details[[#This Row],[Unique Process Inputs]],Table_Process_Details[Input or Output],"Input")</f>
        <v>0</v>
      </c>
      <c r="HX62" s="1">
        <f ca="1">SUMIFS(Table_Process_Details[RV Water (kg) per kg API (ENZ&amp;PLNT)],Table_Process_Details[Display Name],Table_Process_Details[[#This Row],[Unique Process Inputs]],Table_Process_Details[Input or Output],"Input")</f>
        <v>0</v>
      </c>
      <c r="HY62" s="1">
        <f ca="1">SUMIFS(Table_Process_Details[RV Water (kg) per kg API (OTHER)],Table_Process_Details[Display Name],Table_Process_Details[[#This Row],[Unique Process Inputs]],Table_Process_Details[Input or Output],"Input")</f>
        <v>0</v>
      </c>
      <c r="HZ62" s="22" t="e">
        <f ca="1">INDEX(Table_Process_Details[Unique Process Inputs],MATCH(Table_Process_Details[[#This Row],['[Water (kg) per kg API'] of Unique Inputs Sorted by '[Water (kg) per kg API']]],Table_Process_Details[Total '[Water (kg) per kg API'] of Unique Inputs],0))</f>
        <v>#N/A</v>
      </c>
      <c r="IA62" s="22" t="e">
        <f ca="1">IF(LARGE(Table_Process_Details[Total '[Water (kg) per kg API'] of Unique Inputs],Table_Process_Details[[#This Row],[Table Row]])=0,NA(),LARGE(Table_Process_Details[Total '[Water (kg) per kg API'] of Unique Inputs],Table_Process_Details[[#This Row],[Table Row]]))</f>
        <v>#N/A</v>
      </c>
      <c r="IB62" s="1" t="e">
        <f ca="1">SUM(OFFSET(Table_Process_Details['[Water (kg) per kg API'] of Unique Inputs Sorted by '[Water (kg) per kg API']],0,0,Table_Process_Details[[#This Row],[Table Row]]))</f>
        <v>#N/A</v>
      </c>
      <c r="IC62" s="1" t="e">
        <f ca="1">"("&amp;TEXT(Table_Process_Details[[#This Row],['[Water (kg) per kg API'] of Unique Inputs Sorted by '[Water (kg) per kg API']]]/SUMIF(Table_Process_Details['[Water (kg) per kg API'] of Unique Inputs Sorted by '[Water (kg) per kg API']],"&lt;&gt;#N/A"),"0%")&amp;")"</f>
        <v>#N/A</v>
      </c>
      <c r="ID62" s="1" t="e">
        <f ca="1">INDEX(Table_Process_Details[Total '[Water (kg) per kg API'] of Unique Inputs (REAGENT)], MATCH(Table_Process_Details[[#This Row],[Unique Inputs Sorted by '[Water (kg) per kg API']]],Table_Process_Details[Unique Process Inputs],0))</f>
        <v>#N/A</v>
      </c>
      <c r="IE62" s="1" t="e">
        <f ca="1">INDEX(Table_Process_Details[Total '[Water (kg) per kg API'] of Unique Inputs (METAL)], MATCH(Table_Process_Details[[#This Row],[Unique Inputs Sorted by '[Water (kg) per kg API']]],Table_Process_Details[Unique Process Inputs],0))</f>
        <v>#N/A</v>
      </c>
      <c r="IF62" s="1" t="e">
        <f ca="1">INDEX(Table_Process_Details[Total '[Water (kg) per kg API'] of Unique Inputs (SOLVENT)], MATCH(Table_Process_Details[[#This Row],[Unique Inputs Sorted by '[Water (kg) per kg API']]],Table_Process_Details[Unique Process Inputs],0))</f>
        <v>#N/A</v>
      </c>
      <c r="IG62" s="1" t="e">
        <f ca="1">INDEX(Table_Process_Details[Total '[Water (kg) per kg API'] of Unique Inputs (WATER)], MATCH(Table_Process_Details[[#This Row],[Unique Inputs Sorted by '[Water (kg) per kg API']]],Table_Process_Details[Unique Process Inputs],0))</f>
        <v>#N/A</v>
      </c>
      <c r="IH62" s="1" t="e">
        <f ca="1">INDEX(Table_Process_Details[Total '[Water (kg) per kg API'] of Unique Inputs (ENZ&amp;PLNT)], MATCH(Table_Process_Details[[#This Row],[Unique Inputs Sorted by '[Water (kg) per kg API']]],Table_Process_Details[Unique Process Inputs],0))</f>
        <v>#N/A</v>
      </c>
      <c r="II62" s="1" t="e">
        <f ca="1">INDEX(Table_Process_Details[Total '[Water (kg) per kg API'] of Unique Inputs (OTHER)], MATCH(Table_Process_Details[[#This Row],[Unique Inputs Sorted by '[Water (kg) per kg API']]],Table_Process_Details[Unique Process Inputs],0))</f>
        <v>#N/A</v>
      </c>
    </row>
    <row r="63" spans="1:243" customFormat="1" x14ac:dyDescent="0.25">
      <c r="A63" s="22" t="str">
        <f>A62</f>
        <v>3a) Virtual solution prep for (3): 25 wt% reagent I (organic) in DMF</v>
      </c>
      <c r="B63" s="21" t="s">
        <v>4</v>
      </c>
      <c r="C63" s="21" t="s">
        <v>6</v>
      </c>
      <c r="D63" s="22" t="s">
        <v>122</v>
      </c>
      <c r="E63" s="22" t="s">
        <v>820</v>
      </c>
      <c r="F63" s="26">
        <v>75</v>
      </c>
      <c r="G63" s="26"/>
      <c r="H63" s="26"/>
      <c r="I63" s="26"/>
      <c r="J63" s="26" t="str">
        <f>INDEX(Process_Steps[Reference],MATCH(Table_Process_Details[[#This Row],[Step Name]],Process_Steps[Name],0))</f>
        <v>Another Reference Document!</v>
      </c>
      <c r="K63" s="27" t="str">
        <f>INDEX(Process_Steps[Real or Virtual?],MATCH(Table_Process_Details[[#This Row],[Step Name]],Process_Steps[Name],0))</f>
        <v>Virtual</v>
      </c>
      <c r="L63"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68-12-2</v>
      </c>
      <c r="M63"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63" s="26">
        <f>INDEX(Table_Process_Details[Physical Mass (kg)],MATCH(1,INDEX(((Table_Process_Details[Step Name]=Table_Process_Details[[#This Row],[Step Name]])*(Table_Process_Details[Input or Output]="Output")),0),0))</f>
        <v>100</v>
      </c>
      <c r="O63" s="29">
        <f ca="1">INDEX(Process_Steps[Step Scale Factor for 1kg Packaged API],MATCH(Table_Process_Details[[#This Row],[Step Name]],Process_Steps[Name],0))</f>
        <v>2.2022389429254559E-2</v>
      </c>
      <c r="P63"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12.666666666666666</v>
      </c>
      <c r="Q63"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7.6666666666666661</v>
      </c>
      <c r="R63" s="26">
        <f ca="1">_xlfn.SWITCH(Run_Reset_PNG,"Reset",Table_Process_Details[[#This Row],[X Init]],"Run",Table_Process_Details[[#This Row],[X Moved]],"Freeze",Table_Process_Details[[#This Row],[X Mover]])</f>
        <v>29.612139084275654</v>
      </c>
      <c r="S63" s="26">
        <f ca="1">_xlfn.SWITCH(Run_Reset_PNG,"Reset",Table_Process_Details[[#This Row],[Y Init]],"Run",Table_Process_Details[[#This Row],[Y Moved]],"Freeze",Table_Process_Details[[#This Row],[Y Mover]])</f>
        <v>16.16007904404297</v>
      </c>
      <c r="T63" s="26" cm="1">
        <f t="array" aca="1" ref="T6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4.447253914131311</v>
      </c>
      <c r="U63" s="26" cm="1">
        <f t="array" aca="1" ref="U6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0.38749273446262122</v>
      </c>
      <c r="V63" s="26" cm="1">
        <f t="array" aca="1" ref="V63" ca="1">SUM(--(SQRT((Table_Process_Details[[#This Row],[X Mover]]-Table_Process_Details[X Mover])^2+(Table_Process_Details[[#This Row],[Y Mover]]-Table_Process_Details[Y Mover])^2)&lt;Collision_Distance))</f>
        <v>7</v>
      </c>
      <c r="W63" s="26" cm="1">
        <f t="array" aca="1" ref="W6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-0.63435260448812081</v>
      </c>
      <c r="X63" s="26" cm="1">
        <f t="array" aca="1" ref="X6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4.903118215160493E-2</v>
      </c>
      <c r="Y63" s="26" cm="1">
        <f t="array" aca="1" ref="Y6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63" s="26">
        <f>0</f>
        <v>0</v>
      </c>
      <c r="AA63" s="26">
        <f>0</f>
        <v>0</v>
      </c>
      <c r="AB63"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-14.806069542137827</v>
      </c>
      <c r="AC63" s="26" cm="1">
        <f t="array" aca="1" ref="AC6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-8.0800395220214849</v>
      </c>
      <c r="AD63" s="26">
        <f>MIN(1,COUNTA(Table_Process_Details[[#This Row],[target x]]),COUNTA(Table_Process_Details[[#This Row],[target y]]))*COUNTA(Table_Process_Details[Step Name])</f>
        <v>98</v>
      </c>
      <c r="AE63"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29.462026125253864</v>
      </c>
      <c r="AF63"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16.182016948240037</v>
      </c>
      <c r="AG63"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63" s="26" cm="1">
        <f t="array" aca="1" ref="AH63" ca="1">INDEX(Table_Process_Details[X Mover],MATCH(1,INDEX((Table_Process_Details[Input or Output]="Output")*(Table_Process_Details[Step Name]=Table_Process_Details[[#This Row],[Step Name]])*(Table_Process_Details[[#This Row],[Input or Output]]="Input"),0),0))</f>
        <v>25.352355293624477</v>
      </c>
      <c r="AI63" s="26" cm="1">
        <f t="array" aca="1" ref="AI63" ca="1">INDEX(Table_Process_Details[Y Mover],MATCH(1,INDEX((Table_Process_Details[Input or Output]="Output")*(Table_Process_Details[Step Name]=Table_Process_Details[[#This Row],[Step Name]])*(Table_Process_Details[[#This Row],[Input or Output]]="Input"),0),0))</f>
        <v>16.489331629258427</v>
      </c>
      <c r="AJ63" s="26" t="e">
        <f ca="1">SQRT((Table_Process_Details[[#This Row],[X End (To Node Center)]]-Table_Process_Details[[#This Row],[X Guide]])^2+(Table_Process_Details[[#This Row],[Y End (to Node Center)]]-Table_Process_Details[[#This Row],[Y Guide]])^2)</f>
        <v>#N/A</v>
      </c>
      <c r="AK63" s="26" t="e" cm="1">
        <f t="array" ref="AK63">INDEX(Table_Process_Details[X Mover],MATCH(1,INDEX((Table_Process_Details[Step Name]=Table_Process_Details[[#This Row],[LCA Data Source Subclass]])*(Table_Process_Details[Input or Output]="Output"),0)*(Table_Process_Details[[#This Row],[Input or Output]]="Input"),0))</f>
        <v>#N/A</v>
      </c>
      <c r="AL63" s="26" cm="1">
        <f t="array" aca="1" ref="AL63" ca="1">INDEX(Table_Process_Details[X Mover],MATCH(1,INDEX(((Table_Process_Details[Table Row]=Table_Process_Details[[#This Row],[Table Row]])*(1)),0)*(Table_Process_Details[[#This Row],[Input or Output]]="Input"),0))</f>
        <v>29.612139084275654</v>
      </c>
      <c r="AM63" s="26" t="e" cm="1">
        <f t="array" aca="1" ref="AM63" ca="1">(Table_Process_Details[[#This Row],[X End (To Node Center)]]*Table_Process_Details[[#This Row],[r0]]-Table_Process_Details[[#This Row],[X End (To Node Center)]]*Arrow_Offset+Table_Process_Details[[#This Row],[X Guide]]*Arrow_Offset)/Table_Process_Details[[#This Row],[r0]]</f>
        <v>#N/A</v>
      </c>
      <c r="AN63" s="26" t="e">
        <f>IF(NOT(Table_Process_Details[[#This Row],[Display As]]="None"),Table_Process_Details[[#This Row],[X Start Prefilter]],NA())</f>
        <v>#N/A</v>
      </c>
      <c r="AO63" s="26" t="e">
        <f>IF(NOT(Table_Process_Details[[#This Row],[Display As]]="None"),Table_Process_Details[[#This Row],[X Guide Prefilter]],NA())</f>
        <v>#N/A</v>
      </c>
      <c r="AP63" s="26" t="e">
        <f>IF(NOT(Table_Process_Details[[#This Row],[Display As]]="None"),Table_Process_Details[[#This Row],[X End (to Stop Radius) Prefilter]],NA())</f>
        <v>#N/A</v>
      </c>
      <c r="AQ63" s="26" t="e">
        <f>NA()</f>
        <v>#N/A</v>
      </c>
      <c r="AR63" s="26" t="e" cm="1">
        <f t="array" ref="AR63">INDEX(Table_Process_Details[Y Mover],MATCH(1,INDEX((Table_Process_Details[Step Name]=Table_Process_Details[[#This Row],[LCA Data Source Subclass]])*(Table_Process_Details[Input or Output]="Output"),0)*(Table_Process_Details[[#This Row],[Input or Output]]="Input"),0))</f>
        <v>#N/A</v>
      </c>
      <c r="AS63" s="26" cm="1">
        <f t="array" aca="1" ref="AS63" ca="1">INDEX(Table_Process_Details[Y Mover],MATCH(1,INDEX(((Table_Process_Details[Table Row]=Table_Process_Details[[#This Row],[Table Row]])*(1)),0)*(Table_Process_Details[[#This Row],[Input or Output]]="Input"),0))</f>
        <v>16.16007904404297</v>
      </c>
      <c r="AT63" s="26" t="e" cm="1">
        <f t="array" aca="1" ref="AT63" ca="1">(Table_Process_Details[[#This Row],[Y Guide]]*Arrow_Offset-Table_Process_Details[[#This Row],[Y End (to Node Center)]]*Arrow_Offset+Table_Process_Details[[#This Row],[Y End (to Node Center)]]*Table_Process_Details[[#This Row],[r0]])/Table_Process_Details[[#This Row],[r0]]</f>
        <v>#N/A</v>
      </c>
      <c r="AU63" s="26" t="e">
        <f>IF(NOT(Table_Process_Details[[#This Row],[Display As]]="None"),Table_Process_Details[[#This Row],[Y Start Prefilter]],NA())</f>
        <v>#N/A</v>
      </c>
      <c r="AV63" s="26" t="e">
        <f>IF(NOT(Table_Process_Details[[#This Row],[Display As]]="None"),Table_Process_Details[[#This Row],[Y Guide Prefilter]],NA())</f>
        <v>#N/A</v>
      </c>
      <c r="AW63" s="26" t="e">
        <f>IF(NOT(Table_Process_Details[[#This Row],[Display As]]="None"),Table_Process_Details[[#This Row],[Y End (to Stop Radius) Prefilter]],NA())</f>
        <v>#N/A</v>
      </c>
      <c r="AX63" s="26" t="e">
        <f>NA()</f>
        <v>#N/A</v>
      </c>
      <c r="AY63" s="26" t="e">
        <f>IF(Table_Process_Details[[#This Row],[Display As]]="Real Step",Table_Process_Details[[#This Row],[X Mover]],NA())</f>
        <v>#N/A</v>
      </c>
      <c r="AZ63" s="26" t="e">
        <f>IF(Table_Process_Details[[#This Row],[Display As]]="Real Step",Table_Process_Details[[#This Row],[Y Mover]],NA())</f>
        <v>#N/A</v>
      </c>
      <c r="BA63" s="26" t="e">
        <f>IF(Table_Process_Details[[#This Row],[Display As]]="Raw Material",Table_Process_Details[[#This Row],[X Mover]],NA())</f>
        <v>#N/A</v>
      </c>
      <c r="BB63" s="26" t="e">
        <f>IF(Table_Process_Details[[#This Row],[Display As]]="Raw Material",Table_Process_Details[[#This Row],[Y Mover]],NA())</f>
        <v>#N/A</v>
      </c>
      <c r="BC63" s="26" t="e">
        <f>IF(OR(Table_Process_Details[[#This Row],[Display As]]="Real Step",Table_Process_Details[[#This Row],[Display As]]="Raw Material"),Table_Process_Details[[#This Row],[X Mover]],NA())</f>
        <v>#N/A</v>
      </c>
      <c r="BD63" s="26" t="e">
        <f>IF(OR(Table_Process_Details[[#This Row],[Display As]]="Real Step",Table_Process_Details[[#This Row],[Display As]]="Raw Material"),Table_Process_Details[[#This Row],[Y Mover]],NA())</f>
        <v>#N/A</v>
      </c>
      <c r="BE63" s="22">
        <f>ROW()-ROW(Table_Process_Details[[#Headers],[Table Row]])</f>
        <v>59</v>
      </c>
      <c r="BF63" s="23" t="e" cm="1">
        <f t="array" aca="1" ref="BF63" ca="1">INDEX(Table_Process_Details[Display Name],MATCH(0,IF(Table_Process_Details[Input or Output]="Input",INDEX(COUNTIF(OFFSET(Table_Process_Details[[#Headers],[Unique Process Inputs]],0,0,Table_Process_Details[[#This Row],[Table Row]],1),Table_Process_Details[Display Name]),),""),0))</f>
        <v>#N/A</v>
      </c>
      <c r="BG63" s="23">
        <f ca="1">Table_Process_Details[[#This Row],[Physical Mass (kg)]]*Table_Process_Details[[#This Row],[Step Scale Factor for 1kg Packaged API]]</f>
        <v>1.651679207194092</v>
      </c>
      <c r="BH63"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3" s="23">
        <f ca="1">MATCH(Table_Process_Details[[#This Row],[LCA Data Source Class]],INDIRECT(Table_Process_Details[[#This Row],[Input or Output]]),0)</f>
        <v>2</v>
      </c>
      <c r="BJ63" s="23">
        <f ca="1">MATCH(Table_Process_Details[[#This Row],[LCA Data Source Subclass]],INDIRECT(Table_Process_Details[[#This Row],[LCA Data Source Class]]&amp;"[Name]"),0)</f>
        <v>51</v>
      </c>
      <c r="BK63" s="23">
        <f ca="1">IFERROR(INDEX(INDIRECT(Table_Process_Details[[#This Row],[LCA Data Source Class]]&amp;"[Mass Net (kg)]"),MATCH(Table_Process_Details[[#This Row],[LCA Data Source Subclass]],INDIRECT(Table_Process_Details[[#This Row],[LCA Data Source Class]]&amp;"[Name]"),0)),0)</f>
        <v>1.6613169000000001</v>
      </c>
      <c r="BL63" s="23">
        <f ca="1">IFERROR(INDEX(INDIRECT(Table_Process_Details[[#This Row],[LCA Data Source Class]]&amp;"[Energy (MJ)]"),MATCH(Table_Process_Details[[#This Row],[LCA Data Source Subclass]],INDIRECT(Table_Process_Details[[#This Row],[LCA Data Source Class]]&amp;"[Name]"),0)),0)</f>
        <v>57.590679999999999</v>
      </c>
      <c r="BM63" s="23">
        <f ca="1">IFERROR(INDEX(INDIRECT(Table_Process_Details[[#This Row],[LCA Data Source Class]]&amp;"[GWP (kg CO2 equiv.)]"),MATCH(Table_Process_Details[[#This Row],[LCA Data Source Subclass]],INDIRECT(Table_Process_Details[[#This Row],[LCA Data Source Class]]&amp;"[Name]"),0)),0)</f>
        <v>1.8856040999999999</v>
      </c>
      <c r="BN63" s="23">
        <f ca="1">IFERROR(INDEX(INDIRECT(Table_Process_Details[[#This Row],[LCA Data Source Class]]&amp;"[Acidification (kg SO2 equiv.)]"),MATCH(Table_Process_Details[[#This Row],[LCA Data Source Subclass]],INDIRECT(Table_Process_Details[[#This Row],[LCA Data Source Class]]&amp;"[Name]"),0)),0)</f>
        <v>8.3330487999999994E-3</v>
      </c>
      <c r="BO63" s="23">
        <f ca="1">IFERROR(INDEX(INDIRECT(Table_Process_Details[[#This Row],[LCA Data Source Class]]&amp;"[Eutrophication (kg posphate equiv.)]"),MATCH(Table_Process_Details[[#This Row],[LCA Data Source Subclass]],INDIRECT(Table_Process_Details[[#This Row],[LCA Data Source Class]]&amp;"[Name]"),0)),0)</f>
        <v>8.8847363999999998E-2</v>
      </c>
      <c r="BP63" s="23">
        <f ca="1">IFERROR(INDEX(INDIRECT(Table_Process_Details[[#This Row],[LCA Data Source Class]]&amp;"[Water (kg)]"),MATCH(Table_Process_Details[[#This Row],[LCA Data Source Subclass]],INDIRECT(Table_Process_Details[[#This Row],[LCA Data Source Class]]&amp;"[Name]"),0)),0)</f>
        <v>9.6611399999999996</v>
      </c>
      <c r="BQ63" s="27">
        <f ca="1">(Table_Process_Details[[#This Row],[Input or Output]]="Input")*(Table_Process_Details[[#This Row],[LCA Data Source Class]]&lt;&gt;"Process_Steps")*Table_Process_Details[[#This Row],[Scaled Physical Mass per kg API for All Inputs &amp; Outputs]]</f>
        <v>1.651679207194092</v>
      </c>
      <c r="BR63" s="27">
        <f ca="1">(Table_Process_Details[[#This Row],[Material Class]]="REAGENT")*Table_Process_Details[[#This Row],[Physical Mass per kg API]]</f>
        <v>0</v>
      </c>
      <c r="BS63" s="27">
        <f ca="1">(Table_Process_Details[[#This Row],[Material Class]]="METAL")*Table_Process_Details[[#This Row],[Physical Mass per kg API]]</f>
        <v>0</v>
      </c>
      <c r="BT63" s="27">
        <f ca="1">(Table_Process_Details[[#This Row],[Material Class]]="SOLVENT")*Table_Process_Details[[#This Row],[Physical Mass per kg API]]</f>
        <v>1.651679207194092</v>
      </c>
      <c r="BU63" s="27">
        <f ca="1">(Table_Process_Details[[#This Row],[Material Class]]="WATER")*Table_Process_Details[[#This Row],[Physical Mass per kg API]]</f>
        <v>0</v>
      </c>
      <c r="BV63" s="27">
        <f ca="1">(Table_Process_Details[[#This Row],[Material Class]]="ENZ&amp;PLNT")*Table_Process_Details[[#This Row],[Physical Mass per kg API]]</f>
        <v>0</v>
      </c>
      <c r="BW63" s="27">
        <f ca="1">(Table_Process_Details[[#This Row],[Material Class]]="OTHER")*Table_Process_Details[[#This Row],[Physical Mass per kg API]]</f>
        <v>0</v>
      </c>
      <c r="BX63"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3"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3"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3"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3"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3"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3"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3" s="1">
        <f ca="1">SUMIFS(Table_Process_Details[RV Physical Mass per kg API],Table_Process_Details[Display Name],Table_Process_Details[[#This Row],[Unique Process Inputs]],Table_Process_Details[Input or Output],"Input")</f>
        <v>0</v>
      </c>
      <c r="CF63" s="1">
        <f ca="1">SUMIFS(Table_Process_Details[RV Physical Mass per kg API (REAGENT)],Table_Process_Details[Display Name],Table_Process_Details[[#This Row],[Unique Process Inputs]],Table_Process_Details[Input or Output],"Input")</f>
        <v>0</v>
      </c>
      <c r="CG63" s="1">
        <f ca="1">SUMIFS(Table_Process_Details[RV Physical Mass per kg API (METAL)],Table_Process_Details[Display Name],Table_Process_Details[[#This Row],[Unique Process Inputs]],Table_Process_Details[Input or Output],"Input")</f>
        <v>0</v>
      </c>
      <c r="CH63" s="1">
        <f ca="1">SUMIFS(Table_Process_Details[RV Physical Mass per kg API (SOLVENT)],Table_Process_Details[Display Name],Table_Process_Details[[#This Row],[Unique Process Inputs]],Table_Process_Details[Input or Output],"Input")</f>
        <v>0</v>
      </c>
      <c r="CI63" s="1">
        <f ca="1">SUMIFS(Table_Process_Details[RV Physical Mass per kg API (WATER)],Table_Process_Details[Display Name],Table_Process_Details[[#This Row],[Unique Process Inputs]],Table_Process_Details[Input or Output],"Input")</f>
        <v>0</v>
      </c>
      <c r="CJ63" s="1">
        <f ca="1">SUMIFS(Table_Process_Details[RV Physical Mass per kg API (ENZ&amp;PLNT)],Table_Process_Details[Display Name],Table_Process_Details[[#This Row],[Unique Process Inputs]],Table_Process_Details[Input or Output],"Input")</f>
        <v>0</v>
      </c>
      <c r="CK63" s="1">
        <f ca="1">SUMIFS(Table_Process_Details[RV Physical Mass per kg API (OTHER)],Table_Process_Details[Display Name],Table_Process_Details[[#This Row],[Unique Process Inputs]],Table_Process_Details[Input or Output],"Input")</f>
        <v>0</v>
      </c>
      <c r="CL63" s="22" t="e">
        <f ca="1">INDEX(Table_Process_Details[Unique Process Inputs],MATCH(Table_Process_Details[[#This Row],['[Physical Mass per kg API'] of Unique Inputs Sorted by '[Physical Mass per kg API']]],Table_Process_Details[Total '[Physical Mass per kg API'] of Unique Inputs],0))</f>
        <v>#N/A</v>
      </c>
      <c r="CM63" s="22" t="e">
        <f ca="1">IF(LARGE(Table_Process_Details[Total '[Physical Mass per kg API'] of Unique Inputs],Table_Process_Details[[#This Row],[Table Row]])=0,NA(),LARGE(Table_Process_Details[Total '[Physical Mass per kg API'] of Unique Inputs],Table_Process_Details[[#This Row],[Table Row]]))</f>
        <v>#N/A</v>
      </c>
      <c r="CN63" s="22" t="e">
        <f ca="1">SUM(OFFSET(Table_Process_Details['[Physical Mass per kg API'] of Unique Inputs Sorted by '[Physical Mass per kg API']],0,0,Table_Process_Details[[#This Row],[Table Row]]))</f>
        <v>#N/A</v>
      </c>
      <c r="CO63" s="22" t="e">
        <f ca="1">"("&amp;TEXT(Table_Process_Details[[#This Row],['[Physical Mass per kg API'] of Unique Inputs Sorted by '[Physical Mass per kg API']]]/SUMIF(Table_Process_Details['[Physical Mass per kg API'] of Unique Inputs Sorted by '[Physical Mass per kg API']],"&lt;&gt;#N/A"),"0%")&amp;")"</f>
        <v>#N/A</v>
      </c>
      <c r="CP63" s="22" t="e">
        <f ca="1">INDEX(Table_Process_Details[Total '[Physical Mass per kg API'] of Unique Inputs (REAGENT)],MATCH(Table_Process_Details[[#This Row],[Unique Inputs Sorted by '[Physical Mass per kg API']]],Table_Process_Details[Unique Process Inputs],0))</f>
        <v>#N/A</v>
      </c>
      <c r="CQ63" s="22" t="e">
        <f ca="1">INDEX(Table_Process_Details[Total '[Physical Mass per kg API'] of Unique Inputs (METAL)],MATCH(Table_Process_Details[[#This Row],[Unique Inputs Sorted by '[Physical Mass per kg API']]],Table_Process_Details[Unique Process Inputs],0))</f>
        <v>#N/A</v>
      </c>
      <c r="CR63" s="22" t="e">
        <f ca="1">INDEX(Table_Process_Details[Total '[Physical Mass per kg API'] of Unique Inputs (SOLVENT)],MATCH(Table_Process_Details[[#This Row],[Unique Inputs Sorted by '[Physical Mass per kg API']]],Table_Process_Details[Unique Process Inputs],0))</f>
        <v>#N/A</v>
      </c>
      <c r="CS63" s="22" t="e">
        <f ca="1">INDEX(Table_Process_Details[Total '[Physical Mass per kg API'] of Unique Inputs (WATER)],MATCH(Table_Process_Details[[#This Row],[Unique Inputs Sorted by '[Physical Mass per kg API']]],Table_Process_Details[Unique Process Inputs],0))</f>
        <v>#N/A</v>
      </c>
      <c r="CT63" s="22" t="e">
        <f ca="1">INDEX(Table_Process_Details[Total '[Physical Mass per kg API'] of Unique Inputs (ENZ&amp;PLNT)],MATCH(Table_Process_Details[[#This Row],[Unique Inputs Sorted by '[Physical Mass per kg API']]],Table_Process_Details[Unique Process Inputs],0))</f>
        <v>#N/A</v>
      </c>
      <c r="CU63" s="22" t="e">
        <f ca="1">INDEX(Table_Process_Details[Total '[Physical Mass per kg API'] of Unique Inputs (OTHER)],MATCH(Table_Process_Details[[#This Row],[Unique Inputs Sorted by '[Physical Mass per kg API']]],Table_Process_Details[Unique Process Inputs],0))</f>
        <v>#N/A</v>
      </c>
      <c r="CV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3" s="22">
        <f ca="1">SUMIFS(Table_Process_Details[RV Mass Net (kg) per kg API],Table_Process_Details[Display Name],Table_Process_Details[[#This Row],[Unique Process Inputs]],Table_Process_Details[Input or Output],"Input")</f>
        <v>0</v>
      </c>
      <c r="DD63" s="22">
        <f ca="1">SUMIFS(Table_Process_Details[RV Mass Net (kg) per kg API (REAGENT)],Table_Process_Details[Display Name],Table_Process_Details[[#This Row],[Unique Process Inputs]],Table_Process_Details[Input or Output],"Input")</f>
        <v>0</v>
      </c>
      <c r="DE63" s="22">
        <f ca="1">SUMIFS(Table_Process_Details[RV Mass Net (kg) per kg API (METAL)],Table_Process_Details[Display Name],Table_Process_Details[[#This Row],[Unique Process Inputs]],Table_Process_Details[Input or Output],"Input")</f>
        <v>0</v>
      </c>
      <c r="DF63" s="22">
        <f ca="1">SUMIFS(Table_Process_Details[RV Mass Net (kg) per kg API (SOLVENT)],Table_Process_Details[Display Name],Table_Process_Details[[#This Row],[Unique Process Inputs]],Table_Process_Details[Input or Output],"Input")</f>
        <v>0</v>
      </c>
      <c r="DG63" s="22">
        <f ca="1">SUMIFS(Table_Process_Details[RV Mass Net (kg) per kg API (WATER)],Table_Process_Details[Display Name],Table_Process_Details[[#This Row],[Unique Process Inputs]],Table_Process_Details[Input or Output],"Input")</f>
        <v>0</v>
      </c>
      <c r="DH63" s="22">
        <f ca="1">SUMIFS(Table_Process_Details[RV Mass Net (kg) per kg API (ENZ&amp;PLNT)],Table_Process_Details[Display Name],Table_Process_Details[[#This Row],[Unique Process Inputs]],Table_Process_Details[Input or Output],"Input")</f>
        <v>0</v>
      </c>
      <c r="DI63" s="22">
        <f ca="1">SUMIFS(Table_Process_Details[RV Mass Net (kg) per kg API (OTHER)],Table_Process_Details[Display Name],Table_Process_Details[[#This Row],[Unique Process Inputs]],Table_Process_Details[Input or Output],"Input")</f>
        <v>0</v>
      </c>
      <c r="DJ63" s="22" t="e">
        <f ca="1">INDEX(Table_Process_Details[Unique Process Inputs],MATCH(Table_Process_Details[[#This Row],['[Mass Net (kg) per kg API'] of Unique Inputs Sorted by '[Mass Net (kg) per kg API']]],Table_Process_Details[Total '[Mass Net (kg) per kg API'] of Unique Inputs],0))</f>
        <v>#N/A</v>
      </c>
      <c r="DK63" s="22" t="e">
        <f ca="1">IF(LARGE(Table_Process_Details[Total '[Mass Net (kg) per kg API'] of Unique Inputs],Table_Process_Details[[#This Row],[Table Row]])=0,NA(),LARGE(Table_Process_Details[Total '[Mass Net (kg) per kg API'] of Unique Inputs],Table_Process_Details[[#This Row],[Table Row]]))</f>
        <v>#N/A</v>
      </c>
      <c r="DL63" s="22" t="e">
        <f ca="1">SUM(OFFSET(Table_Process_Details['[Mass Net (kg) per kg API'] of Unique Inputs Sorted by '[Mass Net (kg) per kg API']],0,0,Table_Process_Details[[#This Row],[Table Row]]))</f>
        <v>#N/A</v>
      </c>
      <c r="DM63" s="22" t="e">
        <f ca="1">"("&amp;TEXT(Table_Process_Details[[#This Row],['[Mass Net (kg) per kg API'] of Unique Inputs Sorted by '[Mass Net (kg) per kg API']]]/SUMIF(Table_Process_Details['[Mass Net (kg) per kg API'] of Unique Inputs Sorted by '[Mass Net (kg) per kg API']],"&lt;&gt;#N/A"),"0%")&amp;")"</f>
        <v>#N/A</v>
      </c>
      <c r="DN63" s="22" t="e">
        <f ca="1">INDEX(Table_Process_Details[Total '[Mass Net (kg) per kg API'] of Unique Inputs (REAGENT)], MATCH(Table_Process_Details[[#This Row],[Unique Inputs Sorted by '[Mass Net (kg) per kg API']]],Table_Process_Details[Unique Process Inputs],0))</f>
        <v>#N/A</v>
      </c>
      <c r="DO63" s="22" t="e">
        <f ca="1">INDEX(Table_Process_Details[Total '[Mass Net (kg) per kg API'] of Unique Inputs (METAL)], MATCH(Table_Process_Details[[#This Row],[Unique Inputs Sorted by '[Mass Net (kg) per kg API']]],Table_Process_Details[Unique Process Inputs],0))</f>
        <v>#N/A</v>
      </c>
      <c r="DP63" s="22" t="e">
        <f ca="1">INDEX(Table_Process_Details[Total '[Mass Net (kg) per kg API'] of Unique Inputs (SOLVENT)], MATCH(Table_Process_Details[[#This Row],[Unique Inputs Sorted by '[Mass Net (kg) per kg API']]],Table_Process_Details[Unique Process Inputs],0))</f>
        <v>#N/A</v>
      </c>
      <c r="DQ63" s="22" t="e">
        <f ca="1">INDEX(Table_Process_Details[Total '[Mass Net (kg) per kg API'] of Unique Inputs (WATER)], MATCH(Table_Process_Details[[#This Row],[Unique Inputs Sorted by '[Mass Net (kg) per kg API']]],Table_Process_Details[Unique Process Inputs],0))</f>
        <v>#N/A</v>
      </c>
      <c r="DR63" s="22" t="e">
        <f ca="1">INDEX(Table_Process_Details[Total '[Mass Net (kg) per kg API'] of Unique Inputs (ENZ&amp;PLNT)], MATCH(Table_Process_Details[[#This Row],[Unique Inputs Sorted by '[Mass Net (kg) per kg API']]],Table_Process_Details[Unique Process Inputs],0))</f>
        <v>#N/A</v>
      </c>
      <c r="DS63" s="22" t="e">
        <f ca="1">INDEX(Table_Process_Details[Total '[Mass Net (kg) per kg API'] of Unique Inputs (OTHER)], MATCH(Table_Process_Details[[#This Row],[Unique Inputs Sorted by '[Mass Net (kg) per kg API']]],Table_Process_Details[Unique Process Inputs],0))</f>
        <v>#N/A</v>
      </c>
      <c r="DT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3" s="1">
        <f ca="1">SUMIFS(Table_Process_Details[RV Energy (MJ) per kg API],Table_Process_Details[Display Name],Table_Process_Details[[#This Row],[Unique Process Inputs]],Table_Process_Details[Input or Output],"Input")</f>
        <v>0</v>
      </c>
      <c r="EB63" s="1">
        <f ca="1">SUMIFS(Table_Process_Details[RV Energy (MJ) per kg API (REAGENT)],Table_Process_Details[Display Name],Table_Process_Details[[#This Row],[Unique Process Inputs]],Table_Process_Details[Input or Output],"Input")</f>
        <v>0</v>
      </c>
      <c r="EC63" s="1">
        <f ca="1">SUMIFS(Table_Process_Details[RV Energy (MJ) per kg API (METAL)],Table_Process_Details[Display Name],Table_Process_Details[[#This Row],[Unique Process Inputs]],Table_Process_Details[Input or Output],"Input")</f>
        <v>0</v>
      </c>
      <c r="ED63" s="1">
        <f ca="1">SUMIFS(Table_Process_Details[RV Energy (MJ) per kg API (SOLVENT)],Table_Process_Details[Display Name],Table_Process_Details[[#This Row],[Unique Process Inputs]],Table_Process_Details[Input or Output],"Input")</f>
        <v>0</v>
      </c>
      <c r="EE63" s="1">
        <f ca="1">SUMIFS(Table_Process_Details[RV Energy (MJ) per kg API (WATER)],Table_Process_Details[Display Name],Table_Process_Details[[#This Row],[Unique Process Inputs]],Table_Process_Details[Input or Output],"Input")</f>
        <v>0</v>
      </c>
      <c r="EF63" s="1">
        <f ca="1">SUMIFS(Table_Process_Details[RV Energy (MJ) per kg API (ENZ&amp;PLNT)],Table_Process_Details[Display Name],Table_Process_Details[[#This Row],[Unique Process Inputs]],Table_Process_Details[Input or Output],"Input")</f>
        <v>0</v>
      </c>
      <c r="EG63" s="1">
        <f ca="1">SUMIFS(Table_Process_Details[RV Energy (MJ) per kg API (OTHER)],Table_Process_Details[Display Name],Table_Process_Details[[#This Row],[Unique Process Inputs]],Table_Process_Details[Input or Output],"Input")</f>
        <v>0</v>
      </c>
      <c r="EH63" s="1" t="e">
        <f ca="1">INDEX(Table_Process_Details[Unique Process Inputs],MATCH(Table_Process_Details[[#This Row],['[Energy (MJ) per kg API'] of Unique Inputs Sorted by '[Energy (MJ) per kg API']]],Table_Process_Details[Total '[Energy (MJ) per kg API'] of Unique Inputs],0))</f>
        <v>#N/A</v>
      </c>
      <c r="EI63" s="22" t="e">
        <f ca="1">IF(LARGE(Table_Process_Details[Total '[Energy (MJ) per kg API'] of Unique Inputs],Table_Process_Details[[#This Row],[Table Row]])=0,NA(),LARGE(Table_Process_Details[Total '[Energy (MJ) per kg API'] of Unique Inputs],Table_Process_Details[[#This Row],[Table Row]]))</f>
        <v>#N/A</v>
      </c>
      <c r="EJ63" s="22" t="e">
        <f ca="1">SUM(OFFSET(Table_Process_Details['[Energy (MJ) per kg API'] of Unique Inputs Sorted by '[Energy (MJ) per kg API']],0,0,Table_Process_Details[[#This Row],[Table Row]]))</f>
        <v>#N/A</v>
      </c>
      <c r="EK63" s="22" t="e">
        <f ca="1">"("&amp;TEXT(Table_Process_Details[[#This Row],['[Energy (MJ) per kg API'] of Unique Inputs Sorted by '[Energy (MJ) per kg API']]]/SUMIF(Table_Process_Details['[Energy (MJ) per kg API'] of Unique Inputs Sorted by '[Energy (MJ) per kg API']],"&lt;&gt;#N/A"),"0%")&amp;")"</f>
        <v>#N/A</v>
      </c>
      <c r="EL63" s="22" t="e">
        <f ca="1">INDEX(Table_Process_Details[Total '[Energy (MJ) per kg API'] of Unique Inputs (REAGENT)], MATCH(Table_Process_Details[[#This Row],[Unique Inputs Sorted by '[Energy (MJ) per kg API']]],Table_Process_Details[Unique Process Inputs],0))</f>
        <v>#N/A</v>
      </c>
      <c r="EM63" s="22" t="e">
        <f ca="1">INDEX(Table_Process_Details[Total '[Energy (MJ) per kg API'] of Unique Inputs (METAL)], MATCH(Table_Process_Details[[#This Row],[Unique Inputs Sorted by '[Energy (MJ) per kg API']]],Table_Process_Details[Unique Process Inputs],0))</f>
        <v>#N/A</v>
      </c>
      <c r="EN63" s="22" t="e">
        <f ca="1">INDEX(Table_Process_Details[Total '[Energy (MJ) per kg API'] of Unique Inputs (SOLVENT)], MATCH(Table_Process_Details[[#This Row],[Unique Inputs Sorted by '[Energy (MJ) per kg API']]],Table_Process_Details[Unique Process Inputs],0))</f>
        <v>#N/A</v>
      </c>
      <c r="EO63" s="22" t="e">
        <f ca="1">INDEX(Table_Process_Details[Total '[Energy (MJ) per kg API'] of Unique Inputs (WATER)], MATCH(Table_Process_Details[[#This Row],[Unique Inputs Sorted by '[Energy (MJ) per kg API']]],Table_Process_Details[Unique Process Inputs],0))</f>
        <v>#N/A</v>
      </c>
      <c r="EP63" s="22" t="e">
        <f ca="1">INDEX(Table_Process_Details[Total '[Energy (MJ) per kg API'] of Unique Inputs (ENZ&amp;PLNT)], MATCH(Table_Process_Details[[#This Row],[Unique Inputs Sorted by '[Energy (MJ) per kg API']]],Table_Process_Details[Unique Process Inputs],0))</f>
        <v>#N/A</v>
      </c>
      <c r="EQ63" s="22" t="e">
        <f ca="1">INDEX(Table_Process_Details[Total '[Energy (MJ) per kg API'] of Unique Inputs (OTHER)], MATCH(Table_Process_Details[[#This Row],[Unique Inputs Sorted by '[Energy (MJ) per kg API']]],Table_Process_Details[Unique Process Inputs],0))</f>
        <v>#N/A</v>
      </c>
      <c r="ER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3" s="22">
        <f ca="1">SUMIFS(Table_Process_Details[RV GWP (kg CO2 equiv.) per kg API],Table_Process_Details[Display Name],Table_Process_Details[[#This Row],[Unique Process Inputs]],Table_Process_Details[Input or Output],"Input")</f>
        <v>0</v>
      </c>
      <c r="EZ63" s="1">
        <f ca="1">SUMIFS(Table_Process_Details[RV GWP (kg CO2 equiv.) per kg API (REAGENT)],Table_Process_Details[Display Name],Table_Process_Details[[#This Row],[Unique Process Inputs]],Table_Process_Details[Input or Output],"Input")</f>
        <v>0</v>
      </c>
      <c r="FA63" s="1">
        <f ca="1">SUMIFS(Table_Process_Details[RV GWP (kg CO2 equiv.) per kg API (METAL)],Table_Process_Details[Display Name],Table_Process_Details[[#This Row],[Unique Process Inputs]],Table_Process_Details[Input or Output],"Input")</f>
        <v>0</v>
      </c>
      <c r="FB63" s="1">
        <f ca="1">SUMIFS(Table_Process_Details[RV GWP (kg CO2 equiv.) per kg API (SOLVENT)],Table_Process_Details[Display Name],Table_Process_Details[[#This Row],[Unique Process Inputs]],Table_Process_Details[Input or Output],"Input")</f>
        <v>0</v>
      </c>
      <c r="FC63" s="1">
        <f ca="1">SUMIFS(Table_Process_Details[RV GWP (kg CO2 equiv.) per kg API (WATER)],Table_Process_Details[Display Name],Table_Process_Details[[#This Row],[Unique Process Inputs]],Table_Process_Details[Input or Output],"Input")</f>
        <v>0</v>
      </c>
      <c r="FD63" s="1">
        <f ca="1">SUMIFS(Table_Process_Details[RV GWP (kg CO2 equiv.) per kg API (ENZ&amp;PLNT)],Table_Process_Details[Display Name],Table_Process_Details[[#This Row],[Unique Process Inputs]],Table_Process_Details[Input or Output],"Input")</f>
        <v>0</v>
      </c>
      <c r="FE63" s="1">
        <f ca="1">SUMIFS(Table_Process_Details[RV GWP (kg CO2 equiv.) per kg API (OTHER)],Table_Process_Details[Display Name],Table_Process_Details[[#This Row],[Unique Process Inputs]],Table_Process_Details[Input or Output],"Input")</f>
        <v>0</v>
      </c>
      <c r="FF63" s="22" t="e">
        <f ca="1">INDEX(Table_Process_Details[Unique Process Inputs],MATCH(Table_Process_Details[[#This Row],['[GWP (kg CO2 equiv.) per kg API'] of Unique Inputs Sorted by '[GWP (kg CO2 equiv.) per kg API']]],Table_Process_Details[Total '[GWP (kg CO2 equiv.) per kg API'] of Unique Inputs],0))</f>
        <v>#N/A</v>
      </c>
      <c r="FG63" s="22" t="e">
        <f ca="1">IF(LARGE(Table_Process_Details[Total '[GWP (kg CO2 equiv.) per kg API'] of Unique Inputs],Table_Process_Details[[#This Row],[Table Row]])=0,NA(),LARGE(Table_Process_Details[Total '[GWP (kg CO2 equiv.) per kg API'] of Unique Inputs],Table_Process_Details[[#This Row],[Table Row]]))</f>
        <v>#N/A</v>
      </c>
      <c r="FH63" s="22" t="e">
        <f ca="1">SUM(OFFSET(Table_Process_Details['[GWP (kg CO2 equiv.) per kg API'] of Unique Inputs Sorted by '[GWP (kg CO2 equiv.) per kg API']],0,0,Table_Process_Details[[#This Row],[Table Row]]))</f>
        <v>#N/A</v>
      </c>
      <c r="FI63" s="22" t="e">
        <f ca="1">"("&amp;TEXT(Table_Process_Details[[#This Row],['[GWP (kg CO2 equiv.) per kg API'] of Unique Inputs Sorted by '[GWP (kg CO2 equiv.) per kg API']]]/SUMIF(Table_Process_Details['[GWP (kg CO2 equiv.) per kg API'] of Unique Inputs Sorted by '[GWP (kg CO2 equiv.) per kg API']],"&lt;&gt;#N/A"),"0%")&amp;")"</f>
        <v>#N/A</v>
      </c>
      <c r="FJ63" s="22" t="e">
        <f ca="1">INDEX(Table_Process_Details[Total '[GWP (kg CO2 equiv.) per kg API'] of Unique Inputs (REAGENT)], MATCH(Table_Process_Details[[#This Row],[Unique Inputs Sorted by '[GWP (kg CO2 equiv.) per kg API']]],Table_Process_Details[Unique Process Inputs],0))</f>
        <v>#N/A</v>
      </c>
      <c r="FK63" s="22" t="e">
        <f ca="1">INDEX(Table_Process_Details[Total '[GWP (kg CO2 equiv.) per kg API'] of Unique Inputs (METAL)], MATCH(Table_Process_Details[[#This Row],[Unique Inputs Sorted by '[GWP (kg CO2 equiv.) per kg API']]],Table_Process_Details[Unique Process Inputs],0))</f>
        <v>#N/A</v>
      </c>
      <c r="FL63" s="22" t="e">
        <f ca="1">INDEX(Table_Process_Details[Total '[GWP (kg CO2 equiv.) per kg API'] of Unique Inputs (SOLVENT)], MATCH(Table_Process_Details[[#This Row],[Unique Inputs Sorted by '[GWP (kg CO2 equiv.) per kg API']]],Table_Process_Details[Unique Process Inputs],0))</f>
        <v>#N/A</v>
      </c>
      <c r="FM63" s="22" t="e">
        <f ca="1">INDEX(Table_Process_Details[Total '[GWP (kg CO2 equiv.) per kg API'] of Unique Inputs (WATER)], MATCH(Table_Process_Details[[#This Row],[Unique Inputs Sorted by '[GWP (kg CO2 equiv.) per kg API']]],Table_Process_Details[Unique Process Inputs],0))</f>
        <v>#N/A</v>
      </c>
      <c r="FN63" s="22" t="e">
        <f ca="1">INDEX(Table_Process_Details[Total '[GWP (kg CO2 equiv.) per kg API'] of Unique Inputs (ENZ&amp;PLNT)], MATCH(Table_Process_Details[[#This Row],[Unique Inputs Sorted by '[GWP (kg CO2 equiv.) per kg API']]],Table_Process_Details[Unique Process Inputs],0))</f>
        <v>#N/A</v>
      </c>
      <c r="FO63" s="22" t="e">
        <f ca="1">INDEX(Table_Process_Details[Total '[GWP (kg CO2 equiv.) per kg API'] of Unique Inputs (OTHER)], MATCH(Table_Process_Details[[#This Row],[Unique Inputs Sorted by '[GWP (kg CO2 equiv.) per kg API']]],Table_Process_Details[Unique Process Inputs],0))</f>
        <v>#N/A</v>
      </c>
      <c r="FP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3" s="22">
        <f ca="1">SUMIFS(Table_Process_Details[RV Acidification (kg SO2 equiv.) per kg API],Table_Process_Details[Display Name],Table_Process_Details[[#This Row],[Unique Process Inputs]],Table_Process_Details[Input or Output],"Input")</f>
        <v>0</v>
      </c>
      <c r="FX63" s="1">
        <f ca="1">SUMIFS(Table_Process_Details[RV Acidification (kg SO2 equiv.) per kg API (REAGENT)],Table_Process_Details[Display Name],Table_Process_Details[[#This Row],[Unique Process Inputs]],Table_Process_Details[Input or Output],"Input")</f>
        <v>0</v>
      </c>
      <c r="FY63" s="1">
        <f ca="1">SUMIFS(Table_Process_Details[RV Acidification (kg SO2 equiv.) per kg API (METAL)],Table_Process_Details[Display Name],Table_Process_Details[[#This Row],[Unique Process Inputs]],Table_Process_Details[Input or Output],"Input")</f>
        <v>0</v>
      </c>
      <c r="FZ63" s="1">
        <f ca="1">SUMIFS(Table_Process_Details[RV Acidification (kg SO2 equiv.) per kg API (SOLVENT)],Table_Process_Details[Display Name],Table_Process_Details[[#This Row],[Unique Process Inputs]],Table_Process_Details[Input or Output],"Input")</f>
        <v>0</v>
      </c>
      <c r="GA63" s="1">
        <f ca="1">SUMIFS(Table_Process_Details[RV Acidification (kg SO2 equiv.) per kg API (WATER)],Table_Process_Details[Display Name],Table_Process_Details[[#This Row],[Unique Process Inputs]],Table_Process_Details[Input or Output],"Input")</f>
        <v>0</v>
      </c>
      <c r="GB63" s="1">
        <f ca="1">SUMIFS(Table_Process_Details[RV Acidification (kg SO2 equiv.) per kg API (ENZ&amp;PLNT)],Table_Process_Details[Display Name],Table_Process_Details[[#This Row],[Unique Process Inputs]],Table_Process_Details[Input or Output],"Input")</f>
        <v>0</v>
      </c>
      <c r="GC63" s="1">
        <f ca="1">SUMIFS(Table_Process_Details[RV Acidification (kg SO2 equiv.) per kg API (OTHER)],Table_Process_Details[Display Name],Table_Process_Details[[#This Row],[Unique Process Inputs]],Table_Process_Details[Input or Output],"Input")</f>
        <v>0</v>
      </c>
      <c r="GD63"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3"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3" s="22" t="e">
        <f ca="1">SUM(OFFSET(Table_Process_Details['[Acidification (kg SO2 equiv.) per kg API'] of Unique Inputs Sorted by '[Acidification (kg SO2 equiv.) per kg API']],0,0,Table_Process_Details[[#This Row],[Table Row]]))</f>
        <v>#N/A</v>
      </c>
      <c r="GG63"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3" s="22" t="e">
        <f ca="1">INDEX(Table_Process_Details[Total '[Acidification (kg SO2 equiv.) per kg API'] of Unique Inputs (REAGENT)], MATCH(Table_Process_Details[[#This Row],[Unique Inputs Sorted by '[Acidification (kg SO2 equiv.) per kg API']]],Table_Process_Details[Unique Process Inputs],0))</f>
        <v>#N/A</v>
      </c>
      <c r="GI63" s="22" t="e">
        <f ca="1">INDEX(Table_Process_Details[Total '[Acidification (kg SO2 equiv.) per kg API'] of Unique Inputs (METAL)], MATCH(Table_Process_Details[[#This Row],[Unique Inputs Sorted by '[Acidification (kg SO2 equiv.) per kg API']]],Table_Process_Details[Unique Process Inputs],0))</f>
        <v>#N/A</v>
      </c>
      <c r="GJ63" s="22" t="e">
        <f ca="1">INDEX(Table_Process_Details[Total '[Acidification (kg SO2 equiv.) per kg API'] of Unique Inputs (SOLVENT)], MATCH(Table_Process_Details[[#This Row],[Unique Inputs Sorted by '[Acidification (kg SO2 equiv.) per kg API']]],Table_Process_Details[Unique Process Inputs],0))</f>
        <v>#N/A</v>
      </c>
      <c r="GK63" s="22" t="e">
        <f ca="1">INDEX(Table_Process_Details[Total '[Acidification (kg SO2 equiv.) per kg API'] of Unique Inputs (WATER)], MATCH(Table_Process_Details[[#This Row],[Unique Inputs Sorted by '[Acidification (kg SO2 equiv.) per kg API']]],Table_Process_Details[Unique Process Inputs],0))</f>
        <v>#N/A</v>
      </c>
      <c r="GL63" s="22" t="e">
        <f ca="1">INDEX(Table_Process_Details[Total '[Acidification (kg SO2 equiv.) per kg API'] of Unique Inputs (ENZ&amp;PLNT)], MATCH(Table_Process_Details[[#This Row],[Unique Inputs Sorted by '[Acidification (kg SO2 equiv.) per kg API']]],Table_Process_Details[Unique Process Inputs],0))</f>
        <v>#N/A</v>
      </c>
      <c r="GM63" s="22" t="e">
        <f ca="1">INDEX(Table_Process_Details[Total '[Acidification (kg SO2 equiv.) per kg API'] of Unique Inputs (OTHER)], MATCH(Table_Process_Details[[#This Row],[Unique Inputs Sorted by '[Acidification (kg SO2 equiv.) per kg API']]],Table_Process_Details[Unique Process Inputs],0))</f>
        <v>#N/A</v>
      </c>
      <c r="GN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3" s="22">
        <f ca="1">SUMIFS(Table_Process_Details[RV Eutrophication (kg phosphate equiv.) per kg API],Table_Process_Details[Display Name],Table_Process_Details[[#This Row],[Unique Process Inputs]],Table_Process_Details[Input or Output],"Input")</f>
        <v>0</v>
      </c>
      <c r="GV63" s="1">
        <f ca="1">SUMIFS(Table_Process_Details[RV Eutrophication (kg phosphate equiv.) per kg API (REAGENT)],Table_Process_Details[Display Name],Table_Process_Details[[#This Row],[Unique Process Inputs]],Table_Process_Details[Input or Output],"Input")</f>
        <v>0</v>
      </c>
      <c r="GW63" s="1">
        <f ca="1">SUMIFS(Table_Process_Details[RV Eutrophication (kg phosphate equiv.) per kg API (METAL)],Table_Process_Details[Display Name],Table_Process_Details[[#This Row],[Unique Process Inputs]],Table_Process_Details[Input or Output],"Input")</f>
        <v>0</v>
      </c>
      <c r="GX63" s="1">
        <f ca="1">SUMIFS(Table_Process_Details[RV Eutrophication (kg phosphate equiv.) per kg API (SOLVENT)],Table_Process_Details[Display Name],Table_Process_Details[[#This Row],[Unique Process Inputs]],Table_Process_Details[Input or Output],"Input")</f>
        <v>0</v>
      </c>
      <c r="GY63" s="1">
        <f ca="1">SUMIFS(Table_Process_Details[RV Eutrophication (kg phosphate equiv.) per kg API (WATER)],Table_Process_Details[Display Name],Table_Process_Details[[#This Row],[Unique Process Inputs]],Table_Process_Details[Input or Output],"Input")</f>
        <v>0</v>
      </c>
      <c r="GZ63" s="1">
        <f ca="1">SUMIFS(Table_Process_Details[RV Eutrophication (kg phosphate equiv.) per kg API (ENZ&amp;PLNT)],Table_Process_Details[Display Name],Table_Process_Details[[#This Row],[Unique Process Inputs]],Table_Process_Details[Input or Output],"Input")</f>
        <v>0</v>
      </c>
      <c r="HA63" s="1">
        <f ca="1">SUMIFS(Table_Process_Details[RV Eutrophication (kg phosphate equiv.) per kg API (OTHER)],Table_Process_Details[Display Name],Table_Process_Details[[#This Row],[Unique Process Inputs]],Table_Process_Details[Input or Output],"Input")</f>
        <v>0</v>
      </c>
      <c r="HB63"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3"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3" s="22" t="e">
        <f ca="1">SUM(OFFSET(Table_Process_Details['[Eutrophication (kg posphate equiv.) per kg API'] of Unique Inputs Sorted by '[Eutrophication (kg posphate equiv.) per kg API']],0,0,Table_Process_Details[[#This Row],[Table Row]]))</f>
        <v>#N/A</v>
      </c>
      <c r="HE63"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3" s="1" t="e">
        <f ca="1">INDEX(Table_Process_Details[Total '[Eutrophication (kg posphate equiv.) per kg API'] of Unique Inputs (REAGENT)], MATCH(Table_Process_Details[[#This Row],[Unique Inputs Sorted by '[Eutrophication (kg posphate equiv.) per kg API']]],Table_Process_Details[Unique Process Inputs],0))</f>
        <v>#N/A</v>
      </c>
      <c r="HG63" s="1" t="e">
        <f ca="1">INDEX(Table_Process_Details[Total '[Eutrophication (kg posphate equiv.) per kg API'] of Unique Inputs (METAL)], MATCH(Table_Process_Details[[#This Row],[Unique Inputs Sorted by '[Eutrophication (kg posphate equiv.) per kg API']]],Table_Process_Details[Unique Process Inputs],0))</f>
        <v>#N/A</v>
      </c>
      <c r="HH63" s="1" t="e">
        <f ca="1">INDEX(Table_Process_Details[Total '[Eutrophication (kg posphate equiv.) per kg API'] of Unique Inputs (SOLVENT)], MATCH(Table_Process_Details[[#This Row],[Unique Inputs Sorted by '[Eutrophication (kg posphate equiv.) per kg API']]],Table_Process_Details[Unique Process Inputs],0))</f>
        <v>#N/A</v>
      </c>
      <c r="HI63" s="1" t="e">
        <f ca="1">INDEX(Table_Process_Details[Total '[Eutrophication (kg posphate equiv.) per kg API'] of Unique Inputs (WATER)], MATCH(Table_Process_Details[[#This Row],[Unique Inputs Sorted by '[Eutrophication (kg posphate equiv.) per kg API']]],Table_Process_Details[Unique Process Inputs],0))</f>
        <v>#N/A</v>
      </c>
      <c r="HJ63" s="1" t="e">
        <f ca="1">INDEX(Table_Process_Details[Total '[Eutrophication (kg posphate equiv.) per kg API'] of Unique Inputs (ENZ&amp;PLNT)], MATCH(Table_Process_Details[[#This Row],[Unique Inputs Sorted by '[Eutrophication (kg posphate equiv.) per kg API']]],Table_Process_Details[Unique Process Inputs],0))</f>
        <v>#N/A</v>
      </c>
      <c r="HK63" s="1" t="e">
        <f ca="1">INDEX(Table_Process_Details[Total '[Eutrophication (kg posphate equiv.) per kg API'] of Unique Inputs (OTHER)], MATCH(Table_Process_Details[[#This Row],[Unique Inputs Sorted by '[Eutrophication (kg posphate equiv.) per kg API']]],Table_Process_Details[Unique Process Inputs],0))</f>
        <v>#N/A</v>
      </c>
      <c r="HL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3" s="1">
        <f ca="1">SUMIFS(Table_Process_Details[RV Water (kg) per kg API],Table_Process_Details[Display Name],Table_Process_Details[[#This Row],[Unique Process Inputs]],Table_Process_Details[Input or Output],"Input")</f>
        <v>0</v>
      </c>
      <c r="HT63" s="1">
        <f ca="1">SUMIFS(Table_Process_Details[RV Water (kg) per kg API (REAGENT)],Table_Process_Details[Display Name],Table_Process_Details[[#This Row],[Unique Process Inputs]],Table_Process_Details[Input or Output],"Input")</f>
        <v>0</v>
      </c>
      <c r="HU63" s="1">
        <f ca="1">SUMIFS(Table_Process_Details[RV Water (kg) per kg API (METAL)],Table_Process_Details[Display Name],Table_Process_Details[[#This Row],[Unique Process Inputs]],Table_Process_Details[Input or Output],"Input")</f>
        <v>0</v>
      </c>
      <c r="HV63" s="1">
        <f ca="1">SUMIFS(Table_Process_Details[RV Water (kg) per kg API (SOLVENT)],Table_Process_Details[Display Name],Table_Process_Details[[#This Row],[Unique Process Inputs]],Table_Process_Details[Input or Output],"Input")</f>
        <v>0</v>
      </c>
      <c r="HW63" s="1">
        <f ca="1">SUMIFS(Table_Process_Details[RV Water (kg) per kg API (WATER)],Table_Process_Details[Display Name],Table_Process_Details[[#This Row],[Unique Process Inputs]],Table_Process_Details[Input or Output],"Input")</f>
        <v>0</v>
      </c>
      <c r="HX63" s="1">
        <f ca="1">SUMIFS(Table_Process_Details[RV Water (kg) per kg API (ENZ&amp;PLNT)],Table_Process_Details[Display Name],Table_Process_Details[[#This Row],[Unique Process Inputs]],Table_Process_Details[Input or Output],"Input")</f>
        <v>0</v>
      </c>
      <c r="HY63" s="1">
        <f ca="1">SUMIFS(Table_Process_Details[RV Water (kg) per kg API (OTHER)],Table_Process_Details[Display Name],Table_Process_Details[[#This Row],[Unique Process Inputs]],Table_Process_Details[Input or Output],"Input")</f>
        <v>0</v>
      </c>
      <c r="HZ63" s="22" t="e">
        <f ca="1">INDEX(Table_Process_Details[Unique Process Inputs],MATCH(Table_Process_Details[[#This Row],['[Water (kg) per kg API'] of Unique Inputs Sorted by '[Water (kg) per kg API']]],Table_Process_Details[Total '[Water (kg) per kg API'] of Unique Inputs],0))</f>
        <v>#N/A</v>
      </c>
      <c r="IA63" s="22" t="e">
        <f ca="1">IF(LARGE(Table_Process_Details[Total '[Water (kg) per kg API'] of Unique Inputs],Table_Process_Details[[#This Row],[Table Row]])=0,NA(),LARGE(Table_Process_Details[Total '[Water (kg) per kg API'] of Unique Inputs],Table_Process_Details[[#This Row],[Table Row]]))</f>
        <v>#N/A</v>
      </c>
      <c r="IB63" s="1" t="e">
        <f ca="1">SUM(OFFSET(Table_Process_Details['[Water (kg) per kg API'] of Unique Inputs Sorted by '[Water (kg) per kg API']],0,0,Table_Process_Details[[#This Row],[Table Row]]))</f>
        <v>#N/A</v>
      </c>
      <c r="IC63" s="1" t="e">
        <f ca="1">"("&amp;TEXT(Table_Process_Details[[#This Row],['[Water (kg) per kg API'] of Unique Inputs Sorted by '[Water (kg) per kg API']]]/SUMIF(Table_Process_Details['[Water (kg) per kg API'] of Unique Inputs Sorted by '[Water (kg) per kg API']],"&lt;&gt;#N/A"),"0%")&amp;")"</f>
        <v>#N/A</v>
      </c>
      <c r="ID63" s="1" t="e">
        <f ca="1">INDEX(Table_Process_Details[Total '[Water (kg) per kg API'] of Unique Inputs (REAGENT)], MATCH(Table_Process_Details[[#This Row],[Unique Inputs Sorted by '[Water (kg) per kg API']]],Table_Process_Details[Unique Process Inputs],0))</f>
        <v>#N/A</v>
      </c>
      <c r="IE63" s="1" t="e">
        <f ca="1">INDEX(Table_Process_Details[Total '[Water (kg) per kg API'] of Unique Inputs (METAL)], MATCH(Table_Process_Details[[#This Row],[Unique Inputs Sorted by '[Water (kg) per kg API']]],Table_Process_Details[Unique Process Inputs],0))</f>
        <v>#N/A</v>
      </c>
      <c r="IF63" s="1" t="e">
        <f ca="1">INDEX(Table_Process_Details[Total '[Water (kg) per kg API'] of Unique Inputs (SOLVENT)], MATCH(Table_Process_Details[[#This Row],[Unique Inputs Sorted by '[Water (kg) per kg API']]],Table_Process_Details[Unique Process Inputs],0))</f>
        <v>#N/A</v>
      </c>
      <c r="IG63" s="1" t="e">
        <f ca="1">INDEX(Table_Process_Details[Total '[Water (kg) per kg API'] of Unique Inputs (WATER)], MATCH(Table_Process_Details[[#This Row],[Unique Inputs Sorted by '[Water (kg) per kg API']]],Table_Process_Details[Unique Process Inputs],0))</f>
        <v>#N/A</v>
      </c>
      <c r="IH63" s="1" t="e">
        <f ca="1">INDEX(Table_Process_Details[Total '[Water (kg) per kg API'] of Unique Inputs (ENZ&amp;PLNT)], MATCH(Table_Process_Details[[#This Row],[Unique Inputs Sorted by '[Water (kg) per kg API']]],Table_Process_Details[Unique Process Inputs],0))</f>
        <v>#N/A</v>
      </c>
      <c r="II63" s="1" t="e">
        <f ca="1">INDEX(Table_Process_Details[Total '[Water (kg) per kg API'] of Unique Inputs (OTHER)], MATCH(Table_Process_Details[[#This Row],[Unique Inputs Sorted by '[Water (kg) per kg API']]],Table_Process_Details[Unique Process Inputs],0))</f>
        <v>#N/A</v>
      </c>
    </row>
    <row r="64" spans="1:243" s="119" customFormat="1" x14ac:dyDescent="0.25">
      <c r="A64" s="126" t="str">
        <f>A63</f>
        <v>3a) Virtual solution prep for (3): 25 wt% reagent I (organic) in DMF</v>
      </c>
      <c r="B64" s="127" t="s">
        <v>5</v>
      </c>
      <c r="C64" s="127" t="s">
        <v>155</v>
      </c>
      <c r="D64" s="126" t="s">
        <v>155</v>
      </c>
      <c r="E64" s="126" t="str">
        <f>'1. Define Process Steps'!C19</f>
        <v>25 wt% reagent I (organic) in DMF</v>
      </c>
      <c r="F64" s="165">
        <f>F63+F62</f>
        <v>100</v>
      </c>
      <c r="G64" s="128"/>
      <c r="H64" s="128"/>
      <c r="I64" s="128"/>
      <c r="J64" s="128" t="str">
        <f>INDEX(Process_Steps[Reference],MATCH(Table_Process_Details[[#This Row],[Step Name]],Process_Steps[Name],0))</f>
        <v>Another Reference Document!</v>
      </c>
      <c r="K64" s="129" t="str">
        <f>INDEX(Process_Steps[Real or Virtual?],MATCH(Table_Process_Details[[#This Row],[Step Name]],Process_Steps[Name],0))</f>
        <v>Virtual</v>
      </c>
      <c r="L64"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4"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64" s="128">
        <f>INDEX(Table_Process_Details[Physical Mass (kg)],MATCH(1,INDEX(((Table_Process_Details[Step Name]=Table_Process_Details[[#This Row],[Step Name]])*(Table_Process_Details[Input or Output]="Output")),0),0))</f>
        <v>100</v>
      </c>
      <c r="O64" s="130">
        <f ca="1">INDEX(Process_Steps[Step Scale Factor for 1kg Packaged API],MATCH(Table_Process_Details[[#This Row],[Step Name]],Process_Steps[Name],0))</f>
        <v>2.2022389429254559E-2</v>
      </c>
      <c r="P64"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v>
      </c>
      <c r="Q64"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v>
      </c>
      <c r="R64" s="128">
        <f ca="1">_xlfn.SWITCH(Run_Reset_PNG,"Reset",Table_Process_Details[[#This Row],[X Init]],"Run",Table_Process_Details[[#This Row],[X Moved]],"Freeze",Table_Process_Details[[#This Row],[X Mover]])</f>
        <v>25.352355293624477</v>
      </c>
      <c r="S64" s="128">
        <f ca="1">_xlfn.SWITCH(Run_Reset_PNG,"Reset",Table_Process_Details[[#This Row],[Y Init]],"Run",Table_Process_Details[[#This Row],[Y Moved]],"Freeze",Table_Process_Details[[#This Row],[Y Mover]])</f>
        <v>16.489331629258427</v>
      </c>
      <c r="T64" s="128" cm="1">
        <f t="array" aca="1" ref="T6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0.76019585749288321</v>
      </c>
      <c r="U64" s="128" cm="1">
        <f t="array" aca="1" ref="U6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0.45953318812190191</v>
      </c>
      <c r="V64" s="128" cm="1">
        <f t="array" aca="1" ref="V64" ca="1">SUM(--(SQRT((Table_Process_Details[[#This Row],[X Mover]]-Table_Process_Details[X Mover])^2+(Table_Process_Details[[#This Row],[Y Mover]]-Table_Process_Details[Y Mover])^2)&lt;Collision_Distance))</f>
        <v>9</v>
      </c>
      <c r="W64" s="128" cm="1">
        <f t="array" aca="1" ref="W6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-0.17015848552460255</v>
      </c>
      <c r="X64" s="128" cm="1">
        <f t="array" aca="1" ref="X6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0.12576202918023205</v>
      </c>
      <c r="Y64" s="128" cm="1">
        <f t="array" aca="1" ref="Y6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64" s="128">
        <f>0</f>
        <v>0</v>
      </c>
      <c r="AA64" s="128">
        <f>0</f>
        <v>0</v>
      </c>
      <c r="AB64"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-12.676177646812238</v>
      </c>
      <c r="AC64" s="128" cm="1">
        <f t="array" aca="1" ref="AC6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-8.2446658146292133</v>
      </c>
      <c r="AD64" s="128">
        <f>MIN(1,COUNTA(Table_Process_Details[[#This Row],[target x]]),COUNTA(Table_Process_Details[[#This Row],[target y]]))*COUNTA(Table_Process_Details[Step Name])</f>
        <v>98</v>
      </c>
      <c r="AE64"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25.250753253339621</v>
      </c>
      <c r="AF64"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16.498182305770072</v>
      </c>
      <c r="AG64"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64" s="128" t="e" cm="1">
        <f t="array" ref="AH64">INDEX(Table_Process_Details[X Mover],MATCH(1,INDEX((Table_Process_Details[Input or Output]="Output")*(Table_Process_Details[Step Name]=Table_Process_Details[[#This Row],[Step Name]])*(Table_Process_Details[[#This Row],[Input or Output]]="Input"),0),0))</f>
        <v>#N/A</v>
      </c>
      <c r="AI64" s="128" t="e" cm="1">
        <f t="array" ref="AI64">INDEX(Table_Process_Details[Y Mover],MATCH(1,INDEX((Table_Process_Details[Input or Output]="Output")*(Table_Process_Details[Step Name]=Table_Process_Details[[#This Row],[Step Name]])*(Table_Process_Details[[#This Row],[Input or Output]]="Input"),0),0))</f>
        <v>#N/A</v>
      </c>
      <c r="AJ64" s="128" t="e">
        <f>SQRT((Table_Process_Details[[#This Row],[X End (To Node Center)]]-Table_Process_Details[[#This Row],[X Guide]])^2+(Table_Process_Details[[#This Row],[Y End (to Node Center)]]-Table_Process_Details[[#This Row],[Y Guide]])^2)</f>
        <v>#N/A</v>
      </c>
      <c r="AK64" s="128" t="e" cm="1">
        <f t="array" ref="AK64">INDEX(Table_Process_Details[X Mover],MATCH(1,INDEX((Table_Process_Details[Step Name]=Table_Process_Details[[#This Row],[LCA Data Source Subclass]])*(Table_Process_Details[Input or Output]="Output"),0)*(Table_Process_Details[[#This Row],[Input or Output]]="Input"),0))</f>
        <v>#N/A</v>
      </c>
      <c r="AL64" s="128" t="e" cm="1">
        <f t="array" ref="AL64">INDEX(Table_Process_Details[X Mover],MATCH(1,INDEX(((Table_Process_Details[Table Row]=Table_Process_Details[[#This Row],[Table Row]])*(1)),0)*(Table_Process_Details[[#This Row],[Input or Output]]="Input"),0))</f>
        <v>#N/A</v>
      </c>
      <c r="AM64" s="128" t="e" cm="1">
        <f t="array" ref="AM64">(Table_Process_Details[[#This Row],[X End (To Node Center)]]*Table_Process_Details[[#This Row],[r0]]-Table_Process_Details[[#This Row],[X End (To Node Center)]]*Arrow_Offset+Table_Process_Details[[#This Row],[X Guide]]*Arrow_Offset)/Table_Process_Details[[#This Row],[r0]]</f>
        <v>#N/A</v>
      </c>
      <c r="AN64" s="128" t="e">
        <f>IF(NOT(Table_Process_Details[[#This Row],[Display As]]="None"),Table_Process_Details[[#This Row],[X Start Prefilter]],NA())</f>
        <v>#N/A</v>
      </c>
      <c r="AO64" s="128" t="e">
        <f>IF(NOT(Table_Process_Details[[#This Row],[Display As]]="None"),Table_Process_Details[[#This Row],[X Guide Prefilter]],NA())</f>
        <v>#N/A</v>
      </c>
      <c r="AP64" s="128" t="e">
        <f>IF(NOT(Table_Process_Details[[#This Row],[Display As]]="None"),Table_Process_Details[[#This Row],[X End (to Stop Radius) Prefilter]],NA())</f>
        <v>#N/A</v>
      </c>
      <c r="AQ64" s="128" t="e">
        <f>NA()</f>
        <v>#N/A</v>
      </c>
      <c r="AR64" s="128" t="e" cm="1">
        <f t="array" ref="AR64">INDEX(Table_Process_Details[Y Mover],MATCH(1,INDEX((Table_Process_Details[Step Name]=Table_Process_Details[[#This Row],[LCA Data Source Subclass]])*(Table_Process_Details[Input or Output]="Output"),0)*(Table_Process_Details[[#This Row],[Input or Output]]="Input"),0))</f>
        <v>#N/A</v>
      </c>
      <c r="AS64" s="128" t="e" cm="1">
        <f t="array" ref="AS64">INDEX(Table_Process_Details[Y Mover],MATCH(1,INDEX(((Table_Process_Details[Table Row]=Table_Process_Details[[#This Row],[Table Row]])*(1)),0)*(Table_Process_Details[[#This Row],[Input or Output]]="Input"),0))</f>
        <v>#N/A</v>
      </c>
      <c r="AT64" s="128" t="e" cm="1">
        <f t="array" ref="AT64">(Table_Process_Details[[#This Row],[Y Guide]]*Arrow_Offset-Table_Process_Details[[#This Row],[Y End (to Node Center)]]*Arrow_Offset+Table_Process_Details[[#This Row],[Y End (to Node Center)]]*Table_Process_Details[[#This Row],[r0]])/Table_Process_Details[[#This Row],[r0]]</f>
        <v>#N/A</v>
      </c>
      <c r="AU64" s="128" t="e">
        <f>IF(NOT(Table_Process_Details[[#This Row],[Display As]]="None"),Table_Process_Details[[#This Row],[Y Start Prefilter]],NA())</f>
        <v>#N/A</v>
      </c>
      <c r="AV64" s="128" t="e">
        <f>IF(NOT(Table_Process_Details[[#This Row],[Display As]]="None"),Table_Process_Details[[#This Row],[Y Guide Prefilter]],NA())</f>
        <v>#N/A</v>
      </c>
      <c r="AW64" s="128" t="e">
        <f>IF(NOT(Table_Process_Details[[#This Row],[Display As]]="None"),Table_Process_Details[[#This Row],[Y End (to Stop Radius) Prefilter]],NA())</f>
        <v>#N/A</v>
      </c>
      <c r="AX64" s="128" t="e">
        <f>NA()</f>
        <v>#N/A</v>
      </c>
      <c r="AY64" s="128" t="e">
        <f>IF(Table_Process_Details[[#This Row],[Display As]]="Real Step",Table_Process_Details[[#This Row],[X Mover]],NA())</f>
        <v>#N/A</v>
      </c>
      <c r="AZ64" s="128" t="e">
        <f>IF(Table_Process_Details[[#This Row],[Display As]]="Real Step",Table_Process_Details[[#This Row],[Y Mover]],NA())</f>
        <v>#N/A</v>
      </c>
      <c r="BA64" s="128">
        <f ca="1">IF(Table_Process_Details[[#This Row],[Display As]]="Raw Material",Table_Process_Details[[#This Row],[X Mover]],NA())</f>
        <v>25.352355293624477</v>
      </c>
      <c r="BB64" s="128">
        <f ca="1">IF(Table_Process_Details[[#This Row],[Display As]]="Raw Material",Table_Process_Details[[#This Row],[Y Mover]],NA())</f>
        <v>16.489331629258427</v>
      </c>
      <c r="BC64" s="128">
        <f ca="1">IF(OR(Table_Process_Details[[#This Row],[Display As]]="Real Step",Table_Process_Details[[#This Row],[Display As]]="Raw Material"),Table_Process_Details[[#This Row],[X Mover]],NA())</f>
        <v>25.352355293624477</v>
      </c>
      <c r="BD64" s="128">
        <f ca="1">IF(OR(Table_Process_Details[[#This Row],[Display As]]="Real Step",Table_Process_Details[[#This Row],[Display As]]="Raw Material"),Table_Process_Details[[#This Row],[Y Mover]],NA())</f>
        <v>16.489331629258427</v>
      </c>
      <c r="BE64" s="126">
        <f>ROW()-ROW(Table_Process_Details[[#Headers],[Table Row]])</f>
        <v>60</v>
      </c>
      <c r="BF64" s="122" t="e" cm="1">
        <f t="array" aca="1" ref="BF64" ca="1">INDEX(Table_Process_Details[Display Name],MATCH(0,IF(Table_Process_Details[Input or Output]="Input",INDEX(COUNTIF(OFFSET(Table_Process_Details[[#Headers],[Unique Process Inputs]],0,0,Table_Process_Details[[#This Row],[Table Row]],1),Table_Process_Details[Display Name]),),""),0))</f>
        <v>#N/A</v>
      </c>
      <c r="BG64" s="122">
        <f ca="1">Table_Process_Details[[#This Row],[Physical Mass (kg)]]*Table_Process_Details[[#This Row],[Step Scale Factor for 1kg Packaged API]]</f>
        <v>2.2022389429254559</v>
      </c>
      <c r="BH64"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4" s="122">
        <f ca="1">MATCH(Table_Process_Details[[#This Row],[LCA Data Source Class]],INDIRECT(Table_Process_Details[[#This Row],[Input or Output]]),0)</f>
        <v>1</v>
      </c>
      <c r="BJ64" s="122">
        <f ca="1">MATCH(Table_Process_Details[[#This Row],[LCA Data Source Subclass]],INDIRECT(Table_Process_Details[[#This Row],[LCA Data Source Class]]&amp;"[Name]"),0)</f>
        <v>1</v>
      </c>
      <c r="BK64" s="122">
        <f ca="1">IFERROR(INDEX(INDIRECT(Table_Process_Details[[#This Row],[LCA Data Source Class]]&amp;"[Mass Net (kg)]"),MATCH(Table_Process_Details[[#This Row],[LCA Data Source Subclass]],INDIRECT(Table_Process_Details[[#This Row],[LCA Data Source Class]]&amp;"[Name]"),0)),0)</f>
        <v>0</v>
      </c>
      <c r="BL64" s="122">
        <f ca="1">IFERROR(INDEX(INDIRECT(Table_Process_Details[[#This Row],[LCA Data Source Class]]&amp;"[Energy (MJ)]"),MATCH(Table_Process_Details[[#This Row],[LCA Data Source Subclass]],INDIRECT(Table_Process_Details[[#This Row],[LCA Data Source Class]]&amp;"[Name]"),0)),0)</f>
        <v>0</v>
      </c>
      <c r="BM64" s="122">
        <f ca="1">IFERROR(INDEX(INDIRECT(Table_Process_Details[[#This Row],[LCA Data Source Class]]&amp;"[GWP (kg CO2 equiv.)]"),MATCH(Table_Process_Details[[#This Row],[LCA Data Source Subclass]],INDIRECT(Table_Process_Details[[#This Row],[LCA Data Source Class]]&amp;"[Name]"),0)),0)</f>
        <v>0</v>
      </c>
      <c r="BN64" s="122">
        <f ca="1">IFERROR(INDEX(INDIRECT(Table_Process_Details[[#This Row],[LCA Data Source Class]]&amp;"[Acidification (kg SO2 equiv.)]"),MATCH(Table_Process_Details[[#This Row],[LCA Data Source Subclass]],INDIRECT(Table_Process_Details[[#This Row],[LCA Data Source Class]]&amp;"[Name]"),0)),0)</f>
        <v>0</v>
      </c>
      <c r="BO64" s="122">
        <f ca="1">IFERROR(INDEX(INDIRECT(Table_Process_Details[[#This Row],[LCA Data Source Class]]&amp;"[Eutrophication (kg posphate equiv.)]"),MATCH(Table_Process_Details[[#This Row],[LCA Data Source Subclass]],INDIRECT(Table_Process_Details[[#This Row],[LCA Data Source Class]]&amp;"[Name]"),0)),0)</f>
        <v>0</v>
      </c>
      <c r="BP64" s="122">
        <f ca="1">IFERROR(INDEX(INDIRECT(Table_Process_Details[[#This Row],[LCA Data Source Class]]&amp;"[Water (kg)]"),MATCH(Table_Process_Details[[#This Row],[LCA Data Source Subclass]],INDIRECT(Table_Process_Details[[#This Row],[LCA Data Source Class]]&amp;"[Name]"),0)),0)</f>
        <v>0</v>
      </c>
      <c r="BQ64" s="129">
        <f ca="1">(Table_Process_Details[[#This Row],[Input or Output]]="Input")*(Table_Process_Details[[#This Row],[LCA Data Source Class]]&lt;&gt;"Process_Steps")*Table_Process_Details[[#This Row],[Scaled Physical Mass per kg API for All Inputs &amp; Outputs]]</f>
        <v>0</v>
      </c>
      <c r="BR64" s="129">
        <f ca="1">(Table_Process_Details[[#This Row],[Material Class]]="REAGENT")*Table_Process_Details[[#This Row],[Physical Mass per kg API]]</f>
        <v>0</v>
      </c>
      <c r="BS64" s="129">
        <f ca="1">(Table_Process_Details[[#This Row],[Material Class]]="METAL")*Table_Process_Details[[#This Row],[Physical Mass per kg API]]</f>
        <v>0</v>
      </c>
      <c r="BT64" s="129">
        <f ca="1">(Table_Process_Details[[#This Row],[Material Class]]="SOLVENT")*Table_Process_Details[[#This Row],[Physical Mass per kg API]]</f>
        <v>0</v>
      </c>
      <c r="BU64" s="129">
        <f ca="1">(Table_Process_Details[[#This Row],[Material Class]]="WATER")*Table_Process_Details[[#This Row],[Physical Mass per kg API]]</f>
        <v>0</v>
      </c>
      <c r="BV64" s="129">
        <f ca="1">(Table_Process_Details[[#This Row],[Material Class]]="ENZ&amp;PLNT")*Table_Process_Details[[#This Row],[Physical Mass per kg API]]</f>
        <v>0</v>
      </c>
      <c r="BW64" s="129">
        <f ca="1">(Table_Process_Details[[#This Row],[Material Class]]="OTHER")*Table_Process_Details[[#This Row],[Physical Mass per kg API]]</f>
        <v>0</v>
      </c>
      <c r="BX64"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4"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4"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4"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4"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4"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4"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4" s="131">
        <f ca="1">SUMIFS(Table_Process_Details[RV Physical Mass per kg API],Table_Process_Details[Display Name],Table_Process_Details[[#This Row],[Unique Process Inputs]],Table_Process_Details[Input or Output],"Input")</f>
        <v>0</v>
      </c>
      <c r="CF64" s="131">
        <f ca="1">SUMIFS(Table_Process_Details[RV Physical Mass per kg API (REAGENT)],Table_Process_Details[Display Name],Table_Process_Details[[#This Row],[Unique Process Inputs]],Table_Process_Details[Input or Output],"Input")</f>
        <v>0</v>
      </c>
      <c r="CG64" s="131">
        <f ca="1">SUMIFS(Table_Process_Details[RV Physical Mass per kg API (METAL)],Table_Process_Details[Display Name],Table_Process_Details[[#This Row],[Unique Process Inputs]],Table_Process_Details[Input or Output],"Input")</f>
        <v>0</v>
      </c>
      <c r="CH64" s="131">
        <f ca="1">SUMIFS(Table_Process_Details[RV Physical Mass per kg API (SOLVENT)],Table_Process_Details[Display Name],Table_Process_Details[[#This Row],[Unique Process Inputs]],Table_Process_Details[Input or Output],"Input")</f>
        <v>0</v>
      </c>
      <c r="CI64" s="131">
        <f ca="1">SUMIFS(Table_Process_Details[RV Physical Mass per kg API (WATER)],Table_Process_Details[Display Name],Table_Process_Details[[#This Row],[Unique Process Inputs]],Table_Process_Details[Input or Output],"Input")</f>
        <v>0</v>
      </c>
      <c r="CJ64" s="131">
        <f ca="1">SUMIFS(Table_Process_Details[RV Physical Mass per kg API (ENZ&amp;PLNT)],Table_Process_Details[Display Name],Table_Process_Details[[#This Row],[Unique Process Inputs]],Table_Process_Details[Input or Output],"Input")</f>
        <v>0</v>
      </c>
      <c r="CK64" s="131">
        <f ca="1">SUMIFS(Table_Process_Details[RV Physical Mass per kg API (OTHER)],Table_Process_Details[Display Name],Table_Process_Details[[#This Row],[Unique Process Inputs]],Table_Process_Details[Input or Output],"Input")</f>
        <v>0</v>
      </c>
      <c r="CL64" s="126" t="e">
        <f ca="1">INDEX(Table_Process_Details[Unique Process Inputs],MATCH(Table_Process_Details[[#This Row],['[Physical Mass per kg API'] of Unique Inputs Sorted by '[Physical Mass per kg API']]],Table_Process_Details[Total '[Physical Mass per kg API'] of Unique Inputs],0))</f>
        <v>#N/A</v>
      </c>
      <c r="CM64" s="126" t="e">
        <f ca="1">IF(LARGE(Table_Process_Details[Total '[Physical Mass per kg API'] of Unique Inputs],Table_Process_Details[[#This Row],[Table Row]])=0,NA(),LARGE(Table_Process_Details[Total '[Physical Mass per kg API'] of Unique Inputs],Table_Process_Details[[#This Row],[Table Row]]))</f>
        <v>#N/A</v>
      </c>
      <c r="CN64" s="126" t="e">
        <f ca="1">SUM(OFFSET(Table_Process_Details['[Physical Mass per kg API'] of Unique Inputs Sorted by '[Physical Mass per kg API']],0,0,Table_Process_Details[[#This Row],[Table Row]]))</f>
        <v>#N/A</v>
      </c>
      <c r="CO64" s="126" t="e">
        <f ca="1">"("&amp;TEXT(Table_Process_Details[[#This Row],['[Physical Mass per kg API'] of Unique Inputs Sorted by '[Physical Mass per kg API']]]/SUMIF(Table_Process_Details['[Physical Mass per kg API'] of Unique Inputs Sorted by '[Physical Mass per kg API']],"&lt;&gt;#N/A"),"0%")&amp;")"</f>
        <v>#N/A</v>
      </c>
      <c r="CP64" s="126" t="e">
        <f ca="1">INDEX(Table_Process_Details[Total '[Physical Mass per kg API'] of Unique Inputs (REAGENT)],MATCH(Table_Process_Details[[#This Row],[Unique Inputs Sorted by '[Physical Mass per kg API']]],Table_Process_Details[Unique Process Inputs],0))</f>
        <v>#N/A</v>
      </c>
      <c r="CQ64" s="126" t="e">
        <f ca="1">INDEX(Table_Process_Details[Total '[Physical Mass per kg API'] of Unique Inputs (METAL)],MATCH(Table_Process_Details[[#This Row],[Unique Inputs Sorted by '[Physical Mass per kg API']]],Table_Process_Details[Unique Process Inputs],0))</f>
        <v>#N/A</v>
      </c>
      <c r="CR64" s="126" t="e">
        <f ca="1">INDEX(Table_Process_Details[Total '[Physical Mass per kg API'] of Unique Inputs (SOLVENT)],MATCH(Table_Process_Details[[#This Row],[Unique Inputs Sorted by '[Physical Mass per kg API']]],Table_Process_Details[Unique Process Inputs],0))</f>
        <v>#N/A</v>
      </c>
      <c r="CS64" s="126" t="e">
        <f ca="1">INDEX(Table_Process_Details[Total '[Physical Mass per kg API'] of Unique Inputs (WATER)],MATCH(Table_Process_Details[[#This Row],[Unique Inputs Sorted by '[Physical Mass per kg API']]],Table_Process_Details[Unique Process Inputs],0))</f>
        <v>#N/A</v>
      </c>
      <c r="CT64" s="126" t="e">
        <f ca="1">INDEX(Table_Process_Details[Total '[Physical Mass per kg API'] of Unique Inputs (ENZ&amp;PLNT)],MATCH(Table_Process_Details[[#This Row],[Unique Inputs Sorted by '[Physical Mass per kg API']]],Table_Process_Details[Unique Process Inputs],0))</f>
        <v>#N/A</v>
      </c>
      <c r="CU64" s="126" t="e">
        <f ca="1">INDEX(Table_Process_Details[Total '[Physical Mass per kg API'] of Unique Inputs (OTHER)],MATCH(Table_Process_Details[[#This Row],[Unique Inputs Sorted by '[Physical Mass per kg API']]],Table_Process_Details[Unique Process Inputs],0))</f>
        <v>#N/A</v>
      </c>
      <c r="CV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4"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4" s="126">
        <f ca="1">SUMIFS(Table_Process_Details[RV Mass Net (kg) per kg API],Table_Process_Details[Display Name],Table_Process_Details[[#This Row],[Unique Process Inputs]],Table_Process_Details[Input or Output],"Input")</f>
        <v>0</v>
      </c>
      <c r="DD64" s="126">
        <f ca="1">SUMIFS(Table_Process_Details[RV Mass Net (kg) per kg API (REAGENT)],Table_Process_Details[Display Name],Table_Process_Details[[#This Row],[Unique Process Inputs]],Table_Process_Details[Input or Output],"Input")</f>
        <v>0</v>
      </c>
      <c r="DE64" s="126">
        <f ca="1">SUMIFS(Table_Process_Details[RV Mass Net (kg) per kg API (METAL)],Table_Process_Details[Display Name],Table_Process_Details[[#This Row],[Unique Process Inputs]],Table_Process_Details[Input or Output],"Input")</f>
        <v>0</v>
      </c>
      <c r="DF64" s="126">
        <f ca="1">SUMIFS(Table_Process_Details[RV Mass Net (kg) per kg API (SOLVENT)],Table_Process_Details[Display Name],Table_Process_Details[[#This Row],[Unique Process Inputs]],Table_Process_Details[Input or Output],"Input")</f>
        <v>0</v>
      </c>
      <c r="DG64" s="126">
        <f ca="1">SUMIFS(Table_Process_Details[RV Mass Net (kg) per kg API (WATER)],Table_Process_Details[Display Name],Table_Process_Details[[#This Row],[Unique Process Inputs]],Table_Process_Details[Input or Output],"Input")</f>
        <v>0</v>
      </c>
      <c r="DH64" s="126">
        <f ca="1">SUMIFS(Table_Process_Details[RV Mass Net (kg) per kg API (ENZ&amp;PLNT)],Table_Process_Details[Display Name],Table_Process_Details[[#This Row],[Unique Process Inputs]],Table_Process_Details[Input or Output],"Input")</f>
        <v>0</v>
      </c>
      <c r="DI64" s="126">
        <f ca="1">SUMIFS(Table_Process_Details[RV Mass Net (kg) per kg API (OTHER)],Table_Process_Details[Display Name],Table_Process_Details[[#This Row],[Unique Process Inputs]],Table_Process_Details[Input or Output],"Input")</f>
        <v>0</v>
      </c>
      <c r="DJ64" s="126" t="e">
        <f ca="1">INDEX(Table_Process_Details[Unique Process Inputs],MATCH(Table_Process_Details[[#This Row],['[Mass Net (kg) per kg API'] of Unique Inputs Sorted by '[Mass Net (kg) per kg API']]],Table_Process_Details[Total '[Mass Net (kg) per kg API'] of Unique Inputs],0))</f>
        <v>#N/A</v>
      </c>
      <c r="DK64" s="126" t="e">
        <f ca="1">IF(LARGE(Table_Process_Details[Total '[Mass Net (kg) per kg API'] of Unique Inputs],Table_Process_Details[[#This Row],[Table Row]])=0,NA(),LARGE(Table_Process_Details[Total '[Mass Net (kg) per kg API'] of Unique Inputs],Table_Process_Details[[#This Row],[Table Row]]))</f>
        <v>#N/A</v>
      </c>
      <c r="DL64" s="126" t="e">
        <f ca="1">SUM(OFFSET(Table_Process_Details['[Mass Net (kg) per kg API'] of Unique Inputs Sorted by '[Mass Net (kg) per kg API']],0,0,Table_Process_Details[[#This Row],[Table Row]]))</f>
        <v>#N/A</v>
      </c>
      <c r="DM64" s="126" t="e">
        <f ca="1">"("&amp;TEXT(Table_Process_Details[[#This Row],['[Mass Net (kg) per kg API'] of Unique Inputs Sorted by '[Mass Net (kg) per kg API']]]/SUMIF(Table_Process_Details['[Mass Net (kg) per kg API'] of Unique Inputs Sorted by '[Mass Net (kg) per kg API']],"&lt;&gt;#N/A"),"0%")&amp;")"</f>
        <v>#N/A</v>
      </c>
      <c r="DN64" s="126" t="e">
        <f ca="1">INDEX(Table_Process_Details[Total '[Mass Net (kg) per kg API'] of Unique Inputs (REAGENT)], MATCH(Table_Process_Details[[#This Row],[Unique Inputs Sorted by '[Mass Net (kg) per kg API']]],Table_Process_Details[Unique Process Inputs],0))</f>
        <v>#N/A</v>
      </c>
      <c r="DO64" s="126" t="e">
        <f ca="1">INDEX(Table_Process_Details[Total '[Mass Net (kg) per kg API'] of Unique Inputs (METAL)], MATCH(Table_Process_Details[[#This Row],[Unique Inputs Sorted by '[Mass Net (kg) per kg API']]],Table_Process_Details[Unique Process Inputs],0))</f>
        <v>#N/A</v>
      </c>
      <c r="DP64" s="126" t="e">
        <f ca="1">INDEX(Table_Process_Details[Total '[Mass Net (kg) per kg API'] of Unique Inputs (SOLVENT)], MATCH(Table_Process_Details[[#This Row],[Unique Inputs Sorted by '[Mass Net (kg) per kg API']]],Table_Process_Details[Unique Process Inputs],0))</f>
        <v>#N/A</v>
      </c>
      <c r="DQ64" s="126" t="e">
        <f ca="1">INDEX(Table_Process_Details[Total '[Mass Net (kg) per kg API'] of Unique Inputs (WATER)], MATCH(Table_Process_Details[[#This Row],[Unique Inputs Sorted by '[Mass Net (kg) per kg API']]],Table_Process_Details[Unique Process Inputs],0))</f>
        <v>#N/A</v>
      </c>
      <c r="DR64" s="126" t="e">
        <f ca="1">INDEX(Table_Process_Details[Total '[Mass Net (kg) per kg API'] of Unique Inputs (ENZ&amp;PLNT)], MATCH(Table_Process_Details[[#This Row],[Unique Inputs Sorted by '[Mass Net (kg) per kg API']]],Table_Process_Details[Unique Process Inputs],0))</f>
        <v>#N/A</v>
      </c>
      <c r="DS64" s="126" t="e">
        <f ca="1">INDEX(Table_Process_Details[Total '[Mass Net (kg) per kg API'] of Unique Inputs (OTHER)], MATCH(Table_Process_Details[[#This Row],[Unique Inputs Sorted by '[Mass Net (kg) per kg API']]],Table_Process_Details[Unique Process Inputs],0))</f>
        <v>#N/A</v>
      </c>
      <c r="DT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4"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4" s="131">
        <f ca="1">SUMIFS(Table_Process_Details[RV Energy (MJ) per kg API],Table_Process_Details[Display Name],Table_Process_Details[[#This Row],[Unique Process Inputs]],Table_Process_Details[Input or Output],"Input")</f>
        <v>0</v>
      </c>
      <c r="EB64" s="131">
        <f ca="1">SUMIFS(Table_Process_Details[RV Energy (MJ) per kg API (REAGENT)],Table_Process_Details[Display Name],Table_Process_Details[[#This Row],[Unique Process Inputs]],Table_Process_Details[Input or Output],"Input")</f>
        <v>0</v>
      </c>
      <c r="EC64" s="131">
        <f ca="1">SUMIFS(Table_Process_Details[RV Energy (MJ) per kg API (METAL)],Table_Process_Details[Display Name],Table_Process_Details[[#This Row],[Unique Process Inputs]],Table_Process_Details[Input or Output],"Input")</f>
        <v>0</v>
      </c>
      <c r="ED64" s="131">
        <f ca="1">SUMIFS(Table_Process_Details[RV Energy (MJ) per kg API (SOLVENT)],Table_Process_Details[Display Name],Table_Process_Details[[#This Row],[Unique Process Inputs]],Table_Process_Details[Input or Output],"Input")</f>
        <v>0</v>
      </c>
      <c r="EE64" s="131">
        <f ca="1">SUMIFS(Table_Process_Details[RV Energy (MJ) per kg API (WATER)],Table_Process_Details[Display Name],Table_Process_Details[[#This Row],[Unique Process Inputs]],Table_Process_Details[Input or Output],"Input")</f>
        <v>0</v>
      </c>
      <c r="EF64" s="131">
        <f ca="1">SUMIFS(Table_Process_Details[RV Energy (MJ) per kg API (ENZ&amp;PLNT)],Table_Process_Details[Display Name],Table_Process_Details[[#This Row],[Unique Process Inputs]],Table_Process_Details[Input or Output],"Input")</f>
        <v>0</v>
      </c>
      <c r="EG64" s="131">
        <f ca="1">SUMIFS(Table_Process_Details[RV Energy (MJ) per kg API (OTHER)],Table_Process_Details[Display Name],Table_Process_Details[[#This Row],[Unique Process Inputs]],Table_Process_Details[Input or Output],"Input")</f>
        <v>0</v>
      </c>
      <c r="EH64" s="131" t="e">
        <f ca="1">INDEX(Table_Process_Details[Unique Process Inputs],MATCH(Table_Process_Details[[#This Row],['[Energy (MJ) per kg API'] of Unique Inputs Sorted by '[Energy (MJ) per kg API']]],Table_Process_Details[Total '[Energy (MJ) per kg API'] of Unique Inputs],0))</f>
        <v>#N/A</v>
      </c>
      <c r="EI64" s="126" t="e">
        <f ca="1">IF(LARGE(Table_Process_Details[Total '[Energy (MJ) per kg API'] of Unique Inputs],Table_Process_Details[[#This Row],[Table Row]])=0,NA(),LARGE(Table_Process_Details[Total '[Energy (MJ) per kg API'] of Unique Inputs],Table_Process_Details[[#This Row],[Table Row]]))</f>
        <v>#N/A</v>
      </c>
      <c r="EJ64" s="126" t="e">
        <f ca="1">SUM(OFFSET(Table_Process_Details['[Energy (MJ) per kg API'] of Unique Inputs Sorted by '[Energy (MJ) per kg API']],0,0,Table_Process_Details[[#This Row],[Table Row]]))</f>
        <v>#N/A</v>
      </c>
      <c r="EK64" s="126" t="e">
        <f ca="1">"("&amp;TEXT(Table_Process_Details[[#This Row],['[Energy (MJ) per kg API'] of Unique Inputs Sorted by '[Energy (MJ) per kg API']]]/SUMIF(Table_Process_Details['[Energy (MJ) per kg API'] of Unique Inputs Sorted by '[Energy (MJ) per kg API']],"&lt;&gt;#N/A"),"0%")&amp;")"</f>
        <v>#N/A</v>
      </c>
      <c r="EL64" s="126" t="e">
        <f ca="1">INDEX(Table_Process_Details[Total '[Energy (MJ) per kg API'] of Unique Inputs (REAGENT)], MATCH(Table_Process_Details[[#This Row],[Unique Inputs Sorted by '[Energy (MJ) per kg API']]],Table_Process_Details[Unique Process Inputs],0))</f>
        <v>#N/A</v>
      </c>
      <c r="EM64" s="126" t="e">
        <f ca="1">INDEX(Table_Process_Details[Total '[Energy (MJ) per kg API'] of Unique Inputs (METAL)], MATCH(Table_Process_Details[[#This Row],[Unique Inputs Sorted by '[Energy (MJ) per kg API']]],Table_Process_Details[Unique Process Inputs],0))</f>
        <v>#N/A</v>
      </c>
      <c r="EN64" s="126" t="e">
        <f ca="1">INDEX(Table_Process_Details[Total '[Energy (MJ) per kg API'] of Unique Inputs (SOLVENT)], MATCH(Table_Process_Details[[#This Row],[Unique Inputs Sorted by '[Energy (MJ) per kg API']]],Table_Process_Details[Unique Process Inputs],0))</f>
        <v>#N/A</v>
      </c>
      <c r="EO64" s="126" t="e">
        <f ca="1">INDEX(Table_Process_Details[Total '[Energy (MJ) per kg API'] of Unique Inputs (WATER)], MATCH(Table_Process_Details[[#This Row],[Unique Inputs Sorted by '[Energy (MJ) per kg API']]],Table_Process_Details[Unique Process Inputs],0))</f>
        <v>#N/A</v>
      </c>
      <c r="EP64" s="126" t="e">
        <f ca="1">INDEX(Table_Process_Details[Total '[Energy (MJ) per kg API'] of Unique Inputs (ENZ&amp;PLNT)], MATCH(Table_Process_Details[[#This Row],[Unique Inputs Sorted by '[Energy (MJ) per kg API']]],Table_Process_Details[Unique Process Inputs],0))</f>
        <v>#N/A</v>
      </c>
      <c r="EQ64" s="126" t="e">
        <f ca="1">INDEX(Table_Process_Details[Total '[Energy (MJ) per kg API'] of Unique Inputs (OTHER)], MATCH(Table_Process_Details[[#This Row],[Unique Inputs Sorted by '[Energy (MJ) per kg API']]],Table_Process_Details[Unique Process Inputs],0))</f>
        <v>#N/A</v>
      </c>
      <c r="ER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4"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4" s="126">
        <f ca="1">SUMIFS(Table_Process_Details[RV GWP (kg CO2 equiv.) per kg API],Table_Process_Details[Display Name],Table_Process_Details[[#This Row],[Unique Process Inputs]],Table_Process_Details[Input or Output],"Input")</f>
        <v>0</v>
      </c>
      <c r="EZ64" s="131">
        <f ca="1">SUMIFS(Table_Process_Details[RV GWP (kg CO2 equiv.) per kg API (REAGENT)],Table_Process_Details[Display Name],Table_Process_Details[[#This Row],[Unique Process Inputs]],Table_Process_Details[Input or Output],"Input")</f>
        <v>0</v>
      </c>
      <c r="FA64" s="131">
        <f ca="1">SUMIFS(Table_Process_Details[RV GWP (kg CO2 equiv.) per kg API (METAL)],Table_Process_Details[Display Name],Table_Process_Details[[#This Row],[Unique Process Inputs]],Table_Process_Details[Input or Output],"Input")</f>
        <v>0</v>
      </c>
      <c r="FB64" s="131">
        <f ca="1">SUMIFS(Table_Process_Details[RV GWP (kg CO2 equiv.) per kg API (SOLVENT)],Table_Process_Details[Display Name],Table_Process_Details[[#This Row],[Unique Process Inputs]],Table_Process_Details[Input or Output],"Input")</f>
        <v>0</v>
      </c>
      <c r="FC64" s="131">
        <f ca="1">SUMIFS(Table_Process_Details[RV GWP (kg CO2 equiv.) per kg API (WATER)],Table_Process_Details[Display Name],Table_Process_Details[[#This Row],[Unique Process Inputs]],Table_Process_Details[Input or Output],"Input")</f>
        <v>0</v>
      </c>
      <c r="FD64" s="131">
        <f ca="1">SUMIFS(Table_Process_Details[RV GWP (kg CO2 equiv.) per kg API (ENZ&amp;PLNT)],Table_Process_Details[Display Name],Table_Process_Details[[#This Row],[Unique Process Inputs]],Table_Process_Details[Input or Output],"Input")</f>
        <v>0</v>
      </c>
      <c r="FE64" s="131">
        <f ca="1">SUMIFS(Table_Process_Details[RV GWP (kg CO2 equiv.) per kg API (OTHER)],Table_Process_Details[Display Name],Table_Process_Details[[#This Row],[Unique Process Inputs]],Table_Process_Details[Input or Output],"Input")</f>
        <v>0</v>
      </c>
      <c r="FF64" s="126" t="e">
        <f ca="1">INDEX(Table_Process_Details[Unique Process Inputs],MATCH(Table_Process_Details[[#This Row],['[GWP (kg CO2 equiv.) per kg API'] of Unique Inputs Sorted by '[GWP (kg CO2 equiv.) per kg API']]],Table_Process_Details[Total '[GWP (kg CO2 equiv.) per kg API'] of Unique Inputs],0))</f>
        <v>#N/A</v>
      </c>
      <c r="FG64" s="126" t="e">
        <f ca="1">IF(LARGE(Table_Process_Details[Total '[GWP (kg CO2 equiv.) per kg API'] of Unique Inputs],Table_Process_Details[[#This Row],[Table Row]])=0,NA(),LARGE(Table_Process_Details[Total '[GWP (kg CO2 equiv.) per kg API'] of Unique Inputs],Table_Process_Details[[#This Row],[Table Row]]))</f>
        <v>#N/A</v>
      </c>
      <c r="FH64" s="126" t="e">
        <f ca="1">SUM(OFFSET(Table_Process_Details['[GWP (kg CO2 equiv.) per kg API'] of Unique Inputs Sorted by '[GWP (kg CO2 equiv.) per kg API']],0,0,Table_Process_Details[[#This Row],[Table Row]]))</f>
        <v>#N/A</v>
      </c>
      <c r="FI64" s="126" t="e">
        <f ca="1">"("&amp;TEXT(Table_Process_Details[[#This Row],['[GWP (kg CO2 equiv.) per kg API'] of Unique Inputs Sorted by '[GWP (kg CO2 equiv.) per kg API']]]/SUMIF(Table_Process_Details['[GWP (kg CO2 equiv.) per kg API'] of Unique Inputs Sorted by '[GWP (kg CO2 equiv.) per kg API']],"&lt;&gt;#N/A"),"0%")&amp;")"</f>
        <v>#N/A</v>
      </c>
      <c r="FJ64" s="126" t="e">
        <f ca="1">INDEX(Table_Process_Details[Total '[GWP (kg CO2 equiv.) per kg API'] of Unique Inputs (REAGENT)], MATCH(Table_Process_Details[[#This Row],[Unique Inputs Sorted by '[GWP (kg CO2 equiv.) per kg API']]],Table_Process_Details[Unique Process Inputs],0))</f>
        <v>#N/A</v>
      </c>
      <c r="FK64" s="126" t="e">
        <f ca="1">INDEX(Table_Process_Details[Total '[GWP (kg CO2 equiv.) per kg API'] of Unique Inputs (METAL)], MATCH(Table_Process_Details[[#This Row],[Unique Inputs Sorted by '[GWP (kg CO2 equiv.) per kg API']]],Table_Process_Details[Unique Process Inputs],0))</f>
        <v>#N/A</v>
      </c>
      <c r="FL64" s="126" t="e">
        <f ca="1">INDEX(Table_Process_Details[Total '[GWP (kg CO2 equiv.) per kg API'] of Unique Inputs (SOLVENT)], MATCH(Table_Process_Details[[#This Row],[Unique Inputs Sorted by '[GWP (kg CO2 equiv.) per kg API']]],Table_Process_Details[Unique Process Inputs],0))</f>
        <v>#N/A</v>
      </c>
      <c r="FM64" s="126" t="e">
        <f ca="1">INDEX(Table_Process_Details[Total '[GWP (kg CO2 equiv.) per kg API'] of Unique Inputs (WATER)], MATCH(Table_Process_Details[[#This Row],[Unique Inputs Sorted by '[GWP (kg CO2 equiv.) per kg API']]],Table_Process_Details[Unique Process Inputs],0))</f>
        <v>#N/A</v>
      </c>
      <c r="FN64" s="126" t="e">
        <f ca="1">INDEX(Table_Process_Details[Total '[GWP (kg CO2 equiv.) per kg API'] of Unique Inputs (ENZ&amp;PLNT)], MATCH(Table_Process_Details[[#This Row],[Unique Inputs Sorted by '[GWP (kg CO2 equiv.) per kg API']]],Table_Process_Details[Unique Process Inputs],0))</f>
        <v>#N/A</v>
      </c>
      <c r="FO64" s="126" t="e">
        <f ca="1">INDEX(Table_Process_Details[Total '[GWP (kg CO2 equiv.) per kg API'] of Unique Inputs (OTHER)], MATCH(Table_Process_Details[[#This Row],[Unique Inputs Sorted by '[GWP (kg CO2 equiv.) per kg API']]],Table_Process_Details[Unique Process Inputs],0))</f>
        <v>#N/A</v>
      </c>
      <c r="FP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4"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4" s="126">
        <f ca="1">SUMIFS(Table_Process_Details[RV Acidification (kg SO2 equiv.) per kg API],Table_Process_Details[Display Name],Table_Process_Details[[#This Row],[Unique Process Inputs]],Table_Process_Details[Input or Output],"Input")</f>
        <v>0</v>
      </c>
      <c r="FX64" s="131">
        <f ca="1">SUMIFS(Table_Process_Details[RV Acidification (kg SO2 equiv.) per kg API (REAGENT)],Table_Process_Details[Display Name],Table_Process_Details[[#This Row],[Unique Process Inputs]],Table_Process_Details[Input or Output],"Input")</f>
        <v>0</v>
      </c>
      <c r="FY64" s="131">
        <f ca="1">SUMIFS(Table_Process_Details[RV Acidification (kg SO2 equiv.) per kg API (METAL)],Table_Process_Details[Display Name],Table_Process_Details[[#This Row],[Unique Process Inputs]],Table_Process_Details[Input or Output],"Input")</f>
        <v>0</v>
      </c>
      <c r="FZ64" s="131">
        <f ca="1">SUMIFS(Table_Process_Details[RV Acidification (kg SO2 equiv.) per kg API (SOLVENT)],Table_Process_Details[Display Name],Table_Process_Details[[#This Row],[Unique Process Inputs]],Table_Process_Details[Input or Output],"Input")</f>
        <v>0</v>
      </c>
      <c r="GA64" s="131">
        <f ca="1">SUMIFS(Table_Process_Details[RV Acidification (kg SO2 equiv.) per kg API (WATER)],Table_Process_Details[Display Name],Table_Process_Details[[#This Row],[Unique Process Inputs]],Table_Process_Details[Input or Output],"Input")</f>
        <v>0</v>
      </c>
      <c r="GB64" s="131">
        <f ca="1">SUMIFS(Table_Process_Details[RV Acidification (kg SO2 equiv.) per kg API (ENZ&amp;PLNT)],Table_Process_Details[Display Name],Table_Process_Details[[#This Row],[Unique Process Inputs]],Table_Process_Details[Input or Output],"Input")</f>
        <v>0</v>
      </c>
      <c r="GC64" s="131">
        <f ca="1">SUMIFS(Table_Process_Details[RV Acidification (kg SO2 equiv.) per kg API (OTHER)],Table_Process_Details[Display Name],Table_Process_Details[[#This Row],[Unique Process Inputs]],Table_Process_Details[Input or Output],"Input")</f>
        <v>0</v>
      </c>
      <c r="GD64"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4"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64" s="126" t="e">
        <f ca="1">SUM(OFFSET(Table_Process_Details['[Acidification (kg SO2 equiv.) per kg API'] of Unique Inputs Sorted by '[Acidification (kg SO2 equiv.) per kg API']],0,0,Table_Process_Details[[#This Row],[Table Row]]))</f>
        <v>#N/A</v>
      </c>
      <c r="GG64"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4" s="126" t="e">
        <f ca="1">INDEX(Table_Process_Details[Total '[Acidification (kg SO2 equiv.) per kg API'] of Unique Inputs (REAGENT)], MATCH(Table_Process_Details[[#This Row],[Unique Inputs Sorted by '[Acidification (kg SO2 equiv.) per kg API']]],Table_Process_Details[Unique Process Inputs],0))</f>
        <v>#N/A</v>
      </c>
      <c r="GI64" s="126" t="e">
        <f ca="1">INDEX(Table_Process_Details[Total '[Acidification (kg SO2 equiv.) per kg API'] of Unique Inputs (METAL)], MATCH(Table_Process_Details[[#This Row],[Unique Inputs Sorted by '[Acidification (kg SO2 equiv.) per kg API']]],Table_Process_Details[Unique Process Inputs],0))</f>
        <v>#N/A</v>
      </c>
      <c r="GJ64" s="126" t="e">
        <f ca="1">INDEX(Table_Process_Details[Total '[Acidification (kg SO2 equiv.) per kg API'] of Unique Inputs (SOLVENT)], MATCH(Table_Process_Details[[#This Row],[Unique Inputs Sorted by '[Acidification (kg SO2 equiv.) per kg API']]],Table_Process_Details[Unique Process Inputs],0))</f>
        <v>#N/A</v>
      </c>
      <c r="GK64" s="126" t="e">
        <f ca="1">INDEX(Table_Process_Details[Total '[Acidification (kg SO2 equiv.) per kg API'] of Unique Inputs (WATER)], MATCH(Table_Process_Details[[#This Row],[Unique Inputs Sorted by '[Acidification (kg SO2 equiv.) per kg API']]],Table_Process_Details[Unique Process Inputs],0))</f>
        <v>#N/A</v>
      </c>
      <c r="GL64" s="126" t="e">
        <f ca="1">INDEX(Table_Process_Details[Total '[Acidification (kg SO2 equiv.) per kg API'] of Unique Inputs (ENZ&amp;PLNT)], MATCH(Table_Process_Details[[#This Row],[Unique Inputs Sorted by '[Acidification (kg SO2 equiv.) per kg API']]],Table_Process_Details[Unique Process Inputs],0))</f>
        <v>#N/A</v>
      </c>
      <c r="GM64" s="126" t="e">
        <f ca="1">INDEX(Table_Process_Details[Total '[Acidification (kg SO2 equiv.) per kg API'] of Unique Inputs (OTHER)], MATCH(Table_Process_Details[[#This Row],[Unique Inputs Sorted by '[Acidification (kg SO2 equiv.) per kg API']]],Table_Process_Details[Unique Process Inputs],0))</f>
        <v>#N/A</v>
      </c>
      <c r="GN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4"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4" s="126">
        <f ca="1">SUMIFS(Table_Process_Details[RV Eutrophication (kg phosphate equiv.) per kg API],Table_Process_Details[Display Name],Table_Process_Details[[#This Row],[Unique Process Inputs]],Table_Process_Details[Input or Output],"Input")</f>
        <v>0</v>
      </c>
      <c r="GV64" s="131">
        <f ca="1">SUMIFS(Table_Process_Details[RV Eutrophication (kg phosphate equiv.) per kg API (REAGENT)],Table_Process_Details[Display Name],Table_Process_Details[[#This Row],[Unique Process Inputs]],Table_Process_Details[Input or Output],"Input")</f>
        <v>0</v>
      </c>
      <c r="GW64" s="131">
        <f ca="1">SUMIFS(Table_Process_Details[RV Eutrophication (kg phosphate equiv.) per kg API (METAL)],Table_Process_Details[Display Name],Table_Process_Details[[#This Row],[Unique Process Inputs]],Table_Process_Details[Input or Output],"Input")</f>
        <v>0</v>
      </c>
      <c r="GX64" s="131">
        <f ca="1">SUMIFS(Table_Process_Details[RV Eutrophication (kg phosphate equiv.) per kg API (SOLVENT)],Table_Process_Details[Display Name],Table_Process_Details[[#This Row],[Unique Process Inputs]],Table_Process_Details[Input or Output],"Input")</f>
        <v>0</v>
      </c>
      <c r="GY64" s="131">
        <f ca="1">SUMIFS(Table_Process_Details[RV Eutrophication (kg phosphate equiv.) per kg API (WATER)],Table_Process_Details[Display Name],Table_Process_Details[[#This Row],[Unique Process Inputs]],Table_Process_Details[Input or Output],"Input")</f>
        <v>0</v>
      </c>
      <c r="GZ64" s="131">
        <f ca="1">SUMIFS(Table_Process_Details[RV Eutrophication (kg phosphate equiv.) per kg API (ENZ&amp;PLNT)],Table_Process_Details[Display Name],Table_Process_Details[[#This Row],[Unique Process Inputs]],Table_Process_Details[Input or Output],"Input")</f>
        <v>0</v>
      </c>
      <c r="HA64" s="131">
        <f ca="1">SUMIFS(Table_Process_Details[RV Eutrophication (kg phosphate equiv.) per kg API (OTHER)],Table_Process_Details[Display Name],Table_Process_Details[[#This Row],[Unique Process Inputs]],Table_Process_Details[Input or Output],"Input")</f>
        <v>0</v>
      </c>
      <c r="HB64"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4"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4" s="126" t="e">
        <f ca="1">SUM(OFFSET(Table_Process_Details['[Eutrophication (kg posphate equiv.) per kg API'] of Unique Inputs Sorted by '[Eutrophication (kg posphate equiv.) per kg API']],0,0,Table_Process_Details[[#This Row],[Table Row]]))</f>
        <v>#N/A</v>
      </c>
      <c r="HE64"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4" s="131" t="e">
        <f ca="1">INDEX(Table_Process_Details[Total '[Eutrophication (kg posphate equiv.) per kg API'] of Unique Inputs (REAGENT)], MATCH(Table_Process_Details[[#This Row],[Unique Inputs Sorted by '[Eutrophication (kg posphate equiv.) per kg API']]],Table_Process_Details[Unique Process Inputs],0))</f>
        <v>#N/A</v>
      </c>
      <c r="HG64" s="131" t="e">
        <f ca="1">INDEX(Table_Process_Details[Total '[Eutrophication (kg posphate equiv.) per kg API'] of Unique Inputs (METAL)], MATCH(Table_Process_Details[[#This Row],[Unique Inputs Sorted by '[Eutrophication (kg posphate equiv.) per kg API']]],Table_Process_Details[Unique Process Inputs],0))</f>
        <v>#N/A</v>
      </c>
      <c r="HH64" s="131" t="e">
        <f ca="1">INDEX(Table_Process_Details[Total '[Eutrophication (kg posphate equiv.) per kg API'] of Unique Inputs (SOLVENT)], MATCH(Table_Process_Details[[#This Row],[Unique Inputs Sorted by '[Eutrophication (kg posphate equiv.) per kg API']]],Table_Process_Details[Unique Process Inputs],0))</f>
        <v>#N/A</v>
      </c>
      <c r="HI64" s="131" t="e">
        <f ca="1">INDEX(Table_Process_Details[Total '[Eutrophication (kg posphate equiv.) per kg API'] of Unique Inputs (WATER)], MATCH(Table_Process_Details[[#This Row],[Unique Inputs Sorted by '[Eutrophication (kg posphate equiv.) per kg API']]],Table_Process_Details[Unique Process Inputs],0))</f>
        <v>#N/A</v>
      </c>
      <c r="HJ64" s="131" t="e">
        <f ca="1">INDEX(Table_Process_Details[Total '[Eutrophication (kg posphate equiv.) per kg API'] of Unique Inputs (ENZ&amp;PLNT)], MATCH(Table_Process_Details[[#This Row],[Unique Inputs Sorted by '[Eutrophication (kg posphate equiv.) per kg API']]],Table_Process_Details[Unique Process Inputs],0))</f>
        <v>#N/A</v>
      </c>
      <c r="HK64" s="131" t="e">
        <f ca="1">INDEX(Table_Process_Details[Total '[Eutrophication (kg posphate equiv.) per kg API'] of Unique Inputs (OTHER)], MATCH(Table_Process_Details[[#This Row],[Unique Inputs Sorted by '[Eutrophication (kg posphate equiv.) per kg API']]],Table_Process_Details[Unique Process Inputs],0))</f>
        <v>#N/A</v>
      </c>
      <c r="HL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4"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4" s="131">
        <f ca="1">SUMIFS(Table_Process_Details[RV Water (kg) per kg API],Table_Process_Details[Display Name],Table_Process_Details[[#This Row],[Unique Process Inputs]],Table_Process_Details[Input or Output],"Input")</f>
        <v>0</v>
      </c>
      <c r="HT64" s="131">
        <f ca="1">SUMIFS(Table_Process_Details[RV Water (kg) per kg API (REAGENT)],Table_Process_Details[Display Name],Table_Process_Details[[#This Row],[Unique Process Inputs]],Table_Process_Details[Input or Output],"Input")</f>
        <v>0</v>
      </c>
      <c r="HU64" s="131">
        <f ca="1">SUMIFS(Table_Process_Details[RV Water (kg) per kg API (METAL)],Table_Process_Details[Display Name],Table_Process_Details[[#This Row],[Unique Process Inputs]],Table_Process_Details[Input or Output],"Input")</f>
        <v>0</v>
      </c>
      <c r="HV64" s="131">
        <f ca="1">SUMIFS(Table_Process_Details[RV Water (kg) per kg API (SOLVENT)],Table_Process_Details[Display Name],Table_Process_Details[[#This Row],[Unique Process Inputs]],Table_Process_Details[Input or Output],"Input")</f>
        <v>0</v>
      </c>
      <c r="HW64" s="131">
        <f ca="1">SUMIFS(Table_Process_Details[RV Water (kg) per kg API (WATER)],Table_Process_Details[Display Name],Table_Process_Details[[#This Row],[Unique Process Inputs]],Table_Process_Details[Input or Output],"Input")</f>
        <v>0</v>
      </c>
      <c r="HX64" s="131">
        <f ca="1">SUMIFS(Table_Process_Details[RV Water (kg) per kg API (ENZ&amp;PLNT)],Table_Process_Details[Display Name],Table_Process_Details[[#This Row],[Unique Process Inputs]],Table_Process_Details[Input or Output],"Input")</f>
        <v>0</v>
      </c>
      <c r="HY64" s="131">
        <f ca="1">SUMIFS(Table_Process_Details[RV Water (kg) per kg API (OTHER)],Table_Process_Details[Display Name],Table_Process_Details[[#This Row],[Unique Process Inputs]],Table_Process_Details[Input or Output],"Input")</f>
        <v>0</v>
      </c>
      <c r="HZ64" s="126" t="e">
        <f ca="1">INDEX(Table_Process_Details[Unique Process Inputs],MATCH(Table_Process_Details[[#This Row],['[Water (kg) per kg API'] of Unique Inputs Sorted by '[Water (kg) per kg API']]],Table_Process_Details[Total '[Water (kg) per kg API'] of Unique Inputs],0))</f>
        <v>#N/A</v>
      </c>
      <c r="IA64" s="126" t="e">
        <f ca="1">IF(LARGE(Table_Process_Details[Total '[Water (kg) per kg API'] of Unique Inputs],Table_Process_Details[[#This Row],[Table Row]])=0,NA(),LARGE(Table_Process_Details[Total '[Water (kg) per kg API'] of Unique Inputs],Table_Process_Details[[#This Row],[Table Row]]))</f>
        <v>#N/A</v>
      </c>
      <c r="IB64" s="131" t="e">
        <f ca="1">SUM(OFFSET(Table_Process_Details['[Water (kg) per kg API'] of Unique Inputs Sorted by '[Water (kg) per kg API']],0,0,Table_Process_Details[[#This Row],[Table Row]]))</f>
        <v>#N/A</v>
      </c>
      <c r="IC64" s="131" t="e">
        <f ca="1">"("&amp;TEXT(Table_Process_Details[[#This Row],['[Water (kg) per kg API'] of Unique Inputs Sorted by '[Water (kg) per kg API']]]/SUMIF(Table_Process_Details['[Water (kg) per kg API'] of Unique Inputs Sorted by '[Water (kg) per kg API']],"&lt;&gt;#N/A"),"0%")&amp;")"</f>
        <v>#N/A</v>
      </c>
      <c r="ID64" s="131" t="e">
        <f ca="1">INDEX(Table_Process_Details[Total '[Water (kg) per kg API'] of Unique Inputs (REAGENT)], MATCH(Table_Process_Details[[#This Row],[Unique Inputs Sorted by '[Water (kg) per kg API']]],Table_Process_Details[Unique Process Inputs],0))</f>
        <v>#N/A</v>
      </c>
      <c r="IE64" s="131" t="e">
        <f ca="1">INDEX(Table_Process_Details[Total '[Water (kg) per kg API'] of Unique Inputs (METAL)], MATCH(Table_Process_Details[[#This Row],[Unique Inputs Sorted by '[Water (kg) per kg API']]],Table_Process_Details[Unique Process Inputs],0))</f>
        <v>#N/A</v>
      </c>
      <c r="IF64" s="131" t="e">
        <f ca="1">INDEX(Table_Process_Details[Total '[Water (kg) per kg API'] of Unique Inputs (SOLVENT)], MATCH(Table_Process_Details[[#This Row],[Unique Inputs Sorted by '[Water (kg) per kg API']]],Table_Process_Details[Unique Process Inputs],0))</f>
        <v>#N/A</v>
      </c>
      <c r="IG64" s="131" t="e">
        <f ca="1">INDEX(Table_Process_Details[Total '[Water (kg) per kg API'] of Unique Inputs (WATER)], MATCH(Table_Process_Details[[#This Row],[Unique Inputs Sorted by '[Water (kg) per kg API']]],Table_Process_Details[Unique Process Inputs],0))</f>
        <v>#N/A</v>
      </c>
      <c r="IH64" s="131" t="e">
        <f ca="1">INDEX(Table_Process_Details[Total '[Water (kg) per kg API'] of Unique Inputs (ENZ&amp;PLNT)], MATCH(Table_Process_Details[[#This Row],[Unique Inputs Sorted by '[Water (kg) per kg API']]],Table_Process_Details[Unique Process Inputs],0))</f>
        <v>#N/A</v>
      </c>
      <c r="II64" s="131" t="e">
        <f ca="1">INDEX(Table_Process_Details[Total '[Water (kg) per kg API'] of Unique Inputs (OTHER)], MATCH(Table_Process_Details[[#This Row],[Unique Inputs Sorted by '[Water (kg) per kg API']]],Table_Process_Details[Unique Process Inputs],0))</f>
        <v>#N/A</v>
      </c>
    </row>
    <row r="65" spans="1:243" customFormat="1" x14ac:dyDescent="0.25">
      <c r="A65" s="22" t="str">
        <f>'1. Define Process Steps'!A20</f>
        <v>3) Synthesis of Intermediate (3)</v>
      </c>
      <c r="B65" s="21" t="s">
        <v>4</v>
      </c>
      <c r="C65" s="21" t="s">
        <v>170</v>
      </c>
      <c r="D65" s="22" t="str">
        <f>A61</f>
        <v>2) Synthesis of Intermediate (2)</v>
      </c>
      <c r="E65" s="22" t="str">
        <f>E61</f>
        <v>Intermediate (2)</v>
      </c>
      <c r="F65" s="26">
        <v>0.1</v>
      </c>
      <c r="G65" s="26"/>
      <c r="H65" s="26"/>
      <c r="I65" s="26"/>
      <c r="J65" s="26" t="str">
        <f>INDEX(Process_Steps[Reference],MATCH(Table_Process_Details[[#This Row],[Step Name]],Process_Steps[Name],0))</f>
        <v>Another Reference Document!</v>
      </c>
      <c r="K65" s="27" t="str">
        <f>INDEX(Process_Steps[Real or Virtual?],MATCH(Table_Process_Details[[#This Row],[Step Name]],Process_Steps[Name],0))</f>
        <v>Real</v>
      </c>
      <c r="L6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65" s="26">
        <f>INDEX(Table_Process_Details[Physical Mass (kg)],MATCH(1,INDEX(((Table_Process_Details[Step Name]=Table_Process_Details[[#This Row],[Step Name]])*(Table_Process_Details[Input or Output]="Output")),0),0))</f>
        <v>0.09</v>
      </c>
      <c r="O65" s="29">
        <f ca="1">INDEX(Process_Steps[Step Scale Factor for 1kg Packaged API],MATCH(Table_Process_Details[[#This Row],[Step Name]],Process_Steps[Name],0))</f>
        <v>11.011194714626619</v>
      </c>
      <c r="P6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v>
      </c>
      <c r="Q6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8</v>
      </c>
      <c r="R65" s="26">
        <f ca="1">_xlfn.SWITCH(Run_Reset_PNG,"Reset",Table_Process_Details[[#This Row],[X Init]],"Run",Table_Process_Details[[#This Row],[X Moved]],"Freeze",Table_Process_Details[[#This Row],[X Mover]])</f>
        <v>9.0864820078530322</v>
      </c>
      <c r="S65" s="26">
        <f ca="1">_xlfn.SWITCH(Run_Reset_PNG,"Reset",Table_Process_Details[[#This Row],[Y Init]],"Run",Table_Process_Details[[#This Row],[Y Moved]],"Freeze",Table_Process_Details[[#This Row],[Y Mover]])</f>
        <v>8.685844599987826</v>
      </c>
      <c r="T65" s="26" cm="1">
        <f t="array" aca="1" ref="T6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1.5115718524371422</v>
      </c>
      <c r="U65" s="26" cm="1">
        <f t="array" aca="1" ref="U6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-2.216899569532762</v>
      </c>
      <c r="V65" s="26" cm="1">
        <f t="array" aca="1" ref="V65" ca="1">SUM(--(SQRT((Table_Process_Details[[#This Row],[X Mover]]-Table_Process_Details[X Mover])^2+(Table_Process_Details[[#This Row],[Y Mover]]-Table_Process_Details[Y Mover])^2)&lt;Collision_Distance))</f>
        <v>18</v>
      </c>
      <c r="W65" s="26" cm="1">
        <f t="array" aca="1" ref="W6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-0.23026745972153662</v>
      </c>
      <c r="X65" s="26" cm="1">
        <f t="array" aca="1" ref="X6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0.2483778359541409</v>
      </c>
      <c r="Y65" s="26" cm="1">
        <f t="array" aca="1" ref="Y6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65" s="26">
        <f>0</f>
        <v>0</v>
      </c>
      <c r="AA65" s="26">
        <f>0</f>
        <v>0</v>
      </c>
      <c r="AB6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-4.5432410039265161</v>
      </c>
      <c r="AC65" s="26" cm="1">
        <f t="array" aca="1" ref="AC6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-4.342922299993913</v>
      </c>
      <c r="AD65" s="26">
        <f>MIN(1,COUNTA(Table_Process_Details[[#This Row],[target x]]),COUNTA(Table_Process_Details[[#This Row],[target y]]))*COUNTA(Table_Process_Details[Step Name])</f>
        <v>98</v>
      </c>
      <c r="AE6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9.0089648899356671</v>
      </c>
      <c r="AF6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8.6425568970952256</v>
      </c>
      <c r="AG6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65" s="26" cm="1">
        <f t="array" aca="1" ref="AH65" ca="1">INDEX(Table_Process_Details[X Mover],MATCH(1,INDEX((Table_Process_Details[Input or Output]="Output")*(Table_Process_Details[Step Name]=Table_Process_Details[[#This Row],[Step Name]])*(Table_Process_Details[[#This Row],[Input or Output]]="Input"),0),0))</f>
        <v>15.707298460481789</v>
      </c>
      <c r="AI65" s="26" cm="1">
        <f t="array" aca="1" ref="AI65" ca="1">INDEX(Table_Process_Details[Y Mover],MATCH(1,INDEX((Table_Process_Details[Input or Output]="Output")*(Table_Process_Details[Step Name]=Table_Process_Details[[#This Row],[Step Name]])*(Table_Process_Details[[#This Row],[Input or Output]]="Input"),0),0))</f>
        <v>10.348961867752488</v>
      </c>
      <c r="AJ65" s="26">
        <f ca="1">SQRT((Table_Process_Details[[#This Row],[X End (To Node Center)]]-Table_Process_Details[[#This Row],[X Guide]])^2+(Table_Process_Details[[#This Row],[Y End (to Node Center)]]-Table_Process_Details[[#This Row],[Y Guide]])^2)</f>
        <v>6.8265049290055186</v>
      </c>
      <c r="AK65" s="26" cm="1">
        <f t="array" aca="1" ref="AK65" ca="1">INDEX(Table_Process_Details[X Mover],MATCH(1,INDEX((Table_Process_Details[Step Name]=Table_Process_Details[[#This Row],[LCA Data Source Subclass]])*(Table_Process_Details[Input or Output]="Output"),0)*(Table_Process_Details[[#This Row],[Input or Output]]="Input"),0))</f>
        <v>1.9309511115841147</v>
      </c>
      <c r="AL65" s="26" cm="1">
        <f t="array" aca="1" ref="AL65" ca="1">INDEX(Table_Process_Details[X Mover],MATCH(1,INDEX(((Table_Process_Details[Table Row]=Table_Process_Details[[#This Row],[Table Row]])*(1)),0)*(Table_Process_Details[[#This Row],[Input or Output]]="Input"),0))</f>
        <v>9.0864820078530322</v>
      </c>
      <c r="AM65" s="26" cm="1">
        <f t="array" aca="1" ref="AM65" ca="1">(Table_Process_Details[[#This Row],[X End (To Node Center)]]*Table_Process_Details[[#This Row],[r0]]-Table_Process_Details[[#This Row],[X End (To Node Center)]]*Arrow_Offset+Table_Process_Details[[#This Row],[X Guide]]*Arrow_Offset)/Table_Process_Details[[#This Row],[r0]]</f>
        <v>14.931403149896461</v>
      </c>
      <c r="AN65" s="26">
        <f ca="1">IF(NOT(Table_Process_Details[[#This Row],[Display As]]="None"),Table_Process_Details[[#This Row],[X Start Prefilter]],NA())</f>
        <v>1.9309511115841147</v>
      </c>
      <c r="AO65" s="26">
        <f ca="1">IF(NOT(Table_Process_Details[[#This Row],[Display As]]="None"),Table_Process_Details[[#This Row],[X Guide Prefilter]],NA())</f>
        <v>9.0864820078530322</v>
      </c>
      <c r="AP65" s="26">
        <f ca="1">IF(NOT(Table_Process_Details[[#This Row],[Display As]]="None"),Table_Process_Details[[#This Row],[X End (to Stop Radius) Prefilter]],NA())</f>
        <v>14.931403149896461</v>
      </c>
      <c r="AQ65" s="26" t="e">
        <f>NA()</f>
        <v>#N/A</v>
      </c>
      <c r="AR65" s="26" cm="1">
        <f t="array" aca="1" ref="AR65" ca="1">INDEX(Table_Process_Details[Y Mover],MATCH(1,INDEX((Table_Process_Details[Step Name]=Table_Process_Details[[#This Row],[LCA Data Source Subclass]])*(Table_Process_Details[Input or Output]="Output"),0)*(Table_Process_Details[[#This Row],[Input or Output]]="Input"),0))</f>
        <v>7.9388892826190514</v>
      </c>
      <c r="AS65" s="26" cm="1">
        <f t="array" aca="1" ref="AS65" ca="1">INDEX(Table_Process_Details[Y Mover],MATCH(1,INDEX(((Table_Process_Details[Table Row]=Table_Process_Details[[#This Row],[Table Row]])*(1)),0)*(Table_Process_Details[[#This Row],[Input or Output]]="Input"),0))</f>
        <v>8.685844599987826</v>
      </c>
      <c r="AT65" s="26" cm="1">
        <f t="array" aca="1" ref="AT65" ca="1">(Table_Process_Details[[#This Row],[Y Guide]]*Arrow_Offset-Table_Process_Details[[#This Row],[Y End (to Node Center)]]*Arrow_Offset+Table_Process_Details[[#This Row],[Y End (to Node Center)]]*Table_Process_Details[[#This Row],[r0]])/Table_Process_Details[[#This Row],[r0]]</f>
        <v>10.154060695329903</v>
      </c>
      <c r="AU65" s="26">
        <f ca="1">IF(NOT(Table_Process_Details[[#This Row],[Display As]]="None"),Table_Process_Details[[#This Row],[Y Start Prefilter]],NA())</f>
        <v>7.9388892826190514</v>
      </c>
      <c r="AV65" s="26">
        <f ca="1">IF(NOT(Table_Process_Details[[#This Row],[Display As]]="None"),Table_Process_Details[[#This Row],[Y Guide Prefilter]],NA())</f>
        <v>8.685844599987826</v>
      </c>
      <c r="AW65" s="26">
        <f ca="1">IF(NOT(Table_Process_Details[[#This Row],[Display As]]="None"),Table_Process_Details[[#This Row],[Y End (to Stop Radius) Prefilter]],NA())</f>
        <v>10.154060695329903</v>
      </c>
      <c r="AX65" s="26" t="e">
        <f>NA()</f>
        <v>#N/A</v>
      </c>
      <c r="AY65" s="26" t="e">
        <f>IF(Table_Process_Details[[#This Row],[Display As]]="Real Step",Table_Process_Details[[#This Row],[X Mover]],NA())</f>
        <v>#N/A</v>
      </c>
      <c r="AZ65" s="26" t="e">
        <f>IF(Table_Process_Details[[#This Row],[Display As]]="Real Step",Table_Process_Details[[#This Row],[Y Mover]],NA())</f>
        <v>#N/A</v>
      </c>
      <c r="BA65" s="26" t="e">
        <f>IF(Table_Process_Details[[#This Row],[Display As]]="Raw Material",Table_Process_Details[[#This Row],[X Mover]],NA())</f>
        <v>#N/A</v>
      </c>
      <c r="BB65" s="26" t="e">
        <f>IF(Table_Process_Details[[#This Row],[Display As]]="Raw Material",Table_Process_Details[[#This Row],[Y Mover]],NA())</f>
        <v>#N/A</v>
      </c>
      <c r="BC65" s="26" t="e">
        <f>IF(OR(Table_Process_Details[[#This Row],[Display As]]="Real Step",Table_Process_Details[[#This Row],[Display As]]="Raw Material"),Table_Process_Details[[#This Row],[X Mover]],NA())</f>
        <v>#N/A</v>
      </c>
      <c r="BD65" s="26" t="e">
        <f>IF(OR(Table_Process_Details[[#This Row],[Display As]]="Real Step",Table_Process_Details[[#This Row],[Display As]]="Raw Material"),Table_Process_Details[[#This Row],[Y Mover]],NA())</f>
        <v>#N/A</v>
      </c>
      <c r="BE65" s="22">
        <f>ROW()-ROW(Table_Process_Details[[#Headers],[Table Row]])</f>
        <v>61</v>
      </c>
      <c r="BF65" s="23" t="e" cm="1">
        <f t="array" aca="1" ref="BF65" ca="1">INDEX(Table_Process_Details[Display Name],MATCH(0,IF(Table_Process_Details[Input or Output]="Input",INDEX(COUNTIF(OFFSET(Table_Process_Details[[#Headers],[Unique Process Inputs]],0,0,Table_Process_Details[[#This Row],[Table Row]],1),Table_Process_Details[Display Name]),),""),0))</f>
        <v>#N/A</v>
      </c>
      <c r="BG65" s="23">
        <f ca="1">Table_Process_Details[[#This Row],[Physical Mass (kg)]]*Table_Process_Details[[#This Row],[Step Scale Factor for 1kg Packaged API]]</f>
        <v>1.101119471462662</v>
      </c>
      <c r="BH6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0.99999999999994016</v>
      </c>
      <c r="BI65" s="23">
        <f ca="1">MATCH(Table_Process_Details[[#This Row],[LCA Data Source Class]],INDIRECT(Table_Process_Details[[#This Row],[Input or Output]]),0)</f>
        <v>1</v>
      </c>
      <c r="BJ65" s="23">
        <f ca="1">MATCH(Table_Process_Details[[#This Row],[LCA Data Source Subclass]],INDIRECT(Table_Process_Details[[#This Row],[LCA Data Source Class]]&amp;"[Name]"),0)</f>
        <v>12</v>
      </c>
      <c r="BK65" s="23">
        <f ca="1">IFERROR(INDEX(INDIRECT(Table_Process_Details[[#This Row],[LCA Data Source Class]]&amp;"[Mass Net (kg)]"),MATCH(Table_Process_Details[[#This Row],[LCA Data Source Subclass]],INDIRECT(Table_Process_Details[[#This Row],[LCA Data Source Class]]&amp;"[Name]"),0)),0)</f>
        <v>0</v>
      </c>
      <c r="BL65" s="23">
        <f ca="1">IFERROR(INDEX(INDIRECT(Table_Process_Details[[#This Row],[LCA Data Source Class]]&amp;"[Energy (MJ)]"),MATCH(Table_Process_Details[[#This Row],[LCA Data Source Subclass]],INDIRECT(Table_Process_Details[[#This Row],[LCA Data Source Class]]&amp;"[Name]"),0)),0)</f>
        <v>0</v>
      </c>
      <c r="BM65" s="23">
        <f ca="1">IFERROR(INDEX(INDIRECT(Table_Process_Details[[#This Row],[LCA Data Source Class]]&amp;"[GWP (kg CO2 equiv.)]"),MATCH(Table_Process_Details[[#This Row],[LCA Data Source Subclass]],INDIRECT(Table_Process_Details[[#This Row],[LCA Data Source Class]]&amp;"[Name]"),0)),0)</f>
        <v>0</v>
      </c>
      <c r="BN65" s="23">
        <f ca="1">IFERROR(INDEX(INDIRECT(Table_Process_Details[[#This Row],[LCA Data Source Class]]&amp;"[Acidification (kg SO2 equiv.)]"),MATCH(Table_Process_Details[[#This Row],[LCA Data Source Subclass]],INDIRECT(Table_Process_Details[[#This Row],[LCA Data Source Class]]&amp;"[Name]"),0)),0)</f>
        <v>0</v>
      </c>
      <c r="BO65" s="23">
        <f ca="1">IFERROR(INDEX(INDIRECT(Table_Process_Details[[#This Row],[LCA Data Source Class]]&amp;"[Eutrophication (kg posphate equiv.)]"),MATCH(Table_Process_Details[[#This Row],[LCA Data Source Subclass]],INDIRECT(Table_Process_Details[[#This Row],[LCA Data Source Class]]&amp;"[Name]"),0)),0)</f>
        <v>0</v>
      </c>
      <c r="BP65" s="23">
        <f ca="1">IFERROR(INDEX(INDIRECT(Table_Process_Details[[#This Row],[LCA Data Source Class]]&amp;"[Water (kg)]"),MATCH(Table_Process_Details[[#This Row],[LCA Data Source Subclass]],INDIRECT(Table_Process_Details[[#This Row],[LCA Data Source Class]]&amp;"[Name]"),0)),0)</f>
        <v>0</v>
      </c>
      <c r="BQ65" s="27">
        <f ca="1">(Table_Process_Details[[#This Row],[Input or Output]]="Input")*(Table_Process_Details[[#This Row],[LCA Data Source Class]]&lt;&gt;"Process_Steps")*Table_Process_Details[[#This Row],[Scaled Physical Mass per kg API for All Inputs &amp; Outputs]]</f>
        <v>0</v>
      </c>
      <c r="BR65" s="27">
        <f ca="1">(Table_Process_Details[[#This Row],[Material Class]]="REAGENT")*Table_Process_Details[[#This Row],[Physical Mass per kg API]]</f>
        <v>0</v>
      </c>
      <c r="BS65" s="27">
        <f ca="1">(Table_Process_Details[[#This Row],[Material Class]]="METAL")*Table_Process_Details[[#This Row],[Physical Mass per kg API]]</f>
        <v>0</v>
      </c>
      <c r="BT65" s="27">
        <f ca="1">(Table_Process_Details[[#This Row],[Material Class]]="SOLVENT")*Table_Process_Details[[#This Row],[Physical Mass per kg API]]</f>
        <v>0</v>
      </c>
      <c r="BU65" s="27">
        <f ca="1">(Table_Process_Details[[#This Row],[Material Class]]="WATER")*Table_Process_Details[[#This Row],[Physical Mass per kg API]]</f>
        <v>0</v>
      </c>
      <c r="BV65" s="27">
        <f ca="1">(Table_Process_Details[[#This Row],[Material Class]]="ENZ&amp;PLNT")*Table_Process_Details[[#This Row],[Physical Mass per kg API]]</f>
        <v>0</v>
      </c>
      <c r="BW65" s="27">
        <f ca="1">(Table_Process_Details[[#This Row],[Material Class]]="OTHER")*Table_Process_Details[[#This Row],[Physical Mass per kg API]]</f>
        <v>0</v>
      </c>
      <c r="BX6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5" s="1">
        <f ca="1">SUMIFS(Table_Process_Details[RV Physical Mass per kg API],Table_Process_Details[Display Name],Table_Process_Details[[#This Row],[Unique Process Inputs]],Table_Process_Details[Input or Output],"Input")</f>
        <v>0</v>
      </c>
      <c r="CF65" s="1">
        <f ca="1">SUMIFS(Table_Process_Details[RV Physical Mass per kg API (REAGENT)],Table_Process_Details[Display Name],Table_Process_Details[[#This Row],[Unique Process Inputs]],Table_Process_Details[Input or Output],"Input")</f>
        <v>0</v>
      </c>
      <c r="CG65" s="1">
        <f ca="1">SUMIFS(Table_Process_Details[RV Physical Mass per kg API (METAL)],Table_Process_Details[Display Name],Table_Process_Details[[#This Row],[Unique Process Inputs]],Table_Process_Details[Input or Output],"Input")</f>
        <v>0</v>
      </c>
      <c r="CH65" s="1">
        <f ca="1">SUMIFS(Table_Process_Details[RV Physical Mass per kg API (SOLVENT)],Table_Process_Details[Display Name],Table_Process_Details[[#This Row],[Unique Process Inputs]],Table_Process_Details[Input or Output],"Input")</f>
        <v>0</v>
      </c>
      <c r="CI65" s="1">
        <f ca="1">SUMIFS(Table_Process_Details[RV Physical Mass per kg API (WATER)],Table_Process_Details[Display Name],Table_Process_Details[[#This Row],[Unique Process Inputs]],Table_Process_Details[Input or Output],"Input")</f>
        <v>0</v>
      </c>
      <c r="CJ65" s="1">
        <f ca="1">SUMIFS(Table_Process_Details[RV Physical Mass per kg API (ENZ&amp;PLNT)],Table_Process_Details[Display Name],Table_Process_Details[[#This Row],[Unique Process Inputs]],Table_Process_Details[Input or Output],"Input")</f>
        <v>0</v>
      </c>
      <c r="CK65" s="1">
        <f ca="1">SUMIFS(Table_Process_Details[RV Physical Mass per kg API (OTHER)],Table_Process_Details[Display Name],Table_Process_Details[[#This Row],[Unique Process Inputs]],Table_Process_Details[Input or Output],"Input")</f>
        <v>0</v>
      </c>
      <c r="CL65" s="22" t="e">
        <f ca="1">INDEX(Table_Process_Details[Unique Process Inputs],MATCH(Table_Process_Details[[#This Row],['[Physical Mass per kg API'] of Unique Inputs Sorted by '[Physical Mass per kg API']]],Table_Process_Details[Total '[Physical Mass per kg API'] of Unique Inputs],0))</f>
        <v>#N/A</v>
      </c>
      <c r="CM65" s="22" t="e">
        <f ca="1">IF(LARGE(Table_Process_Details[Total '[Physical Mass per kg API'] of Unique Inputs],Table_Process_Details[[#This Row],[Table Row]])=0,NA(),LARGE(Table_Process_Details[Total '[Physical Mass per kg API'] of Unique Inputs],Table_Process_Details[[#This Row],[Table Row]]))</f>
        <v>#N/A</v>
      </c>
      <c r="CN65" s="22" t="e">
        <f ca="1">SUM(OFFSET(Table_Process_Details['[Physical Mass per kg API'] of Unique Inputs Sorted by '[Physical Mass per kg API']],0,0,Table_Process_Details[[#This Row],[Table Row]]))</f>
        <v>#N/A</v>
      </c>
      <c r="CO65" s="22" t="e">
        <f ca="1">"("&amp;TEXT(Table_Process_Details[[#This Row],['[Physical Mass per kg API'] of Unique Inputs Sorted by '[Physical Mass per kg API']]]/SUMIF(Table_Process_Details['[Physical Mass per kg API'] of Unique Inputs Sorted by '[Physical Mass per kg API']],"&lt;&gt;#N/A"),"0%")&amp;")"</f>
        <v>#N/A</v>
      </c>
      <c r="CP65" s="22" t="e">
        <f ca="1">INDEX(Table_Process_Details[Total '[Physical Mass per kg API'] of Unique Inputs (REAGENT)],MATCH(Table_Process_Details[[#This Row],[Unique Inputs Sorted by '[Physical Mass per kg API']]],Table_Process_Details[Unique Process Inputs],0))</f>
        <v>#N/A</v>
      </c>
      <c r="CQ65" s="22" t="e">
        <f ca="1">INDEX(Table_Process_Details[Total '[Physical Mass per kg API'] of Unique Inputs (METAL)],MATCH(Table_Process_Details[[#This Row],[Unique Inputs Sorted by '[Physical Mass per kg API']]],Table_Process_Details[Unique Process Inputs],0))</f>
        <v>#N/A</v>
      </c>
      <c r="CR65" s="22" t="e">
        <f ca="1">INDEX(Table_Process_Details[Total '[Physical Mass per kg API'] of Unique Inputs (SOLVENT)],MATCH(Table_Process_Details[[#This Row],[Unique Inputs Sorted by '[Physical Mass per kg API']]],Table_Process_Details[Unique Process Inputs],0))</f>
        <v>#N/A</v>
      </c>
      <c r="CS65" s="22" t="e">
        <f ca="1">INDEX(Table_Process_Details[Total '[Physical Mass per kg API'] of Unique Inputs (WATER)],MATCH(Table_Process_Details[[#This Row],[Unique Inputs Sorted by '[Physical Mass per kg API']]],Table_Process_Details[Unique Process Inputs],0))</f>
        <v>#N/A</v>
      </c>
      <c r="CT65" s="22" t="e">
        <f ca="1">INDEX(Table_Process_Details[Total '[Physical Mass per kg API'] of Unique Inputs (ENZ&amp;PLNT)],MATCH(Table_Process_Details[[#This Row],[Unique Inputs Sorted by '[Physical Mass per kg API']]],Table_Process_Details[Unique Process Inputs],0))</f>
        <v>#N/A</v>
      </c>
      <c r="CU65" s="22" t="e">
        <f ca="1">INDEX(Table_Process_Details[Total '[Physical Mass per kg API'] of Unique Inputs (OTHER)],MATCH(Table_Process_Details[[#This Row],[Unique Inputs Sorted by '[Physical Mass per kg API']]],Table_Process_Details[Unique Process Inputs],0))</f>
        <v>#N/A</v>
      </c>
      <c r="CV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5" s="22">
        <f ca="1">SUMIFS(Table_Process_Details[RV Mass Net (kg) per kg API],Table_Process_Details[Display Name],Table_Process_Details[[#This Row],[Unique Process Inputs]],Table_Process_Details[Input or Output],"Input")</f>
        <v>0</v>
      </c>
      <c r="DD65" s="22">
        <f ca="1">SUMIFS(Table_Process_Details[RV Mass Net (kg) per kg API (REAGENT)],Table_Process_Details[Display Name],Table_Process_Details[[#This Row],[Unique Process Inputs]],Table_Process_Details[Input or Output],"Input")</f>
        <v>0</v>
      </c>
      <c r="DE65" s="22">
        <f ca="1">SUMIFS(Table_Process_Details[RV Mass Net (kg) per kg API (METAL)],Table_Process_Details[Display Name],Table_Process_Details[[#This Row],[Unique Process Inputs]],Table_Process_Details[Input or Output],"Input")</f>
        <v>0</v>
      </c>
      <c r="DF65" s="22">
        <f ca="1">SUMIFS(Table_Process_Details[RV Mass Net (kg) per kg API (SOLVENT)],Table_Process_Details[Display Name],Table_Process_Details[[#This Row],[Unique Process Inputs]],Table_Process_Details[Input or Output],"Input")</f>
        <v>0</v>
      </c>
      <c r="DG65" s="22">
        <f ca="1">SUMIFS(Table_Process_Details[RV Mass Net (kg) per kg API (WATER)],Table_Process_Details[Display Name],Table_Process_Details[[#This Row],[Unique Process Inputs]],Table_Process_Details[Input or Output],"Input")</f>
        <v>0</v>
      </c>
      <c r="DH65" s="22">
        <f ca="1">SUMIFS(Table_Process_Details[RV Mass Net (kg) per kg API (ENZ&amp;PLNT)],Table_Process_Details[Display Name],Table_Process_Details[[#This Row],[Unique Process Inputs]],Table_Process_Details[Input or Output],"Input")</f>
        <v>0</v>
      </c>
      <c r="DI65" s="22">
        <f ca="1">SUMIFS(Table_Process_Details[RV Mass Net (kg) per kg API (OTHER)],Table_Process_Details[Display Name],Table_Process_Details[[#This Row],[Unique Process Inputs]],Table_Process_Details[Input or Output],"Input")</f>
        <v>0</v>
      </c>
      <c r="DJ65" s="22" t="e">
        <f ca="1">INDEX(Table_Process_Details[Unique Process Inputs],MATCH(Table_Process_Details[[#This Row],['[Mass Net (kg) per kg API'] of Unique Inputs Sorted by '[Mass Net (kg) per kg API']]],Table_Process_Details[Total '[Mass Net (kg) per kg API'] of Unique Inputs],0))</f>
        <v>#N/A</v>
      </c>
      <c r="DK65" s="22" t="e">
        <f ca="1">IF(LARGE(Table_Process_Details[Total '[Mass Net (kg) per kg API'] of Unique Inputs],Table_Process_Details[[#This Row],[Table Row]])=0,NA(),LARGE(Table_Process_Details[Total '[Mass Net (kg) per kg API'] of Unique Inputs],Table_Process_Details[[#This Row],[Table Row]]))</f>
        <v>#N/A</v>
      </c>
      <c r="DL65" s="22" t="e">
        <f ca="1">SUM(OFFSET(Table_Process_Details['[Mass Net (kg) per kg API'] of Unique Inputs Sorted by '[Mass Net (kg) per kg API']],0,0,Table_Process_Details[[#This Row],[Table Row]]))</f>
        <v>#N/A</v>
      </c>
      <c r="DM65" s="22" t="e">
        <f ca="1">"("&amp;TEXT(Table_Process_Details[[#This Row],['[Mass Net (kg) per kg API'] of Unique Inputs Sorted by '[Mass Net (kg) per kg API']]]/SUMIF(Table_Process_Details['[Mass Net (kg) per kg API'] of Unique Inputs Sorted by '[Mass Net (kg) per kg API']],"&lt;&gt;#N/A"),"0%")&amp;")"</f>
        <v>#N/A</v>
      </c>
      <c r="DN65" s="22" t="e">
        <f ca="1">INDEX(Table_Process_Details[Total '[Mass Net (kg) per kg API'] of Unique Inputs (REAGENT)], MATCH(Table_Process_Details[[#This Row],[Unique Inputs Sorted by '[Mass Net (kg) per kg API']]],Table_Process_Details[Unique Process Inputs],0))</f>
        <v>#N/A</v>
      </c>
      <c r="DO65" s="22" t="e">
        <f ca="1">INDEX(Table_Process_Details[Total '[Mass Net (kg) per kg API'] of Unique Inputs (METAL)], MATCH(Table_Process_Details[[#This Row],[Unique Inputs Sorted by '[Mass Net (kg) per kg API']]],Table_Process_Details[Unique Process Inputs],0))</f>
        <v>#N/A</v>
      </c>
      <c r="DP65" s="22" t="e">
        <f ca="1">INDEX(Table_Process_Details[Total '[Mass Net (kg) per kg API'] of Unique Inputs (SOLVENT)], MATCH(Table_Process_Details[[#This Row],[Unique Inputs Sorted by '[Mass Net (kg) per kg API']]],Table_Process_Details[Unique Process Inputs],0))</f>
        <v>#N/A</v>
      </c>
      <c r="DQ65" s="22" t="e">
        <f ca="1">INDEX(Table_Process_Details[Total '[Mass Net (kg) per kg API'] of Unique Inputs (WATER)], MATCH(Table_Process_Details[[#This Row],[Unique Inputs Sorted by '[Mass Net (kg) per kg API']]],Table_Process_Details[Unique Process Inputs],0))</f>
        <v>#N/A</v>
      </c>
      <c r="DR65" s="22" t="e">
        <f ca="1">INDEX(Table_Process_Details[Total '[Mass Net (kg) per kg API'] of Unique Inputs (ENZ&amp;PLNT)], MATCH(Table_Process_Details[[#This Row],[Unique Inputs Sorted by '[Mass Net (kg) per kg API']]],Table_Process_Details[Unique Process Inputs],0))</f>
        <v>#N/A</v>
      </c>
      <c r="DS65" s="22" t="e">
        <f ca="1">INDEX(Table_Process_Details[Total '[Mass Net (kg) per kg API'] of Unique Inputs (OTHER)], MATCH(Table_Process_Details[[#This Row],[Unique Inputs Sorted by '[Mass Net (kg) per kg API']]],Table_Process_Details[Unique Process Inputs],0))</f>
        <v>#N/A</v>
      </c>
      <c r="DT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5" s="1">
        <f ca="1">SUMIFS(Table_Process_Details[RV Energy (MJ) per kg API],Table_Process_Details[Display Name],Table_Process_Details[[#This Row],[Unique Process Inputs]],Table_Process_Details[Input or Output],"Input")</f>
        <v>0</v>
      </c>
      <c r="EB65" s="1">
        <f ca="1">SUMIFS(Table_Process_Details[RV Energy (MJ) per kg API (REAGENT)],Table_Process_Details[Display Name],Table_Process_Details[[#This Row],[Unique Process Inputs]],Table_Process_Details[Input or Output],"Input")</f>
        <v>0</v>
      </c>
      <c r="EC65" s="1">
        <f ca="1">SUMIFS(Table_Process_Details[RV Energy (MJ) per kg API (METAL)],Table_Process_Details[Display Name],Table_Process_Details[[#This Row],[Unique Process Inputs]],Table_Process_Details[Input or Output],"Input")</f>
        <v>0</v>
      </c>
      <c r="ED65" s="1">
        <f ca="1">SUMIFS(Table_Process_Details[RV Energy (MJ) per kg API (SOLVENT)],Table_Process_Details[Display Name],Table_Process_Details[[#This Row],[Unique Process Inputs]],Table_Process_Details[Input or Output],"Input")</f>
        <v>0</v>
      </c>
      <c r="EE65" s="1">
        <f ca="1">SUMIFS(Table_Process_Details[RV Energy (MJ) per kg API (WATER)],Table_Process_Details[Display Name],Table_Process_Details[[#This Row],[Unique Process Inputs]],Table_Process_Details[Input or Output],"Input")</f>
        <v>0</v>
      </c>
      <c r="EF65" s="1">
        <f ca="1">SUMIFS(Table_Process_Details[RV Energy (MJ) per kg API (ENZ&amp;PLNT)],Table_Process_Details[Display Name],Table_Process_Details[[#This Row],[Unique Process Inputs]],Table_Process_Details[Input or Output],"Input")</f>
        <v>0</v>
      </c>
      <c r="EG65" s="1">
        <f ca="1">SUMIFS(Table_Process_Details[RV Energy (MJ) per kg API (OTHER)],Table_Process_Details[Display Name],Table_Process_Details[[#This Row],[Unique Process Inputs]],Table_Process_Details[Input or Output],"Input")</f>
        <v>0</v>
      </c>
      <c r="EH65" s="1" t="e">
        <f ca="1">INDEX(Table_Process_Details[Unique Process Inputs],MATCH(Table_Process_Details[[#This Row],['[Energy (MJ) per kg API'] of Unique Inputs Sorted by '[Energy (MJ) per kg API']]],Table_Process_Details[Total '[Energy (MJ) per kg API'] of Unique Inputs],0))</f>
        <v>#N/A</v>
      </c>
      <c r="EI65" s="22" t="e">
        <f ca="1">IF(LARGE(Table_Process_Details[Total '[Energy (MJ) per kg API'] of Unique Inputs],Table_Process_Details[[#This Row],[Table Row]])=0,NA(),LARGE(Table_Process_Details[Total '[Energy (MJ) per kg API'] of Unique Inputs],Table_Process_Details[[#This Row],[Table Row]]))</f>
        <v>#N/A</v>
      </c>
      <c r="EJ65" s="22" t="e">
        <f ca="1">SUM(OFFSET(Table_Process_Details['[Energy (MJ) per kg API'] of Unique Inputs Sorted by '[Energy (MJ) per kg API']],0,0,Table_Process_Details[[#This Row],[Table Row]]))</f>
        <v>#N/A</v>
      </c>
      <c r="EK65" s="22" t="e">
        <f ca="1">"("&amp;TEXT(Table_Process_Details[[#This Row],['[Energy (MJ) per kg API'] of Unique Inputs Sorted by '[Energy (MJ) per kg API']]]/SUMIF(Table_Process_Details['[Energy (MJ) per kg API'] of Unique Inputs Sorted by '[Energy (MJ) per kg API']],"&lt;&gt;#N/A"),"0%")&amp;")"</f>
        <v>#N/A</v>
      </c>
      <c r="EL65" s="22" t="e">
        <f ca="1">INDEX(Table_Process_Details[Total '[Energy (MJ) per kg API'] of Unique Inputs (REAGENT)], MATCH(Table_Process_Details[[#This Row],[Unique Inputs Sorted by '[Energy (MJ) per kg API']]],Table_Process_Details[Unique Process Inputs],0))</f>
        <v>#N/A</v>
      </c>
      <c r="EM65" s="22" t="e">
        <f ca="1">INDEX(Table_Process_Details[Total '[Energy (MJ) per kg API'] of Unique Inputs (METAL)], MATCH(Table_Process_Details[[#This Row],[Unique Inputs Sorted by '[Energy (MJ) per kg API']]],Table_Process_Details[Unique Process Inputs],0))</f>
        <v>#N/A</v>
      </c>
      <c r="EN65" s="22" t="e">
        <f ca="1">INDEX(Table_Process_Details[Total '[Energy (MJ) per kg API'] of Unique Inputs (SOLVENT)], MATCH(Table_Process_Details[[#This Row],[Unique Inputs Sorted by '[Energy (MJ) per kg API']]],Table_Process_Details[Unique Process Inputs],0))</f>
        <v>#N/A</v>
      </c>
      <c r="EO65" s="22" t="e">
        <f ca="1">INDEX(Table_Process_Details[Total '[Energy (MJ) per kg API'] of Unique Inputs (WATER)], MATCH(Table_Process_Details[[#This Row],[Unique Inputs Sorted by '[Energy (MJ) per kg API']]],Table_Process_Details[Unique Process Inputs],0))</f>
        <v>#N/A</v>
      </c>
      <c r="EP65" s="22" t="e">
        <f ca="1">INDEX(Table_Process_Details[Total '[Energy (MJ) per kg API'] of Unique Inputs (ENZ&amp;PLNT)], MATCH(Table_Process_Details[[#This Row],[Unique Inputs Sorted by '[Energy (MJ) per kg API']]],Table_Process_Details[Unique Process Inputs],0))</f>
        <v>#N/A</v>
      </c>
      <c r="EQ65" s="22" t="e">
        <f ca="1">INDEX(Table_Process_Details[Total '[Energy (MJ) per kg API'] of Unique Inputs (OTHER)], MATCH(Table_Process_Details[[#This Row],[Unique Inputs Sorted by '[Energy (MJ) per kg API']]],Table_Process_Details[Unique Process Inputs],0))</f>
        <v>#N/A</v>
      </c>
      <c r="ER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5" s="22">
        <f ca="1">SUMIFS(Table_Process_Details[RV GWP (kg CO2 equiv.) per kg API],Table_Process_Details[Display Name],Table_Process_Details[[#This Row],[Unique Process Inputs]],Table_Process_Details[Input or Output],"Input")</f>
        <v>0</v>
      </c>
      <c r="EZ65" s="1">
        <f ca="1">SUMIFS(Table_Process_Details[RV GWP (kg CO2 equiv.) per kg API (REAGENT)],Table_Process_Details[Display Name],Table_Process_Details[[#This Row],[Unique Process Inputs]],Table_Process_Details[Input or Output],"Input")</f>
        <v>0</v>
      </c>
      <c r="FA65" s="1">
        <f ca="1">SUMIFS(Table_Process_Details[RV GWP (kg CO2 equiv.) per kg API (METAL)],Table_Process_Details[Display Name],Table_Process_Details[[#This Row],[Unique Process Inputs]],Table_Process_Details[Input or Output],"Input")</f>
        <v>0</v>
      </c>
      <c r="FB65" s="1">
        <f ca="1">SUMIFS(Table_Process_Details[RV GWP (kg CO2 equiv.) per kg API (SOLVENT)],Table_Process_Details[Display Name],Table_Process_Details[[#This Row],[Unique Process Inputs]],Table_Process_Details[Input or Output],"Input")</f>
        <v>0</v>
      </c>
      <c r="FC65" s="1">
        <f ca="1">SUMIFS(Table_Process_Details[RV GWP (kg CO2 equiv.) per kg API (WATER)],Table_Process_Details[Display Name],Table_Process_Details[[#This Row],[Unique Process Inputs]],Table_Process_Details[Input or Output],"Input")</f>
        <v>0</v>
      </c>
      <c r="FD65" s="1">
        <f ca="1">SUMIFS(Table_Process_Details[RV GWP (kg CO2 equiv.) per kg API (ENZ&amp;PLNT)],Table_Process_Details[Display Name],Table_Process_Details[[#This Row],[Unique Process Inputs]],Table_Process_Details[Input or Output],"Input")</f>
        <v>0</v>
      </c>
      <c r="FE65" s="1">
        <f ca="1">SUMIFS(Table_Process_Details[RV GWP (kg CO2 equiv.) per kg API (OTHER)],Table_Process_Details[Display Name],Table_Process_Details[[#This Row],[Unique Process Inputs]],Table_Process_Details[Input or Output],"Input")</f>
        <v>0</v>
      </c>
      <c r="FF65" s="22" t="e">
        <f ca="1">INDEX(Table_Process_Details[Unique Process Inputs],MATCH(Table_Process_Details[[#This Row],['[GWP (kg CO2 equiv.) per kg API'] of Unique Inputs Sorted by '[GWP (kg CO2 equiv.) per kg API']]],Table_Process_Details[Total '[GWP (kg CO2 equiv.) per kg API'] of Unique Inputs],0))</f>
        <v>#N/A</v>
      </c>
      <c r="FG65" s="22" t="e">
        <f ca="1">IF(LARGE(Table_Process_Details[Total '[GWP (kg CO2 equiv.) per kg API'] of Unique Inputs],Table_Process_Details[[#This Row],[Table Row]])=0,NA(),LARGE(Table_Process_Details[Total '[GWP (kg CO2 equiv.) per kg API'] of Unique Inputs],Table_Process_Details[[#This Row],[Table Row]]))</f>
        <v>#N/A</v>
      </c>
      <c r="FH65" s="22" t="e">
        <f ca="1">SUM(OFFSET(Table_Process_Details['[GWP (kg CO2 equiv.) per kg API'] of Unique Inputs Sorted by '[GWP (kg CO2 equiv.) per kg API']],0,0,Table_Process_Details[[#This Row],[Table Row]]))</f>
        <v>#N/A</v>
      </c>
      <c r="FI65" s="22" t="e">
        <f ca="1">"("&amp;TEXT(Table_Process_Details[[#This Row],['[GWP (kg CO2 equiv.) per kg API'] of Unique Inputs Sorted by '[GWP (kg CO2 equiv.) per kg API']]]/SUMIF(Table_Process_Details['[GWP (kg CO2 equiv.) per kg API'] of Unique Inputs Sorted by '[GWP (kg CO2 equiv.) per kg API']],"&lt;&gt;#N/A"),"0%")&amp;")"</f>
        <v>#N/A</v>
      </c>
      <c r="FJ65" s="22" t="e">
        <f ca="1">INDEX(Table_Process_Details[Total '[GWP (kg CO2 equiv.) per kg API'] of Unique Inputs (REAGENT)], MATCH(Table_Process_Details[[#This Row],[Unique Inputs Sorted by '[GWP (kg CO2 equiv.) per kg API']]],Table_Process_Details[Unique Process Inputs],0))</f>
        <v>#N/A</v>
      </c>
      <c r="FK65" s="22" t="e">
        <f ca="1">INDEX(Table_Process_Details[Total '[GWP (kg CO2 equiv.) per kg API'] of Unique Inputs (METAL)], MATCH(Table_Process_Details[[#This Row],[Unique Inputs Sorted by '[GWP (kg CO2 equiv.) per kg API']]],Table_Process_Details[Unique Process Inputs],0))</f>
        <v>#N/A</v>
      </c>
      <c r="FL65" s="22" t="e">
        <f ca="1">INDEX(Table_Process_Details[Total '[GWP (kg CO2 equiv.) per kg API'] of Unique Inputs (SOLVENT)], MATCH(Table_Process_Details[[#This Row],[Unique Inputs Sorted by '[GWP (kg CO2 equiv.) per kg API']]],Table_Process_Details[Unique Process Inputs],0))</f>
        <v>#N/A</v>
      </c>
      <c r="FM65" s="22" t="e">
        <f ca="1">INDEX(Table_Process_Details[Total '[GWP (kg CO2 equiv.) per kg API'] of Unique Inputs (WATER)], MATCH(Table_Process_Details[[#This Row],[Unique Inputs Sorted by '[GWP (kg CO2 equiv.) per kg API']]],Table_Process_Details[Unique Process Inputs],0))</f>
        <v>#N/A</v>
      </c>
      <c r="FN65" s="22" t="e">
        <f ca="1">INDEX(Table_Process_Details[Total '[GWP (kg CO2 equiv.) per kg API'] of Unique Inputs (ENZ&amp;PLNT)], MATCH(Table_Process_Details[[#This Row],[Unique Inputs Sorted by '[GWP (kg CO2 equiv.) per kg API']]],Table_Process_Details[Unique Process Inputs],0))</f>
        <v>#N/A</v>
      </c>
      <c r="FO65" s="22" t="e">
        <f ca="1">INDEX(Table_Process_Details[Total '[GWP (kg CO2 equiv.) per kg API'] of Unique Inputs (OTHER)], MATCH(Table_Process_Details[[#This Row],[Unique Inputs Sorted by '[GWP (kg CO2 equiv.) per kg API']]],Table_Process_Details[Unique Process Inputs],0))</f>
        <v>#N/A</v>
      </c>
      <c r="FP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5" s="22">
        <f ca="1">SUMIFS(Table_Process_Details[RV Acidification (kg SO2 equiv.) per kg API],Table_Process_Details[Display Name],Table_Process_Details[[#This Row],[Unique Process Inputs]],Table_Process_Details[Input or Output],"Input")</f>
        <v>0</v>
      </c>
      <c r="FX65" s="1">
        <f ca="1">SUMIFS(Table_Process_Details[RV Acidification (kg SO2 equiv.) per kg API (REAGENT)],Table_Process_Details[Display Name],Table_Process_Details[[#This Row],[Unique Process Inputs]],Table_Process_Details[Input or Output],"Input")</f>
        <v>0</v>
      </c>
      <c r="FY65" s="1">
        <f ca="1">SUMIFS(Table_Process_Details[RV Acidification (kg SO2 equiv.) per kg API (METAL)],Table_Process_Details[Display Name],Table_Process_Details[[#This Row],[Unique Process Inputs]],Table_Process_Details[Input or Output],"Input")</f>
        <v>0</v>
      </c>
      <c r="FZ65" s="1">
        <f ca="1">SUMIFS(Table_Process_Details[RV Acidification (kg SO2 equiv.) per kg API (SOLVENT)],Table_Process_Details[Display Name],Table_Process_Details[[#This Row],[Unique Process Inputs]],Table_Process_Details[Input or Output],"Input")</f>
        <v>0</v>
      </c>
      <c r="GA65" s="1">
        <f ca="1">SUMIFS(Table_Process_Details[RV Acidification (kg SO2 equiv.) per kg API (WATER)],Table_Process_Details[Display Name],Table_Process_Details[[#This Row],[Unique Process Inputs]],Table_Process_Details[Input or Output],"Input")</f>
        <v>0</v>
      </c>
      <c r="GB65" s="1">
        <f ca="1">SUMIFS(Table_Process_Details[RV Acidification (kg SO2 equiv.) per kg API (ENZ&amp;PLNT)],Table_Process_Details[Display Name],Table_Process_Details[[#This Row],[Unique Process Inputs]],Table_Process_Details[Input or Output],"Input")</f>
        <v>0</v>
      </c>
      <c r="GC65" s="1">
        <f ca="1">SUMIFS(Table_Process_Details[RV Acidification (kg SO2 equiv.) per kg API (OTHER)],Table_Process_Details[Display Name],Table_Process_Details[[#This Row],[Unique Process Inputs]],Table_Process_Details[Input or Output],"Input")</f>
        <v>0</v>
      </c>
      <c r="GD65"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5"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5" s="22" t="e">
        <f ca="1">SUM(OFFSET(Table_Process_Details['[Acidification (kg SO2 equiv.) per kg API'] of Unique Inputs Sorted by '[Acidification (kg SO2 equiv.) per kg API']],0,0,Table_Process_Details[[#This Row],[Table Row]]))</f>
        <v>#N/A</v>
      </c>
      <c r="GG65"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5" s="22" t="e">
        <f ca="1">INDEX(Table_Process_Details[Total '[Acidification (kg SO2 equiv.) per kg API'] of Unique Inputs (REAGENT)], MATCH(Table_Process_Details[[#This Row],[Unique Inputs Sorted by '[Acidification (kg SO2 equiv.) per kg API']]],Table_Process_Details[Unique Process Inputs],0))</f>
        <v>#N/A</v>
      </c>
      <c r="GI65" s="22" t="e">
        <f ca="1">INDEX(Table_Process_Details[Total '[Acidification (kg SO2 equiv.) per kg API'] of Unique Inputs (METAL)], MATCH(Table_Process_Details[[#This Row],[Unique Inputs Sorted by '[Acidification (kg SO2 equiv.) per kg API']]],Table_Process_Details[Unique Process Inputs],0))</f>
        <v>#N/A</v>
      </c>
      <c r="GJ65" s="22" t="e">
        <f ca="1">INDEX(Table_Process_Details[Total '[Acidification (kg SO2 equiv.) per kg API'] of Unique Inputs (SOLVENT)], MATCH(Table_Process_Details[[#This Row],[Unique Inputs Sorted by '[Acidification (kg SO2 equiv.) per kg API']]],Table_Process_Details[Unique Process Inputs],0))</f>
        <v>#N/A</v>
      </c>
      <c r="GK65" s="22" t="e">
        <f ca="1">INDEX(Table_Process_Details[Total '[Acidification (kg SO2 equiv.) per kg API'] of Unique Inputs (WATER)], MATCH(Table_Process_Details[[#This Row],[Unique Inputs Sorted by '[Acidification (kg SO2 equiv.) per kg API']]],Table_Process_Details[Unique Process Inputs],0))</f>
        <v>#N/A</v>
      </c>
      <c r="GL65" s="22" t="e">
        <f ca="1">INDEX(Table_Process_Details[Total '[Acidification (kg SO2 equiv.) per kg API'] of Unique Inputs (ENZ&amp;PLNT)], MATCH(Table_Process_Details[[#This Row],[Unique Inputs Sorted by '[Acidification (kg SO2 equiv.) per kg API']]],Table_Process_Details[Unique Process Inputs],0))</f>
        <v>#N/A</v>
      </c>
      <c r="GM65" s="22" t="e">
        <f ca="1">INDEX(Table_Process_Details[Total '[Acidification (kg SO2 equiv.) per kg API'] of Unique Inputs (OTHER)], MATCH(Table_Process_Details[[#This Row],[Unique Inputs Sorted by '[Acidification (kg SO2 equiv.) per kg API']]],Table_Process_Details[Unique Process Inputs],0))</f>
        <v>#N/A</v>
      </c>
      <c r="GN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5" s="22">
        <f ca="1">SUMIFS(Table_Process_Details[RV Eutrophication (kg phosphate equiv.) per kg API],Table_Process_Details[Display Name],Table_Process_Details[[#This Row],[Unique Process Inputs]],Table_Process_Details[Input or Output],"Input")</f>
        <v>0</v>
      </c>
      <c r="GV65" s="1">
        <f ca="1">SUMIFS(Table_Process_Details[RV Eutrophication (kg phosphate equiv.) per kg API (REAGENT)],Table_Process_Details[Display Name],Table_Process_Details[[#This Row],[Unique Process Inputs]],Table_Process_Details[Input or Output],"Input")</f>
        <v>0</v>
      </c>
      <c r="GW65" s="1">
        <f ca="1">SUMIFS(Table_Process_Details[RV Eutrophication (kg phosphate equiv.) per kg API (METAL)],Table_Process_Details[Display Name],Table_Process_Details[[#This Row],[Unique Process Inputs]],Table_Process_Details[Input or Output],"Input")</f>
        <v>0</v>
      </c>
      <c r="GX65" s="1">
        <f ca="1">SUMIFS(Table_Process_Details[RV Eutrophication (kg phosphate equiv.) per kg API (SOLVENT)],Table_Process_Details[Display Name],Table_Process_Details[[#This Row],[Unique Process Inputs]],Table_Process_Details[Input or Output],"Input")</f>
        <v>0</v>
      </c>
      <c r="GY65" s="1">
        <f ca="1">SUMIFS(Table_Process_Details[RV Eutrophication (kg phosphate equiv.) per kg API (WATER)],Table_Process_Details[Display Name],Table_Process_Details[[#This Row],[Unique Process Inputs]],Table_Process_Details[Input or Output],"Input")</f>
        <v>0</v>
      </c>
      <c r="GZ65" s="1">
        <f ca="1">SUMIFS(Table_Process_Details[RV Eutrophication (kg phosphate equiv.) per kg API (ENZ&amp;PLNT)],Table_Process_Details[Display Name],Table_Process_Details[[#This Row],[Unique Process Inputs]],Table_Process_Details[Input or Output],"Input")</f>
        <v>0</v>
      </c>
      <c r="HA65" s="1">
        <f ca="1">SUMIFS(Table_Process_Details[RV Eutrophication (kg phosphate equiv.) per kg API (OTHER)],Table_Process_Details[Display Name],Table_Process_Details[[#This Row],[Unique Process Inputs]],Table_Process_Details[Input or Output],"Input")</f>
        <v>0</v>
      </c>
      <c r="HB65"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5"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5" s="22" t="e">
        <f ca="1">SUM(OFFSET(Table_Process_Details['[Eutrophication (kg posphate equiv.) per kg API'] of Unique Inputs Sorted by '[Eutrophication (kg posphate equiv.) per kg API']],0,0,Table_Process_Details[[#This Row],[Table Row]]))</f>
        <v>#N/A</v>
      </c>
      <c r="HE65"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5" s="1" t="e">
        <f ca="1">INDEX(Table_Process_Details[Total '[Eutrophication (kg posphate equiv.) per kg API'] of Unique Inputs (REAGENT)], MATCH(Table_Process_Details[[#This Row],[Unique Inputs Sorted by '[Eutrophication (kg posphate equiv.) per kg API']]],Table_Process_Details[Unique Process Inputs],0))</f>
        <v>#N/A</v>
      </c>
      <c r="HG65" s="1" t="e">
        <f ca="1">INDEX(Table_Process_Details[Total '[Eutrophication (kg posphate equiv.) per kg API'] of Unique Inputs (METAL)], MATCH(Table_Process_Details[[#This Row],[Unique Inputs Sorted by '[Eutrophication (kg posphate equiv.) per kg API']]],Table_Process_Details[Unique Process Inputs],0))</f>
        <v>#N/A</v>
      </c>
      <c r="HH65" s="1" t="e">
        <f ca="1">INDEX(Table_Process_Details[Total '[Eutrophication (kg posphate equiv.) per kg API'] of Unique Inputs (SOLVENT)], MATCH(Table_Process_Details[[#This Row],[Unique Inputs Sorted by '[Eutrophication (kg posphate equiv.) per kg API']]],Table_Process_Details[Unique Process Inputs],0))</f>
        <v>#N/A</v>
      </c>
      <c r="HI65" s="1" t="e">
        <f ca="1">INDEX(Table_Process_Details[Total '[Eutrophication (kg posphate equiv.) per kg API'] of Unique Inputs (WATER)], MATCH(Table_Process_Details[[#This Row],[Unique Inputs Sorted by '[Eutrophication (kg posphate equiv.) per kg API']]],Table_Process_Details[Unique Process Inputs],0))</f>
        <v>#N/A</v>
      </c>
      <c r="HJ65" s="1" t="e">
        <f ca="1">INDEX(Table_Process_Details[Total '[Eutrophication (kg posphate equiv.) per kg API'] of Unique Inputs (ENZ&amp;PLNT)], MATCH(Table_Process_Details[[#This Row],[Unique Inputs Sorted by '[Eutrophication (kg posphate equiv.) per kg API']]],Table_Process_Details[Unique Process Inputs],0))</f>
        <v>#N/A</v>
      </c>
      <c r="HK65" s="1" t="e">
        <f ca="1">INDEX(Table_Process_Details[Total '[Eutrophication (kg posphate equiv.) per kg API'] of Unique Inputs (OTHER)], MATCH(Table_Process_Details[[#This Row],[Unique Inputs Sorted by '[Eutrophication (kg posphate equiv.) per kg API']]],Table_Process_Details[Unique Process Inputs],0))</f>
        <v>#N/A</v>
      </c>
      <c r="HL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5" s="1">
        <f ca="1">SUMIFS(Table_Process_Details[RV Water (kg) per kg API],Table_Process_Details[Display Name],Table_Process_Details[[#This Row],[Unique Process Inputs]],Table_Process_Details[Input or Output],"Input")</f>
        <v>0</v>
      </c>
      <c r="HT65" s="1">
        <f ca="1">SUMIFS(Table_Process_Details[RV Water (kg) per kg API (REAGENT)],Table_Process_Details[Display Name],Table_Process_Details[[#This Row],[Unique Process Inputs]],Table_Process_Details[Input or Output],"Input")</f>
        <v>0</v>
      </c>
      <c r="HU65" s="1">
        <f ca="1">SUMIFS(Table_Process_Details[RV Water (kg) per kg API (METAL)],Table_Process_Details[Display Name],Table_Process_Details[[#This Row],[Unique Process Inputs]],Table_Process_Details[Input or Output],"Input")</f>
        <v>0</v>
      </c>
      <c r="HV65" s="1">
        <f ca="1">SUMIFS(Table_Process_Details[RV Water (kg) per kg API (SOLVENT)],Table_Process_Details[Display Name],Table_Process_Details[[#This Row],[Unique Process Inputs]],Table_Process_Details[Input or Output],"Input")</f>
        <v>0</v>
      </c>
      <c r="HW65" s="1">
        <f ca="1">SUMIFS(Table_Process_Details[RV Water (kg) per kg API (WATER)],Table_Process_Details[Display Name],Table_Process_Details[[#This Row],[Unique Process Inputs]],Table_Process_Details[Input or Output],"Input")</f>
        <v>0</v>
      </c>
      <c r="HX65" s="1">
        <f ca="1">SUMIFS(Table_Process_Details[RV Water (kg) per kg API (ENZ&amp;PLNT)],Table_Process_Details[Display Name],Table_Process_Details[[#This Row],[Unique Process Inputs]],Table_Process_Details[Input or Output],"Input")</f>
        <v>0</v>
      </c>
      <c r="HY65" s="1">
        <f ca="1">SUMIFS(Table_Process_Details[RV Water (kg) per kg API (OTHER)],Table_Process_Details[Display Name],Table_Process_Details[[#This Row],[Unique Process Inputs]],Table_Process_Details[Input or Output],"Input")</f>
        <v>0</v>
      </c>
      <c r="HZ65" s="22" t="e">
        <f ca="1">INDEX(Table_Process_Details[Unique Process Inputs],MATCH(Table_Process_Details[[#This Row],['[Water (kg) per kg API'] of Unique Inputs Sorted by '[Water (kg) per kg API']]],Table_Process_Details[Total '[Water (kg) per kg API'] of Unique Inputs],0))</f>
        <v>#N/A</v>
      </c>
      <c r="IA65" s="22" t="e">
        <f ca="1">IF(LARGE(Table_Process_Details[Total '[Water (kg) per kg API'] of Unique Inputs],Table_Process_Details[[#This Row],[Table Row]])=0,NA(),LARGE(Table_Process_Details[Total '[Water (kg) per kg API'] of Unique Inputs],Table_Process_Details[[#This Row],[Table Row]]))</f>
        <v>#N/A</v>
      </c>
      <c r="IB65" s="1" t="e">
        <f ca="1">SUM(OFFSET(Table_Process_Details['[Water (kg) per kg API'] of Unique Inputs Sorted by '[Water (kg) per kg API']],0,0,Table_Process_Details[[#This Row],[Table Row]]))</f>
        <v>#N/A</v>
      </c>
      <c r="IC65" s="1" t="e">
        <f ca="1">"("&amp;TEXT(Table_Process_Details[[#This Row],['[Water (kg) per kg API'] of Unique Inputs Sorted by '[Water (kg) per kg API']]]/SUMIF(Table_Process_Details['[Water (kg) per kg API'] of Unique Inputs Sorted by '[Water (kg) per kg API']],"&lt;&gt;#N/A"),"0%")&amp;")"</f>
        <v>#N/A</v>
      </c>
      <c r="ID65" s="1" t="e">
        <f ca="1">INDEX(Table_Process_Details[Total '[Water (kg) per kg API'] of Unique Inputs (REAGENT)], MATCH(Table_Process_Details[[#This Row],[Unique Inputs Sorted by '[Water (kg) per kg API']]],Table_Process_Details[Unique Process Inputs],0))</f>
        <v>#N/A</v>
      </c>
      <c r="IE65" s="1" t="e">
        <f ca="1">INDEX(Table_Process_Details[Total '[Water (kg) per kg API'] of Unique Inputs (METAL)], MATCH(Table_Process_Details[[#This Row],[Unique Inputs Sorted by '[Water (kg) per kg API']]],Table_Process_Details[Unique Process Inputs],0))</f>
        <v>#N/A</v>
      </c>
      <c r="IF65" s="1" t="e">
        <f ca="1">INDEX(Table_Process_Details[Total '[Water (kg) per kg API'] of Unique Inputs (SOLVENT)], MATCH(Table_Process_Details[[#This Row],[Unique Inputs Sorted by '[Water (kg) per kg API']]],Table_Process_Details[Unique Process Inputs],0))</f>
        <v>#N/A</v>
      </c>
      <c r="IG65" s="1" t="e">
        <f ca="1">INDEX(Table_Process_Details[Total '[Water (kg) per kg API'] of Unique Inputs (WATER)], MATCH(Table_Process_Details[[#This Row],[Unique Inputs Sorted by '[Water (kg) per kg API']]],Table_Process_Details[Unique Process Inputs],0))</f>
        <v>#N/A</v>
      </c>
      <c r="IH65" s="1" t="e">
        <f ca="1">INDEX(Table_Process_Details[Total '[Water (kg) per kg API'] of Unique Inputs (ENZ&amp;PLNT)], MATCH(Table_Process_Details[[#This Row],[Unique Inputs Sorted by '[Water (kg) per kg API']]],Table_Process_Details[Unique Process Inputs],0))</f>
        <v>#N/A</v>
      </c>
      <c r="II65" s="1" t="e">
        <f ca="1">INDEX(Table_Process_Details[Total '[Water (kg) per kg API'] of Unique Inputs (OTHER)], MATCH(Table_Process_Details[[#This Row],[Unique Inputs Sorted by '[Water (kg) per kg API']]],Table_Process_Details[Unique Process Inputs],0))</f>
        <v>#N/A</v>
      </c>
    </row>
    <row r="66" spans="1:243" customFormat="1" x14ac:dyDescent="0.25">
      <c r="A66" s="22" t="str">
        <f>A65</f>
        <v>3) Synthesis of Intermediate (3)</v>
      </c>
      <c r="B66" s="21" t="s">
        <v>4</v>
      </c>
      <c r="C66" s="21" t="s">
        <v>170</v>
      </c>
      <c r="D66" s="22" t="str">
        <f>A64</f>
        <v>3a) Virtual solution prep for (3): 25 wt% reagent I (organic) in DMF</v>
      </c>
      <c r="E66" s="22" t="str">
        <f>E64</f>
        <v>25 wt% reagent I (organic) in DMF</v>
      </c>
      <c r="F66" s="26">
        <v>0.2</v>
      </c>
      <c r="G66" s="26"/>
      <c r="H66" s="26"/>
      <c r="I66" s="26"/>
      <c r="J66" s="26" t="str">
        <f>INDEX(Process_Steps[Reference],MATCH(Table_Process_Details[[#This Row],[Step Name]],Process_Steps[Name],0))</f>
        <v>Another Reference Document!</v>
      </c>
      <c r="K66" s="27" t="str">
        <f>INDEX(Process_Steps[Real or Virtual?],MATCH(Table_Process_Details[[#This Row],[Step Name]],Process_Steps[Name],0))</f>
        <v>Real</v>
      </c>
      <c r="L6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66" s="26">
        <f>INDEX(Table_Process_Details[Physical Mass (kg)],MATCH(1,INDEX(((Table_Process_Details[Step Name]=Table_Process_Details[[#This Row],[Step Name]])*(Table_Process_Details[Input or Output]="Output")),0),0))</f>
        <v>0.09</v>
      </c>
      <c r="O66" s="29">
        <f ca="1">INDEX(Process_Steps[Step Scale Factor for 1kg Packaged API],MATCH(Table_Process_Details[[#This Row],[Step Name]],Process_Steps[Name],0))</f>
        <v>11.011194714626619</v>
      </c>
      <c r="P6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13.5</v>
      </c>
      <c r="Q6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7.5</v>
      </c>
      <c r="R66" s="26">
        <f ca="1">_xlfn.SWITCH(Run_Reset_PNG,"Reset",Table_Process_Details[[#This Row],[X Init]],"Run",Table_Process_Details[[#This Row],[X Moved]],"Freeze",Table_Process_Details[[#This Row],[X Mover]])</f>
        <v>21.555049546461916</v>
      </c>
      <c r="S66" s="26">
        <f ca="1">_xlfn.SWITCH(Run_Reset_PNG,"Reset",Table_Process_Details[[#This Row],[Y Init]],"Run",Table_Process_Details[[#This Row],[Y Moved]],"Freeze",Table_Process_Details[[#This Row],[Y Mover]])</f>
        <v>13.396332918603195</v>
      </c>
      <c r="T66" s="26" cm="1">
        <f t="array" aca="1" ref="T6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6.6400042068589737</v>
      </c>
      <c r="U66" s="26" cm="1">
        <f t="array" aca="1" ref="U6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2.639821107193117</v>
      </c>
      <c r="V66" s="26" cm="1">
        <f t="array" aca="1" ref="V66" ca="1">SUM(--(SQRT((Table_Process_Details[[#This Row],[X Mover]]-Table_Process_Details[X Mover])^2+(Table_Process_Details[[#This Row],[Y Mover]]-Table_Process_Details[Y Mover])^2)&lt;Collision_Distance))</f>
        <v>15</v>
      </c>
      <c r="W66" s="26" cm="1">
        <f t="array" aca="1" ref="W6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-0.85802474710841659</v>
      </c>
      <c r="X66" s="26" cm="1">
        <f t="array" aca="1" ref="X6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-0.23129272980119897</v>
      </c>
      <c r="Y66" s="26" cm="1">
        <f t="array" aca="1" ref="Y6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66" s="26">
        <f>0</f>
        <v>0</v>
      </c>
      <c r="AA66" s="26">
        <f>0</f>
        <v>0</v>
      </c>
      <c r="AB6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-10.777524773230958</v>
      </c>
      <c r="AC66" s="26" cm="1">
        <f t="array" aca="1" ref="AC6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-6.6981664593015973</v>
      </c>
      <c r="AD66" s="26">
        <f>MIN(1,COUNTA(Table_Process_Details[[#This Row],[target x]]),COUNTA(Table_Process_Details[[#This Row],[target y]]))*COUNTA(Table_Process_Details[Step Name])</f>
        <v>98</v>
      </c>
      <c r="AE6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21.45872937744765</v>
      </c>
      <c r="AF6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13.388325990175657</v>
      </c>
      <c r="AG6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66" s="26" cm="1">
        <f t="array" aca="1" ref="AH66" ca="1">INDEX(Table_Process_Details[X Mover],MATCH(1,INDEX((Table_Process_Details[Input or Output]="Output")*(Table_Process_Details[Step Name]=Table_Process_Details[[#This Row],[Step Name]])*(Table_Process_Details[[#This Row],[Input or Output]]="Input"),0),0))</f>
        <v>15.707298460481789</v>
      </c>
      <c r="AI66" s="26" cm="1">
        <f t="array" aca="1" ref="AI66" ca="1">INDEX(Table_Process_Details[Y Mover],MATCH(1,INDEX((Table_Process_Details[Input or Output]="Output")*(Table_Process_Details[Step Name]=Table_Process_Details[[#This Row],[Step Name]])*(Table_Process_Details[[#This Row],[Input or Output]]="Input"),0),0))</f>
        <v>10.348961867752488</v>
      </c>
      <c r="AJ66" s="26">
        <f ca="1">SQRT((Table_Process_Details[[#This Row],[X End (To Node Center)]]-Table_Process_Details[[#This Row],[X Guide]])^2+(Table_Process_Details[[#This Row],[Y End (to Node Center)]]-Table_Process_Details[[#This Row],[Y Guide]])^2)</f>
        <v>6.5941385400327084</v>
      </c>
      <c r="AK66" s="26" cm="1">
        <f t="array" aca="1" ref="AK66" ca="1">INDEX(Table_Process_Details[X Mover],MATCH(1,INDEX((Table_Process_Details[Step Name]=Table_Process_Details[[#This Row],[LCA Data Source Subclass]])*(Table_Process_Details[Input or Output]="Output"),0)*(Table_Process_Details[[#This Row],[Input or Output]]="Input"),0))</f>
        <v>25.352355293624477</v>
      </c>
      <c r="AL66" s="26" cm="1">
        <f t="array" aca="1" ref="AL66" ca="1">INDEX(Table_Process_Details[X Mover],MATCH(1,INDEX(((Table_Process_Details[Table Row]=Table_Process_Details[[#This Row],[Table Row]])*(1)),0)*(Table_Process_Details[[#This Row],[Input or Output]]="Input"),0))</f>
        <v>21.555049546461916</v>
      </c>
      <c r="AM66" s="26" cm="1">
        <f t="array" aca="1" ref="AM66" ca="1">(Table_Process_Details[[#This Row],[X End (To Node Center)]]*Table_Process_Details[[#This Row],[r0]]-Table_Process_Details[[#This Row],[X End (To Node Center)]]*Arrow_Offset+Table_Process_Details[[#This Row],[X Guide]]*Arrow_Offset)/Table_Process_Details[[#This Row],[r0]]</f>
        <v>16.416746835031848</v>
      </c>
      <c r="AN66" s="26">
        <f ca="1">IF(NOT(Table_Process_Details[[#This Row],[Display As]]="None"),Table_Process_Details[[#This Row],[X Start Prefilter]],NA())</f>
        <v>25.352355293624477</v>
      </c>
      <c r="AO66" s="26">
        <f ca="1">IF(NOT(Table_Process_Details[[#This Row],[Display As]]="None"),Table_Process_Details[[#This Row],[X Guide Prefilter]],NA())</f>
        <v>21.555049546461916</v>
      </c>
      <c r="AP66" s="26">
        <f ca="1">IF(NOT(Table_Process_Details[[#This Row],[Display As]]="None"),Table_Process_Details[[#This Row],[X End (to Stop Radius) Prefilter]],NA())</f>
        <v>16.416746835031848</v>
      </c>
      <c r="AQ66" s="26" t="e">
        <f>NA()</f>
        <v>#N/A</v>
      </c>
      <c r="AR66" s="26" cm="1">
        <f t="array" aca="1" ref="AR66" ca="1">INDEX(Table_Process_Details[Y Mover],MATCH(1,INDEX((Table_Process_Details[Step Name]=Table_Process_Details[[#This Row],[LCA Data Source Subclass]])*(Table_Process_Details[Input or Output]="Output"),0)*(Table_Process_Details[[#This Row],[Input or Output]]="Input"),0))</f>
        <v>16.489331629258427</v>
      </c>
      <c r="AS66" s="26" cm="1">
        <f t="array" aca="1" ref="AS66" ca="1">INDEX(Table_Process_Details[Y Mover],MATCH(1,INDEX(((Table_Process_Details[Table Row]=Table_Process_Details[[#This Row],[Table Row]])*(1)),0)*(Table_Process_Details[[#This Row],[Input or Output]]="Input"),0))</f>
        <v>13.396332918603195</v>
      </c>
      <c r="AT66" s="26" cm="1">
        <f t="array" aca="1" ref="AT66" ca="1">(Table_Process_Details[[#This Row],[Y Guide]]*Arrow_Offset-Table_Process_Details[[#This Row],[Y End (to Node Center)]]*Arrow_Offset+Table_Process_Details[[#This Row],[Y End (to Node Center)]]*Table_Process_Details[[#This Row],[r0]])/Table_Process_Details[[#This Row],[r0]]</f>
        <v>10.718668513416695</v>
      </c>
      <c r="AU66" s="26">
        <f ca="1">IF(NOT(Table_Process_Details[[#This Row],[Display As]]="None"),Table_Process_Details[[#This Row],[Y Start Prefilter]],NA())</f>
        <v>16.489331629258427</v>
      </c>
      <c r="AV66" s="26">
        <f ca="1">IF(NOT(Table_Process_Details[[#This Row],[Display As]]="None"),Table_Process_Details[[#This Row],[Y Guide Prefilter]],NA())</f>
        <v>13.396332918603195</v>
      </c>
      <c r="AW66" s="26">
        <f ca="1">IF(NOT(Table_Process_Details[[#This Row],[Display As]]="None"),Table_Process_Details[[#This Row],[Y End (to Stop Radius) Prefilter]],NA())</f>
        <v>10.718668513416695</v>
      </c>
      <c r="AX66" s="26" t="e">
        <f>NA()</f>
        <v>#N/A</v>
      </c>
      <c r="AY66" s="26" t="e">
        <f>IF(Table_Process_Details[[#This Row],[Display As]]="Real Step",Table_Process_Details[[#This Row],[X Mover]],NA())</f>
        <v>#N/A</v>
      </c>
      <c r="AZ66" s="26" t="e">
        <f>IF(Table_Process_Details[[#This Row],[Display As]]="Real Step",Table_Process_Details[[#This Row],[Y Mover]],NA())</f>
        <v>#N/A</v>
      </c>
      <c r="BA66" s="26" t="e">
        <f>IF(Table_Process_Details[[#This Row],[Display As]]="Raw Material",Table_Process_Details[[#This Row],[X Mover]],NA())</f>
        <v>#N/A</v>
      </c>
      <c r="BB66" s="26" t="e">
        <f>IF(Table_Process_Details[[#This Row],[Display As]]="Raw Material",Table_Process_Details[[#This Row],[Y Mover]],NA())</f>
        <v>#N/A</v>
      </c>
      <c r="BC66" s="26" t="e">
        <f>IF(OR(Table_Process_Details[[#This Row],[Display As]]="Real Step",Table_Process_Details[[#This Row],[Display As]]="Raw Material"),Table_Process_Details[[#This Row],[X Mover]],NA())</f>
        <v>#N/A</v>
      </c>
      <c r="BD66" s="26" t="e">
        <f>IF(OR(Table_Process_Details[[#This Row],[Display As]]="Real Step",Table_Process_Details[[#This Row],[Display As]]="Raw Material"),Table_Process_Details[[#This Row],[Y Mover]],NA())</f>
        <v>#N/A</v>
      </c>
      <c r="BE66" s="22">
        <f>ROW()-ROW(Table_Process_Details[[#Headers],[Table Row]])</f>
        <v>62</v>
      </c>
      <c r="BF66" s="23" t="e" cm="1">
        <f t="array" aca="1" ref="BF66" ca="1">INDEX(Table_Process_Details[Display Name],MATCH(0,IF(Table_Process_Details[Input or Output]="Input",INDEX(COUNTIF(OFFSET(Table_Process_Details[[#Headers],[Unique Process Inputs]],0,0,Table_Process_Details[[#This Row],[Table Row]],1),Table_Process_Details[Display Name]),),""),0))</f>
        <v>#N/A</v>
      </c>
      <c r="BG66" s="23">
        <f ca="1">Table_Process_Details[[#This Row],[Physical Mass (kg)]]*Table_Process_Details[[#This Row],[Step Scale Factor for 1kg Packaged API]]</f>
        <v>2.202238942925324</v>
      </c>
      <c r="BH6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0.99999999999994016</v>
      </c>
      <c r="BI66" s="23">
        <f ca="1">MATCH(Table_Process_Details[[#This Row],[LCA Data Source Class]],INDIRECT(Table_Process_Details[[#This Row],[Input or Output]]),0)</f>
        <v>1</v>
      </c>
      <c r="BJ66" s="23">
        <f ca="1">MATCH(Table_Process_Details[[#This Row],[LCA Data Source Subclass]],INDIRECT(Table_Process_Details[[#This Row],[LCA Data Source Class]]&amp;"[Name]"),0)</f>
        <v>13</v>
      </c>
      <c r="BK66" s="23">
        <f ca="1">IFERROR(INDEX(INDIRECT(Table_Process_Details[[#This Row],[LCA Data Source Class]]&amp;"[Mass Net (kg)]"),MATCH(Table_Process_Details[[#This Row],[LCA Data Source Subclass]],INDIRECT(Table_Process_Details[[#This Row],[LCA Data Source Class]]&amp;"[Name]"),0)),0)</f>
        <v>0</v>
      </c>
      <c r="BL66" s="23">
        <f ca="1">IFERROR(INDEX(INDIRECT(Table_Process_Details[[#This Row],[LCA Data Source Class]]&amp;"[Energy (MJ)]"),MATCH(Table_Process_Details[[#This Row],[LCA Data Source Subclass]],INDIRECT(Table_Process_Details[[#This Row],[LCA Data Source Class]]&amp;"[Name]"),0)),0)</f>
        <v>0</v>
      </c>
      <c r="BM66" s="23">
        <f ca="1">IFERROR(INDEX(INDIRECT(Table_Process_Details[[#This Row],[LCA Data Source Class]]&amp;"[GWP (kg CO2 equiv.)]"),MATCH(Table_Process_Details[[#This Row],[LCA Data Source Subclass]],INDIRECT(Table_Process_Details[[#This Row],[LCA Data Source Class]]&amp;"[Name]"),0)),0)</f>
        <v>0</v>
      </c>
      <c r="BN66" s="23">
        <f ca="1">IFERROR(INDEX(INDIRECT(Table_Process_Details[[#This Row],[LCA Data Source Class]]&amp;"[Acidification (kg SO2 equiv.)]"),MATCH(Table_Process_Details[[#This Row],[LCA Data Source Subclass]],INDIRECT(Table_Process_Details[[#This Row],[LCA Data Source Class]]&amp;"[Name]"),0)),0)</f>
        <v>0</v>
      </c>
      <c r="BO66" s="23">
        <f ca="1">IFERROR(INDEX(INDIRECT(Table_Process_Details[[#This Row],[LCA Data Source Class]]&amp;"[Eutrophication (kg posphate equiv.)]"),MATCH(Table_Process_Details[[#This Row],[LCA Data Source Subclass]],INDIRECT(Table_Process_Details[[#This Row],[LCA Data Source Class]]&amp;"[Name]"),0)),0)</f>
        <v>0</v>
      </c>
      <c r="BP66" s="23">
        <f ca="1">IFERROR(INDEX(INDIRECT(Table_Process_Details[[#This Row],[LCA Data Source Class]]&amp;"[Water (kg)]"),MATCH(Table_Process_Details[[#This Row],[LCA Data Source Subclass]],INDIRECT(Table_Process_Details[[#This Row],[LCA Data Source Class]]&amp;"[Name]"),0)),0)</f>
        <v>0</v>
      </c>
      <c r="BQ66" s="27">
        <f ca="1">(Table_Process_Details[[#This Row],[Input or Output]]="Input")*(Table_Process_Details[[#This Row],[LCA Data Source Class]]&lt;&gt;"Process_Steps")*Table_Process_Details[[#This Row],[Scaled Physical Mass per kg API for All Inputs &amp; Outputs]]</f>
        <v>0</v>
      </c>
      <c r="BR66" s="27">
        <f ca="1">(Table_Process_Details[[#This Row],[Material Class]]="REAGENT")*Table_Process_Details[[#This Row],[Physical Mass per kg API]]</f>
        <v>0</v>
      </c>
      <c r="BS66" s="27">
        <f ca="1">(Table_Process_Details[[#This Row],[Material Class]]="METAL")*Table_Process_Details[[#This Row],[Physical Mass per kg API]]</f>
        <v>0</v>
      </c>
      <c r="BT66" s="27">
        <f ca="1">(Table_Process_Details[[#This Row],[Material Class]]="SOLVENT")*Table_Process_Details[[#This Row],[Physical Mass per kg API]]</f>
        <v>0</v>
      </c>
      <c r="BU66" s="27">
        <f ca="1">(Table_Process_Details[[#This Row],[Material Class]]="WATER")*Table_Process_Details[[#This Row],[Physical Mass per kg API]]</f>
        <v>0</v>
      </c>
      <c r="BV66" s="27">
        <f ca="1">(Table_Process_Details[[#This Row],[Material Class]]="ENZ&amp;PLNT")*Table_Process_Details[[#This Row],[Physical Mass per kg API]]</f>
        <v>0</v>
      </c>
      <c r="BW66" s="27">
        <f ca="1">(Table_Process_Details[[#This Row],[Material Class]]="OTHER")*Table_Process_Details[[#This Row],[Physical Mass per kg API]]</f>
        <v>0</v>
      </c>
      <c r="BX6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2.202238942925324</v>
      </c>
      <c r="BY6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0.55055973573133099</v>
      </c>
      <c r="BZ6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1.6516792071939932</v>
      </c>
      <c r="CB6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6" s="1">
        <f ca="1">SUMIFS(Table_Process_Details[RV Physical Mass per kg API],Table_Process_Details[Display Name],Table_Process_Details[[#This Row],[Unique Process Inputs]],Table_Process_Details[Input or Output],"Input")</f>
        <v>0</v>
      </c>
      <c r="CF66" s="1">
        <f ca="1">SUMIFS(Table_Process_Details[RV Physical Mass per kg API (REAGENT)],Table_Process_Details[Display Name],Table_Process_Details[[#This Row],[Unique Process Inputs]],Table_Process_Details[Input or Output],"Input")</f>
        <v>0</v>
      </c>
      <c r="CG66" s="1">
        <f ca="1">SUMIFS(Table_Process_Details[RV Physical Mass per kg API (METAL)],Table_Process_Details[Display Name],Table_Process_Details[[#This Row],[Unique Process Inputs]],Table_Process_Details[Input or Output],"Input")</f>
        <v>0</v>
      </c>
      <c r="CH66" s="1">
        <f ca="1">SUMIFS(Table_Process_Details[RV Physical Mass per kg API (SOLVENT)],Table_Process_Details[Display Name],Table_Process_Details[[#This Row],[Unique Process Inputs]],Table_Process_Details[Input or Output],"Input")</f>
        <v>0</v>
      </c>
      <c r="CI66" s="1">
        <f ca="1">SUMIFS(Table_Process_Details[RV Physical Mass per kg API (WATER)],Table_Process_Details[Display Name],Table_Process_Details[[#This Row],[Unique Process Inputs]],Table_Process_Details[Input or Output],"Input")</f>
        <v>0</v>
      </c>
      <c r="CJ66" s="1">
        <f ca="1">SUMIFS(Table_Process_Details[RV Physical Mass per kg API (ENZ&amp;PLNT)],Table_Process_Details[Display Name],Table_Process_Details[[#This Row],[Unique Process Inputs]],Table_Process_Details[Input or Output],"Input")</f>
        <v>0</v>
      </c>
      <c r="CK66" s="1">
        <f ca="1">SUMIFS(Table_Process_Details[RV Physical Mass per kg API (OTHER)],Table_Process_Details[Display Name],Table_Process_Details[[#This Row],[Unique Process Inputs]],Table_Process_Details[Input or Output],"Input")</f>
        <v>0</v>
      </c>
      <c r="CL66" s="22" t="e">
        <f ca="1">INDEX(Table_Process_Details[Unique Process Inputs],MATCH(Table_Process_Details[[#This Row],['[Physical Mass per kg API'] of Unique Inputs Sorted by '[Physical Mass per kg API']]],Table_Process_Details[Total '[Physical Mass per kg API'] of Unique Inputs],0))</f>
        <v>#N/A</v>
      </c>
      <c r="CM66" s="22" t="e">
        <f ca="1">IF(LARGE(Table_Process_Details[Total '[Physical Mass per kg API'] of Unique Inputs],Table_Process_Details[[#This Row],[Table Row]])=0,NA(),LARGE(Table_Process_Details[Total '[Physical Mass per kg API'] of Unique Inputs],Table_Process_Details[[#This Row],[Table Row]]))</f>
        <v>#N/A</v>
      </c>
      <c r="CN66" s="22" t="e">
        <f ca="1">SUM(OFFSET(Table_Process_Details['[Physical Mass per kg API'] of Unique Inputs Sorted by '[Physical Mass per kg API']],0,0,Table_Process_Details[[#This Row],[Table Row]]))</f>
        <v>#N/A</v>
      </c>
      <c r="CO66" s="22" t="e">
        <f ca="1">"("&amp;TEXT(Table_Process_Details[[#This Row],['[Physical Mass per kg API'] of Unique Inputs Sorted by '[Physical Mass per kg API']]]/SUMIF(Table_Process_Details['[Physical Mass per kg API'] of Unique Inputs Sorted by '[Physical Mass per kg API']],"&lt;&gt;#N/A"),"0%")&amp;")"</f>
        <v>#N/A</v>
      </c>
      <c r="CP66" s="22" t="e">
        <f ca="1">INDEX(Table_Process_Details[Total '[Physical Mass per kg API'] of Unique Inputs (REAGENT)],MATCH(Table_Process_Details[[#This Row],[Unique Inputs Sorted by '[Physical Mass per kg API']]],Table_Process_Details[Unique Process Inputs],0))</f>
        <v>#N/A</v>
      </c>
      <c r="CQ66" s="22" t="e">
        <f ca="1">INDEX(Table_Process_Details[Total '[Physical Mass per kg API'] of Unique Inputs (METAL)],MATCH(Table_Process_Details[[#This Row],[Unique Inputs Sorted by '[Physical Mass per kg API']]],Table_Process_Details[Unique Process Inputs],0))</f>
        <v>#N/A</v>
      </c>
      <c r="CR66" s="22" t="e">
        <f ca="1">INDEX(Table_Process_Details[Total '[Physical Mass per kg API'] of Unique Inputs (SOLVENT)],MATCH(Table_Process_Details[[#This Row],[Unique Inputs Sorted by '[Physical Mass per kg API']]],Table_Process_Details[Unique Process Inputs],0))</f>
        <v>#N/A</v>
      </c>
      <c r="CS66" s="22" t="e">
        <f ca="1">INDEX(Table_Process_Details[Total '[Physical Mass per kg API'] of Unique Inputs (WATER)],MATCH(Table_Process_Details[[#This Row],[Unique Inputs Sorted by '[Physical Mass per kg API']]],Table_Process_Details[Unique Process Inputs],0))</f>
        <v>#N/A</v>
      </c>
      <c r="CT66" s="22" t="e">
        <f ca="1">INDEX(Table_Process_Details[Total '[Physical Mass per kg API'] of Unique Inputs (ENZ&amp;PLNT)],MATCH(Table_Process_Details[[#This Row],[Unique Inputs Sorted by '[Physical Mass per kg API']]],Table_Process_Details[Unique Process Inputs],0))</f>
        <v>#N/A</v>
      </c>
      <c r="CU66" s="22" t="e">
        <f ca="1">INDEX(Table_Process_Details[Total '[Physical Mass per kg API'] of Unique Inputs (OTHER)],MATCH(Table_Process_Details[[#This Row],[Unique Inputs Sorted by '[Physical Mass per kg API']]],Table_Process_Details[Unique Process Inputs],0))</f>
        <v>#N/A</v>
      </c>
      <c r="CV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3.8924967062320106</v>
      </c>
      <c r="CW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1.1485341259420281</v>
      </c>
      <c r="CX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2.7439625802899825</v>
      </c>
      <c r="CZ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6" s="22">
        <f ca="1">SUMIFS(Table_Process_Details[RV Mass Net (kg) per kg API],Table_Process_Details[Display Name],Table_Process_Details[[#This Row],[Unique Process Inputs]],Table_Process_Details[Input or Output],"Input")</f>
        <v>0</v>
      </c>
      <c r="DD66" s="22">
        <f ca="1">SUMIFS(Table_Process_Details[RV Mass Net (kg) per kg API (REAGENT)],Table_Process_Details[Display Name],Table_Process_Details[[#This Row],[Unique Process Inputs]],Table_Process_Details[Input or Output],"Input")</f>
        <v>0</v>
      </c>
      <c r="DE66" s="22">
        <f ca="1">SUMIFS(Table_Process_Details[RV Mass Net (kg) per kg API (METAL)],Table_Process_Details[Display Name],Table_Process_Details[[#This Row],[Unique Process Inputs]],Table_Process_Details[Input or Output],"Input")</f>
        <v>0</v>
      </c>
      <c r="DF66" s="22">
        <f ca="1">SUMIFS(Table_Process_Details[RV Mass Net (kg) per kg API (SOLVENT)],Table_Process_Details[Display Name],Table_Process_Details[[#This Row],[Unique Process Inputs]],Table_Process_Details[Input or Output],"Input")</f>
        <v>0</v>
      </c>
      <c r="DG66" s="22">
        <f ca="1">SUMIFS(Table_Process_Details[RV Mass Net (kg) per kg API (WATER)],Table_Process_Details[Display Name],Table_Process_Details[[#This Row],[Unique Process Inputs]],Table_Process_Details[Input or Output],"Input")</f>
        <v>0</v>
      </c>
      <c r="DH66" s="22">
        <f ca="1">SUMIFS(Table_Process_Details[RV Mass Net (kg) per kg API (ENZ&amp;PLNT)],Table_Process_Details[Display Name],Table_Process_Details[[#This Row],[Unique Process Inputs]],Table_Process_Details[Input or Output],"Input")</f>
        <v>0</v>
      </c>
      <c r="DI66" s="22">
        <f ca="1">SUMIFS(Table_Process_Details[RV Mass Net (kg) per kg API (OTHER)],Table_Process_Details[Display Name],Table_Process_Details[[#This Row],[Unique Process Inputs]],Table_Process_Details[Input or Output],"Input")</f>
        <v>0</v>
      </c>
      <c r="DJ66" s="22" t="e">
        <f ca="1">INDEX(Table_Process_Details[Unique Process Inputs],MATCH(Table_Process_Details[[#This Row],['[Mass Net (kg) per kg API'] of Unique Inputs Sorted by '[Mass Net (kg) per kg API']]],Table_Process_Details[Total '[Mass Net (kg) per kg API'] of Unique Inputs],0))</f>
        <v>#N/A</v>
      </c>
      <c r="DK66" s="22" t="e">
        <f ca="1">IF(LARGE(Table_Process_Details[Total '[Mass Net (kg) per kg API'] of Unique Inputs],Table_Process_Details[[#This Row],[Table Row]])=0,NA(),LARGE(Table_Process_Details[Total '[Mass Net (kg) per kg API'] of Unique Inputs],Table_Process_Details[[#This Row],[Table Row]]))</f>
        <v>#N/A</v>
      </c>
      <c r="DL66" s="22" t="e">
        <f ca="1">SUM(OFFSET(Table_Process_Details['[Mass Net (kg) per kg API'] of Unique Inputs Sorted by '[Mass Net (kg) per kg API']],0,0,Table_Process_Details[[#This Row],[Table Row]]))</f>
        <v>#N/A</v>
      </c>
      <c r="DM66" s="22" t="e">
        <f ca="1">"("&amp;TEXT(Table_Process_Details[[#This Row],['[Mass Net (kg) per kg API'] of Unique Inputs Sorted by '[Mass Net (kg) per kg API']]]/SUMIF(Table_Process_Details['[Mass Net (kg) per kg API'] of Unique Inputs Sorted by '[Mass Net (kg) per kg API']],"&lt;&gt;#N/A"),"0%")&amp;")"</f>
        <v>#N/A</v>
      </c>
      <c r="DN66" s="22" t="e">
        <f ca="1">INDEX(Table_Process_Details[Total '[Mass Net (kg) per kg API'] of Unique Inputs (REAGENT)], MATCH(Table_Process_Details[[#This Row],[Unique Inputs Sorted by '[Mass Net (kg) per kg API']]],Table_Process_Details[Unique Process Inputs],0))</f>
        <v>#N/A</v>
      </c>
      <c r="DO66" s="22" t="e">
        <f ca="1">INDEX(Table_Process_Details[Total '[Mass Net (kg) per kg API'] of Unique Inputs (METAL)], MATCH(Table_Process_Details[[#This Row],[Unique Inputs Sorted by '[Mass Net (kg) per kg API']]],Table_Process_Details[Unique Process Inputs],0))</f>
        <v>#N/A</v>
      </c>
      <c r="DP66" s="22" t="e">
        <f ca="1">INDEX(Table_Process_Details[Total '[Mass Net (kg) per kg API'] of Unique Inputs (SOLVENT)], MATCH(Table_Process_Details[[#This Row],[Unique Inputs Sorted by '[Mass Net (kg) per kg API']]],Table_Process_Details[Unique Process Inputs],0))</f>
        <v>#N/A</v>
      </c>
      <c r="DQ66" s="22" t="e">
        <f ca="1">INDEX(Table_Process_Details[Total '[Mass Net (kg) per kg API'] of Unique Inputs (WATER)], MATCH(Table_Process_Details[[#This Row],[Unique Inputs Sorted by '[Mass Net (kg) per kg API']]],Table_Process_Details[Unique Process Inputs],0))</f>
        <v>#N/A</v>
      </c>
      <c r="DR66" s="22" t="e">
        <f ca="1">INDEX(Table_Process_Details[Total '[Mass Net (kg) per kg API'] of Unique Inputs (ENZ&amp;PLNT)], MATCH(Table_Process_Details[[#This Row],[Unique Inputs Sorted by '[Mass Net (kg) per kg API']]],Table_Process_Details[Unique Process Inputs],0))</f>
        <v>#N/A</v>
      </c>
      <c r="DS66" s="22" t="e">
        <f ca="1">INDEX(Table_Process_Details[Total '[Mass Net (kg) per kg API'] of Unique Inputs (OTHER)], MATCH(Table_Process_Details[[#This Row],[Unique Inputs Sorted by '[Mass Net (kg) per kg API']]],Table_Process_Details[Unique Process Inputs],0))</f>
        <v>#N/A</v>
      </c>
      <c r="DT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136.34024331780424</v>
      </c>
      <c r="DU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41.218914633641297</v>
      </c>
      <c r="DV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95.121328684162947</v>
      </c>
      <c r="DX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6" s="1">
        <f ca="1">SUMIFS(Table_Process_Details[RV Energy (MJ) per kg API],Table_Process_Details[Display Name],Table_Process_Details[[#This Row],[Unique Process Inputs]],Table_Process_Details[Input or Output],"Input")</f>
        <v>0</v>
      </c>
      <c r="EB66" s="1">
        <f ca="1">SUMIFS(Table_Process_Details[RV Energy (MJ) per kg API (REAGENT)],Table_Process_Details[Display Name],Table_Process_Details[[#This Row],[Unique Process Inputs]],Table_Process_Details[Input or Output],"Input")</f>
        <v>0</v>
      </c>
      <c r="EC66" s="1">
        <f ca="1">SUMIFS(Table_Process_Details[RV Energy (MJ) per kg API (METAL)],Table_Process_Details[Display Name],Table_Process_Details[[#This Row],[Unique Process Inputs]],Table_Process_Details[Input or Output],"Input")</f>
        <v>0</v>
      </c>
      <c r="ED66" s="1">
        <f ca="1">SUMIFS(Table_Process_Details[RV Energy (MJ) per kg API (SOLVENT)],Table_Process_Details[Display Name],Table_Process_Details[[#This Row],[Unique Process Inputs]],Table_Process_Details[Input or Output],"Input")</f>
        <v>0</v>
      </c>
      <c r="EE66" s="1">
        <f ca="1">SUMIFS(Table_Process_Details[RV Energy (MJ) per kg API (WATER)],Table_Process_Details[Display Name],Table_Process_Details[[#This Row],[Unique Process Inputs]],Table_Process_Details[Input or Output],"Input")</f>
        <v>0</v>
      </c>
      <c r="EF66" s="1">
        <f ca="1">SUMIFS(Table_Process_Details[RV Energy (MJ) per kg API (ENZ&amp;PLNT)],Table_Process_Details[Display Name],Table_Process_Details[[#This Row],[Unique Process Inputs]],Table_Process_Details[Input or Output],"Input")</f>
        <v>0</v>
      </c>
      <c r="EG66" s="1">
        <f ca="1">SUMIFS(Table_Process_Details[RV Energy (MJ) per kg API (OTHER)],Table_Process_Details[Display Name],Table_Process_Details[[#This Row],[Unique Process Inputs]],Table_Process_Details[Input or Output],"Input")</f>
        <v>0</v>
      </c>
      <c r="EH66" s="1" t="e">
        <f ca="1">INDEX(Table_Process_Details[Unique Process Inputs],MATCH(Table_Process_Details[[#This Row],['[Energy (MJ) per kg API'] of Unique Inputs Sorted by '[Energy (MJ) per kg API']]],Table_Process_Details[Total '[Energy (MJ) per kg API'] of Unique Inputs],0))</f>
        <v>#N/A</v>
      </c>
      <c r="EI66" s="22" t="e">
        <f ca="1">IF(LARGE(Table_Process_Details[Total '[Energy (MJ) per kg API'] of Unique Inputs],Table_Process_Details[[#This Row],[Table Row]])=0,NA(),LARGE(Table_Process_Details[Total '[Energy (MJ) per kg API'] of Unique Inputs],Table_Process_Details[[#This Row],[Table Row]]))</f>
        <v>#N/A</v>
      </c>
      <c r="EJ66" s="22" t="e">
        <f ca="1">SUM(OFFSET(Table_Process_Details['[Energy (MJ) per kg API'] of Unique Inputs Sorted by '[Energy (MJ) per kg API']],0,0,Table_Process_Details[[#This Row],[Table Row]]))</f>
        <v>#N/A</v>
      </c>
      <c r="EK66" s="22" t="e">
        <f ca="1">"("&amp;TEXT(Table_Process_Details[[#This Row],['[Energy (MJ) per kg API'] of Unique Inputs Sorted by '[Energy (MJ) per kg API']]]/SUMIF(Table_Process_Details['[Energy (MJ) per kg API'] of Unique Inputs Sorted by '[Energy (MJ) per kg API']],"&lt;&gt;#N/A"),"0%")&amp;")"</f>
        <v>#N/A</v>
      </c>
      <c r="EL66" s="22" t="e">
        <f ca="1">INDEX(Table_Process_Details[Total '[Energy (MJ) per kg API'] of Unique Inputs (REAGENT)], MATCH(Table_Process_Details[[#This Row],[Unique Inputs Sorted by '[Energy (MJ) per kg API']]],Table_Process_Details[Unique Process Inputs],0))</f>
        <v>#N/A</v>
      </c>
      <c r="EM66" s="22" t="e">
        <f ca="1">INDEX(Table_Process_Details[Total '[Energy (MJ) per kg API'] of Unique Inputs (METAL)], MATCH(Table_Process_Details[[#This Row],[Unique Inputs Sorted by '[Energy (MJ) per kg API']]],Table_Process_Details[Unique Process Inputs],0))</f>
        <v>#N/A</v>
      </c>
      <c r="EN66" s="22" t="e">
        <f ca="1">INDEX(Table_Process_Details[Total '[Energy (MJ) per kg API'] of Unique Inputs (SOLVENT)], MATCH(Table_Process_Details[[#This Row],[Unique Inputs Sorted by '[Energy (MJ) per kg API']]],Table_Process_Details[Unique Process Inputs],0))</f>
        <v>#N/A</v>
      </c>
      <c r="EO66" s="22" t="e">
        <f ca="1">INDEX(Table_Process_Details[Total '[Energy (MJ) per kg API'] of Unique Inputs (WATER)], MATCH(Table_Process_Details[[#This Row],[Unique Inputs Sorted by '[Energy (MJ) per kg API']]],Table_Process_Details[Unique Process Inputs],0))</f>
        <v>#N/A</v>
      </c>
      <c r="EP66" s="22" t="e">
        <f ca="1">INDEX(Table_Process_Details[Total '[Energy (MJ) per kg API'] of Unique Inputs (ENZ&amp;PLNT)], MATCH(Table_Process_Details[[#This Row],[Unique Inputs Sorted by '[Energy (MJ) per kg API']]],Table_Process_Details[Unique Process Inputs],0))</f>
        <v>#N/A</v>
      </c>
      <c r="EQ66" s="22" t="e">
        <f ca="1">INDEX(Table_Process_Details[Total '[Energy (MJ) per kg API'] of Unique Inputs (OTHER)], MATCH(Table_Process_Details[[#This Row],[Unique Inputs Sorted by '[Energy (MJ) per kg API']]],Table_Process_Details[Unique Process Inputs],0))</f>
        <v>#N/A</v>
      </c>
      <c r="ER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4.5593040131069085</v>
      </c>
      <c r="ES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1.4448909281371654</v>
      </c>
      <c r="ET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3.1144130849697427</v>
      </c>
      <c r="EV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6" s="22">
        <f ca="1">SUMIFS(Table_Process_Details[RV GWP (kg CO2 equiv.) per kg API],Table_Process_Details[Display Name],Table_Process_Details[[#This Row],[Unique Process Inputs]],Table_Process_Details[Input or Output],"Input")</f>
        <v>0</v>
      </c>
      <c r="EZ66" s="1">
        <f ca="1">SUMIFS(Table_Process_Details[RV GWP (kg CO2 equiv.) per kg API (REAGENT)],Table_Process_Details[Display Name],Table_Process_Details[[#This Row],[Unique Process Inputs]],Table_Process_Details[Input or Output],"Input")</f>
        <v>0</v>
      </c>
      <c r="FA66" s="1">
        <f ca="1">SUMIFS(Table_Process_Details[RV GWP (kg CO2 equiv.) per kg API (METAL)],Table_Process_Details[Display Name],Table_Process_Details[[#This Row],[Unique Process Inputs]],Table_Process_Details[Input or Output],"Input")</f>
        <v>0</v>
      </c>
      <c r="FB66" s="1">
        <f ca="1">SUMIFS(Table_Process_Details[RV GWP (kg CO2 equiv.) per kg API (SOLVENT)],Table_Process_Details[Display Name],Table_Process_Details[[#This Row],[Unique Process Inputs]],Table_Process_Details[Input or Output],"Input")</f>
        <v>0</v>
      </c>
      <c r="FC66" s="1">
        <f ca="1">SUMIFS(Table_Process_Details[RV GWP (kg CO2 equiv.) per kg API (WATER)],Table_Process_Details[Display Name],Table_Process_Details[[#This Row],[Unique Process Inputs]],Table_Process_Details[Input or Output],"Input")</f>
        <v>0</v>
      </c>
      <c r="FD66" s="1">
        <f ca="1">SUMIFS(Table_Process_Details[RV GWP (kg CO2 equiv.) per kg API (ENZ&amp;PLNT)],Table_Process_Details[Display Name],Table_Process_Details[[#This Row],[Unique Process Inputs]],Table_Process_Details[Input or Output],"Input")</f>
        <v>0</v>
      </c>
      <c r="FE66" s="1">
        <f ca="1">SUMIFS(Table_Process_Details[RV GWP (kg CO2 equiv.) per kg API (OTHER)],Table_Process_Details[Display Name],Table_Process_Details[[#This Row],[Unique Process Inputs]],Table_Process_Details[Input or Output],"Input")</f>
        <v>0</v>
      </c>
      <c r="FF66" s="22" t="e">
        <f ca="1">INDEX(Table_Process_Details[Unique Process Inputs],MATCH(Table_Process_Details[[#This Row],['[GWP (kg CO2 equiv.) per kg API'] of Unique Inputs Sorted by '[GWP (kg CO2 equiv.) per kg API']]],Table_Process_Details[Total '[GWP (kg CO2 equiv.) per kg API'] of Unique Inputs],0))</f>
        <v>#N/A</v>
      </c>
      <c r="FG66" s="22" t="e">
        <f ca="1">IF(LARGE(Table_Process_Details[Total '[GWP (kg CO2 equiv.) per kg API'] of Unique Inputs],Table_Process_Details[[#This Row],[Table Row]])=0,NA(),LARGE(Table_Process_Details[Total '[GWP (kg CO2 equiv.) per kg API'] of Unique Inputs],Table_Process_Details[[#This Row],[Table Row]]))</f>
        <v>#N/A</v>
      </c>
      <c r="FH66" s="22" t="e">
        <f ca="1">SUM(OFFSET(Table_Process_Details['[GWP (kg CO2 equiv.) per kg API'] of Unique Inputs Sorted by '[GWP (kg CO2 equiv.) per kg API']],0,0,Table_Process_Details[[#This Row],[Table Row]]))</f>
        <v>#N/A</v>
      </c>
      <c r="FI66" s="22" t="e">
        <f ca="1">"("&amp;TEXT(Table_Process_Details[[#This Row],['[GWP (kg CO2 equiv.) per kg API'] of Unique Inputs Sorted by '[GWP (kg CO2 equiv.) per kg API']]]/SUMIF(Table_Process_Details['[GWP (kg CO2 equiv.) per kg API'] of Unique Inputs Sorted by '[GWP (kg CO2 equiv.) per kg API']],"&lt;&gt;#N/A"),"0%")&amp;")"</f>
        <v>#N/A</v>
      </c>
      <c r="FJ66" s="22" t="e">
        <f ca="1">INDEX(Table_Process_Details[Total '[GWP (kg CO2 equiv.) per kg API'] of Unique Inputs (REAGENT)], MATCH(Table_Process_Details[[#This Row],[Unique Inputs Sorted by '[GWP (kg CO2 equiv.) per kg API']]],Table_Process_Details[Unique Process Inputs],0))</f>
        <v>#N/A</v>
      </c>
      <c r="FK66" s="22" t="e">
        <f ca="1">INDEX(Table_Process_Details[Total '[GWP (kg CO2 equiv.) per kg API'] of Unique Inputs (METAL)], MATCH(Table_Process_Details[[#This Row],[Unique Inputs Sorted by '[GWP (kg CO2 equiv.) per kg API']]],Table_Process_Details[Unique Process Inputs],0))</f>
        <v>#N/A</v>
      </c>
      <c r="FL66" s="22" t="e">
        <f ca="1">INDEX(Table_Process_Details[Total '[GWP (kg CO2 equiv.) per kg API'] of Unique Inputs (SOLVENT)], MATCH(Table_Process_Details[[#This Row],[Unique Inputs Sorted by '[GWP (kg CO2 equiv.) per kg API']]],Table_Process_Details[Unique Process Inputs],0))</f>
        <v>#N/A</v>
      </c>
      <c r="FM66" s="22" t="e">
        <f ca="1">INDEX(Table_Process_Details[Total '[GWP (kg CO2 equiv.) per kg API'] of Unique Inputs (WATER)], MATCH(Table_Process_Details[[#This Row],[Unique Inputs Sorted by '[GWP (kg CO2 equiv.) per kg API']]],Table_Process_Details[Unique Process Inputs],0))</f>
        <v>#N/A</v>
      </c>
      <c r="FN66" s="22" t="e">
        <f ca="1">INDEX(Table_Process_Details[Total '[GWP (kg CO2 equiv.) per kg API'] of Unique Inputs (ENZ&amp;PLNT)], MATCH(Table_Process_Details[[#This Row],[Unique Inputs Sorted by '[GWP (kg CO2 equiv.) per kg API']]],Table_Process_Details[Unique Process Inputs],0))</f>
        <v>#N/A</v>
      </c>
      <c r="FO66" s="22" t="e">
        <f ca="1">INDEX(Table_Process_Details[Total '[GWP (kg CO2 equiv.) per kg API'] of Unique Inputs (OTHER)], MATCH(Table_Process_Details[[#This Row],[Unique Inputs Sorted by '[GWP (kg CO2 equiv.) per kg API']]],Table_Process_Details[Unique Process Inputs],0))</f>
        <v>#N/A</v>
      </c>
      <c r="FP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1.9942517972223524E-2</v>
      </c>
      <c r="FQ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6.1789945367306696E-3</v>
      </c>
      <c r="FR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1.3763523435492855E-2</v>
      </c>
      <c r="FT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6" s="22">
        <f ca="1">SUMIFS(Table_Process_Details[RV Acidification (kg SO2 equiv.) per kg API],Table_Process_Details[Display Name],Table_Process_Details[[#This Row],[Unique Process Inputs]],Table_Process_Details[Input or Output],"Input")</f>
        <v>0</v>
      </c>
      <c r="FX66" s="1">
        <f ca="1">SUMIFS(Table_Process_Details[RV Acidification (kg SO2 equiv.) per kg API (REAGENT)],Table_Process_Details[Display Name],Table_Process_Details[[#This Row],[Unique Process Inputs]],Table_Process_Details[Input or Output],"Input")</f>
        <v>0</v>
      </c>
      <c r="FY66" s="1">
        <f ca="1">SUMIFS(Table_Process_Details[RV Acidification (kg SO2 equiv.) per kg API (METAL)],Table_Process_Details[Display Name],Table_Process_Details[[#This Row],[Unique Process Inputs]],Table_Process_Details[Input or Output],"Input")</f>
        <v>0</v>
      </c>
      <c r="FZ66" s="1">
        <f ca="1">SUMIFS(Table_Process_Details[RV Acidification (kg SO2 equiv.) per kg API (SOLVENT)],Table_Process_Details[Display Name],Table_Process_Details[[#This Row],[Unique Process Inputs]],Table_Process_Details[Input or Output],"Input")</f>
        <v>0</v>
      </c>
      <c r="GA66" s="1">
        <f ca="1">SUMIFS(Table_Process_Details[RV Acidification (kg SO2 equiv.) per kg API (WATER)],Table_Process_Details[Display Name],Table_Process_Details[[#This Row],[Unique Process Inputs]],Table_Process_Details[Input or Output],"Input")</f>
        <v>0</v>
      </c>
      <c r="GB66" s="1">
        <f ca="1">SUMIFS(Table_Process_Details[RV Acidification (kg SO2 equiv.) per kg API (ENZ&amp;PLNT)],Table_Process_Details[Display Name],Table_Process_Details[[#This Row],[Unique Process Inputs]],Table_Process_Details[Input or Output],"Input")</f>
        <v>0</v>
      </c>
      <c r="GC66" s="1">
        <f ca="1">SUMIFS(Table_Process_Details[RV Acidification (kg SO2 equiv.) per kg API (OTHER)],Table_Process_Details[Display Name],Table_Process_Details[[#This Row],[Unique Process Inputs]],Table_Process_Details[Input or Output],"Input")</f>
        <v>0</v>
      </c>
      <c r="GD66"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6"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6" s="22" t="e">
        <f ca="1">SUM(OFFSET(Table_Process_Details['[Acidification (kg SO2 equiv.) per kg API'] of Unique Inputs Sorted by '[Acidification (kg SO2 equiv.) per kg API']],0,0,Table_Process_Details[[#This Row],[Table Row]]))</f>
        <v>#N/A</v>
      </c>
      <c r="GG66"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6" s="22" t="e">
        <f ca="1">INDEX(Table_Process_Details[Total '[Acidification (kg SO2 equiv.) per kg API'] of Unique Inputs (REAGENT)], MATCH(Table_Process_Details[[#This Row],[Unique Inputs Sorted by '[Acidification (kg SO2 equiv.) per kg API']]],Table_Process_Details[Unique Process Inputs],0))</f>
        <v>#N/A</v>
      </c>
      <c r="GI66" s="22" t="e">
        <f ca="1">INDEX(Table_Process_Details[Total '[Acidification (kg SO2 equiv.) per kg API'] of Unique Inputs (METAL)], MATCH(Table_Process_Details[[#This Row],[Unique Inputs Sorted by '[Acidification (kg SO2 equiv.) per kg API']]],Table_Process_Details[Unique Process Inputs],0))</f>
        <v>#N/A</v>
      </c>
      <c r="GJ66" s="22" t="e">
        <f ca="1">INDEX(Table_Process_Details[Total '[Acidification (kg SO2 equiv.) per kg API'] of Unique Inputs (SOLVENT)], MATCH(Table_Process_Details[[#This Row],[Unique Inputs Sorted by '[Acidification (kg SO2 equiv.) per kg API']]],Table_Process_Details[Unique Process Inputs],0))</f>
        <v>#N/A</v>
      </c>
      <c r="GK66" s="22" t="e">
        <f ca="1">INDEX(Table_Process_Details[Total '[Acidification (kg SO2 equiv.) per kg API'] of Unique Inputs (WATER)], MATCH(Table_Process_Details[[#This Row],[Unique Inputs Sorted by '[Acidification (kg SO2 equiv.) per kg API']]],Table_Process_Details[Unique Process Inputs],0))</f>
        <v>#N/A</v>
      </c>
      <c r="GL66" s="22" t="e">
        <f ca="1">INDEX(Table_Process_Details[Total '[Acidification (kg SO2 equiv.) per kg API'] of Unique Inputs (ENZ&amp;PLNT)], MATCH(Table_Process_Details[[#This Row],[Unique Inputs Sorted by '[Acidification (kg SO2 equiv.) per kg API']]],Table_Process_Details[Unique Process Inputs],0))</f>
        <v>#N/A</v>
      </c>
      <c r="GM66" s="22" t="e">
        <f ca="1">INDEX(Table_Process_Details[Total '[Acidification (kg SO2 equiv.) per kg API'] of Unique Inputs (OTHER)], MATCH(Table_Process_Details[[#This Row],[Unique Inputs Sorted by '[Acidification (kg SO2 equiv.) per kg API']]],Table_Process_Details[Unique Process Inputs],0))</f>
        <v>#N/A</v>
      </c>
      <c r="GN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0.15169492326440598</v>
      </c>
      <c r="GO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4.9475795316098626E-3</v>
      </c>
      <c r="GP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0.14674734373279613</v>
      </c>
      <c r="GR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6" s="22">
        <f ca="1">SUMIFS(Table_Process_Details[RV Eutrophication (kg phosphate equiv.) per kg API],Table_Process_Details[Display Name],Table_Process_Details[[#This Row],[Unique Process Inputs]],Table_Process_Details[Input or Output],"Input")</f>
        <v>0</v>
      </c>
      <c r="GV66" s="1">
        <f ca="1">SUMIFS(Table_Process_Details[RV Eutrophication (kg phosphate equiv.) per kg API (REAGENT)],Table_Process_Details[Display Name],Table_Process_Details[[#This Row],[Unique Process Inputs]],Table_Process_Details[Input or Output],"Input")</f>
        <v>0</v>
      </c>
      <c r="GW66" s="1">
        <f ca="1">SUMIFS(Table_Process_Details[RV Eutrophication (kg phosphate equiv.) per kg API (METAL)],Table_Process_Details[Display Name],Table_Process_Details[[#This Row],[Unique Process Inputs]],Table_Process_Details[Input or Output],"Input")</f>
        <v>0</v>
      </c>
      <c r="GX66" s="1">
        <f ca="1">SUMIFS(Table_Process_Details[RV Eutrophication (kg phosphate equiv.) per kg API (SOLVENT)],Table_Process_Details[Display Name],Table_Process_Details[[#This Row],[Unique Process Inputs]],Table_Process_Details[Input or Output],"Input")</f>
        <v>0</v>
      </c>
      <c r="GY66" s="1">
        <f ca="1">SUMIFS(Table_Process_Details[RV Eutrophication (kg phosphate equiv.) per kg API (WATER)],Table_Process_Details[Display Name],Table_Process_Details[[#This Row],[Unique Process Inputs]],Table_Process_Details[Input or Output],"Input")</f>
        <v>0</v>
      </c>
      <c r="GZ66" s="1">
        <f ca="1">SUMIFS(Table_Process_Details[RV Eutrophication (kg phosphate equiv.) per kg API (ENZ&amp;PLNT)],Table_Process_Details[Display Name],Table_Process_Details[[#This Row],[Unique Process Inputs]],Table_Process_Details[Input or Output],"Input")</f>
        <v>0</v>
      </c>
      <c r="HA66" s="1">
        <f ca="1">SUMIFS(Table_Process_Details[RV Eutrophication (kg phosphate equiv.) per kg API (OTHER)],Table_Process_Details[Display Name],Table_Process_Details[[#This Row],[Unique Process Inputs]],Table_Process_Details[Input or Output],"Input")</f>
        <v>0</v>
      </c>
      <c r="HB66"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6"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6" s="22" t="e">
        <f ca="1">SUM(OFFSET(Table_Process_Details['[Eutrophication (kg posphate equiv.) per kg API'] of Unique Inputs Sorted by '[Eutrophication (kg posphate equiv.) per kg API']],0,0,Table_Process_Details[[#This Row],[Table Row]]))</f>
        <v>#N/A</v>
      </c>
      <c r="HE66"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6" s="1" t="e">
        <f ca="1">INDEX(Table_Process_Details[Total '[Eutrophication (kg posphate equiv.) per kg API'] of Unique Inputs (REAGENT)], MATCH(Table_Process_Details[[#This Row],[Unique Inputs Sorted by '[Eutrophication (kg posphate equiv.) per kg API']]],Table_Process_Details[Unique Process Inputs],0))</f>
        <v>#N/A</v>
      </c>
      <c r="HG66" s="1" t="e">
        <f ca="1">INDEX(Table_Process_Details[Total '[Eutrophication (kg posphate equiv.) per kg API'] of Unique Inputs (METAL)], MATCH(Table_Process_Details[[#This Row],[Unique Inputs Sorted by '[Eutrophication (kg posphate equiv.) per kg API']]],Table_Process_Details[Unique Process Inputs],0))</f>
        <v>#N/A</v>
      </c>
      <c r="HH66" s="1" t="e">
        <f ca="1">INDEX(Table_Process_Details[Total '[Eutrophication (kg posphate equiv.) per kg API'] of Unique Inputs (SOLVENT)], MATCH(Table_Process_Details[[#This Row],[Unique Inputs Sorted by '[Eutrophication (kg posphate equiv.) per kg API']]],Table_Process_Details[Unique Process Inputs],0))</f>
        <v>#N/A</v>
      </c>
      <c r="HI66" s="1" t="e">
        <f ca="1">INDEX(Table_Process_Details[Total '[Eutrophication (kg posphate equiv.) per kg API'] of Unique Inputs (WATER)], MATCH(Table_Process_Details[[#This Row],[Unique Inputs Sorted by '[Eutrophication (kg posphate equiv.) per kg API']]],Table_Process_Details[Unique Process Inputs],0))</f>
        <v>#N/A</v>
      </c>
      <c r="HJ66" s="1" t="e">
        <f ca="1">INDEX(Table_Process_Details[Total '[Eutrophication (kg posphate equiv.) per kg API'] of Unique Inputs (ENZ&amp;PLNT)], MATCH(Table_Process_Details[[#This Row],[Unique Inputs Sorted by '[Eutrophication (kg posphate equiv.) per kg API']]],Table_Process_Details[Unique Process Inputs],0))</f>
        <v>#N/A</v>
      </c>
      <c r="HK66" s="1" t="e">
        <f ca="1">INDEX(Table_Process_Details[Total '[Eutrophication (kg posphate equiv.) per kg API'] of Unique Inputs (OTHER)], MATCH(Table_Process_Details[[#This Row],[Unique Inputs Sorted by '[Eutrophication (kg posphate equiv.) per kg API']]],Table_Process_Details[Unique Process Inputs],0))</f>
        <v>#N/A</v>
      </c>
      <c r="HL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24.047755110052929</v>
      </c>
      <c r="HM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8.0906510542627554</v>
      </c>
      <c r="HN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15.957104055790174</v>
      </c>
      <c r="HP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6" s="1">
        <f ca="1">SUMIFS(Table_Process_Details[RV Water (kg) per kg API],Table_Process_Details[Display Name],Table_Process_Details[[#This Row],[Unique Process Inputs]],Table_Process_Details[Input or Output],"Input")</f>
        <v>0</v>
      </c>
      <c r="HT66" s="1">
        <f ca="1">SUMIFS(Table_Process_Details[RV Water (kg) per kg API (REAGENT)],Table_Process_Details[Display Name],Table_Process_Details[[#This Row],[Unique Process Inputs]],Table_Process_Details[Input or Output],"Input")</f>
        <v>0</v>
      </c>
      <c r="HU66" s="1">
        <f ca="1">SUMIFS(Table_Process_Details[RV Water (kg) per kg API (METAL)],Table_Process_Details[Display Name],Table_Process_Details[[#This Row],[Unique Process Inputs]],Table_Process_Details[Input or Output],"Input")</f>
        <v>0</v>
      </c>
      <c r="HV66" s="1">
        <f ca="1">SUMIFS(Table_Process_Details[RV Water (kg) per kg API (SOLVENT)],Table_Process_Details[Display Name],Table_Process_Details[[#This Row],[Unique Process Inputs]],Table_Process_Details[Input or Output],"Input")</f>
        <v>0</v>
      </c>
      <c r="HW66" s="1">
        <f ca="1">SUMIFS(Table_Process_Details[RV Water (kg) per kg API (WATER)],Table_Process_Details[Display Name],Table_Process_Details[[#This Row],[Unique Process Inputs]],Table_Process_Details[Input or Output],"Input")</f>
        <v>0</v>
      </c>
      <c r="HX66" s="1">
        <f ca="1">SUMIFS(Table_Process_Details[RV Water (kg) per kg API (ENZ&amp;PLNT)],Table_Process_Details[Display Name],Table_Process_Details[[#This Row],[Unique Process Inputs]],Table_Process_Details[Input or Output],"Input")</f>
        <v>0</v>
      </c>
      <c r="HY66" s="1">
        <f ca="1">SUMIFS(Table_Process_Details[RV Water (kg) per kg API (OTHER)],Table_Process_Details[Display Name],Table_Process_Details[[#This Row],[Unique Process Inputs]],Table_Process_Details[Input or Output],"Input")</f>
        <v>0</v>
      </c>
      <c r="HZ66" s="22" t="e">
        <f ca="1">INDEX(Table_Process_Details[Unique Process Inputs],MATCH(Table_Process_Details[[#This Row],['[Water (kg) per kg API'] of Unique Inputs Sorted by '[Water (kg) per kg API']]],Table_Process_Details[Total '[Water (kg) per kg API'] of Unique Inputs],0))</f>
        <v>#N/A</v>
      </c>
      <c r="IA66" s="22" t="e">
        <f ca="1">IF(LARGE(Table_Process_Details[Total '[Water (kg) per kg API'] of Unique Inputs],Table_Process_Details[[#This Row],[Table Row]])=0,NA(),LARGE(Table_Process_Details[Total '[Water (kg) per kg API'] of Unique Inputs],Table_Process_Details[[#This Row],[Table Row]]))</f>
        <v>#N/A</v>
      </c>
      <c r="IB66" s="1" t="e">
        <f ca="1">SUM(OFFSET(Table_Process_Details['[Water (kg) per kg API'] of Unique Inputs Sorted by '[Water (kg) per kg API']],0,0,Table_Process_Details[[#This Row],[Table Row]]))</f>
        <v>#N/A</v>
      </c>
      <c r="IC66" s="1" t="e">
        <f ca="1">"("&amp;TEXT(Table_Process_Details[[#This Row],['[Water (kg) per kg API'] of Unique Inputs Sorted by '[Water (kg) per kg API']]]/SUMIF(Table_Process_Details['[Water (kg) per kg API'] of Unique Inputs Sorted by '[Water (kg) per kg API']],"&lt;&gt;#N/A"),"0%")&amp;")"</f>
        <v>#N/A</v>
      </c>
      <c r="ID66" s="1" t="e">
        <f ca="1">INDEX(Table_Process_Details[Total '[Water (kg) per kg API'] of Unique Inputs (REAGENT)], MATCH(Table_Process_Details[[#This Row],[Unique Inputs Sorted by '[Water (kg) per kg API']]],Table_Process_Details[Unique Process Inputs],0))</f>
        <v>#N/A</v>
      </c>
      <c r="IE66" s="1" t="e">
        <f ca="1">INDEX(Table_Process_Details[Total '[Water (kg) per kg API'] of Unique Inputs (METAL)], MATCH(Table_Process_Details[[#This Row],[Unique Inputs Sorted by '[Water (kg) per kg API']]],Table_Process_Details[Unique Process Inputs],0))</f>
        <v>#N/A</v>
      </c>
      <c r="IF66" s="1" t="e">
        <f ca="1">INDEX(Table_Process_Details[Total '[Water (kg) per kg API'] of Unique Inputs (SOLVENT)], MATCH(Table_Process_Details[[#This Row],[Unique Inputs Sorted by '[Water (kg) per kg API']]],Table_Process_Details[Unique Process Inputs],0))</f>
        <v>#N/A</v>
      </c>
      <c r="IG66" s="1" t="e">
        <f ca="1">INDEX(Table_Process_Details[Total '[Water (kg) per kg API'] of Unique Inputs (WATER)], MATCH(Table_Process_Details[[#This Row],[Unique Inputs Sorted by '[Water (kg) per kg API']]],Table_Process_Details[Unique Process Inputs],0))</f>
        <v>#N/A</v>
      </c>
      <c r="IH66" s="1" t="e">
        <f ca="1">INDEX(Table_Process_Details[Total '[Water (kg) per kg API'] of Unique Inputs (ENZ&amp;PLNT)], MATCH(Table_Process_Details[[#This Row],[Unique Inputs Sorted by '[Water (kg) per kg API']]],Table_Process_Details[Unique Process Inputs],0))</f>
        <v>#N/A</v>
      </c>
      <c r="II66" s="1" t="e">
        <f ca="1">INDEX(Table_Process_Details[Total '[Water (kg) per kg API'] of Unique Inputs (OTHER)], MATCH(Table_Process_Details[[#This Row],[Unique Inputs Sorted by '[Water (kg) per kg API']]],Table_Process_Details[Unique Process Inputs],0))</f>
        <v>#N/A</v>
      </c>
    </row>
    <row r="67" spans="1:243" customFormat="1" x14ac:dyDescent="0.25">
      <c r="A67" s="22" t="str">
        <f t="shared" ref="A67:A69" si="2">A66</f>
        <v>3) Synthesis of Intermediate (3)</v>
      </c>
      <c r="B67" s="21" t="s">
        <v>4</v>
      </c>
      <c r="C67" s="21" t="s">
        <v>170</v>
      </c>
      <c r="D67" s="22" t="str">
        <f>A22</f>
        <v>1f) Virtual solution prep for (1) and (3): 20 wt% reagent D (organic) in DMF</v>
      </c>
      <c r="E67" s="22" t="str">
        <f>E22</f>
        <v>20 wt% reagent D (organic) in DMF</v>
      </c>
      <c r="F67" s="26">
        <v>0.3</v>
      </c>
      <c r="G67" s="26"/>
      <c r="H67" s="26"/>
      <c r="I67" s="26"/>
      <c r="J67" s="26" t="str">
        <f>INDEX(Process_Steps[Reference],MATCH(Table_Process_Details[[#This Row],[Step Name]],Process_Steps[Name],0))</f>
        <v>Another Reference Document!</v>
      </c>
      <c r="K67" s="27" t="str">
        <f>INDEX(Process_Steps[Real or Virtual?],MATCH(Table_Process_Details[[#This Row],[Step Name]],Process_Steps[Name],0))</f>
        <v>Real</v>
      </c>
      <c r="L6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6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67" s="26">
        <f>INDEX(Table_Process_Details[Physical Mass (kg)],MATCH(1,INDEX(((Table_Process_Details[Step Name]=Table_Process_Details[[#This Row],[Step Name]])*(Table_Process_Details[Input or Output]="Output")),0),0))</f>
        <v>0.09</v>
      </c>
      <c r="O67" s="29">
        <f ca="1">INDEX(Process_Steps[Step Scale Factor for 1kg Packaged API],MATCH(Table_Process_Details[[#This Row],[Step Name]],Process_Steps[Name],0))</f>
        <v>11.011194714626619</v>
      </c>
      <c r="P6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10</v>
      </c>
      <c r="Q6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11</v>
      </c>
      <c r="R67" s="26">
        <f ca="1">_xlfn.SWITCH(Run_Reset_PNG,"Reset",Table_Process_Details[[#This Row],[X Init]],"Run",Table_Process_Details[[#This Row],[X Moved]],"Freeze",Table_Process_Details[[#This Row],[X Mover]])</f>
        <v>14.503219595463817</v>
      </c>
      <c r="S67" s="26">
        <f ca="1">_xlfn.SWITCH(Run_Reset_PNG,"Reset",Table_Process_Details[[#This Row],[Y Init]],"Run",Table_Process_Details[[#This Row],[Y Moved]],"Freeze",Table_Process_Details[[#This Row],[Y Mover]])</f>
        <v>15.913343514149426</v>
      </c>
      <c r="T67" s="26" cm="1">
        <f t="array" aca="1" ref="T6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0.24068567249655376</v>
      </c>
      <c r="U67" s="26" cm="1">
        <f t="array" aca="1" ref="U6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4.7659864124678855</v>
      </c>
      <c r="V67" s="26" cm="1">
        <f t="array" aca="1" ref="V67" ca="1">SUM(--(SQRT((Table_Process_Details[[#This Row],[X Mover]]-Table_Process_Details[X Mover])^2+(Table_Process_Details[[#This Row],[Y Mover]]-Table_Process_Details[Y Mover])^2)&lt;Collision_Distance))</f>
        <v>16</v>
      </c>
      <c r="W67" s="26" cm="1">
        <f t="array" aca="1" ref="W6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7.1497103636674053E-3</v>
      </c>
      <c r="X67" s="26" cm="1">
        <f t="array" aca="1" ref="X6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-0.5070756743660676</v>
      </c>
      <c r="Y67" s="26" cm="1">
        <f t="array" aca="1" ref="Y6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67" s="26">
        <f>0</f>
        <v>0</v>
      </c>
      <c r="AA67" s="26">
        <f>0</f>
        <v>0</v>
      </c>
      <c r="AB6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-7.2516097977319083</v>
      </c>
      <c r="AC67" s="26" cm="1">
        <f t="array" aca="1" ref="AC6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-7.9566717570747132</v>
      </c>
      <c r="AD67" s="26">
        <f>MIN(1,COUNTA(Table_Process_Details[[#This Row],[target x]]),COUNTA(Table_Process_Details[[#This Row],[target y]]))*COUNTA(Table_Process_Details[Step Name])</f>
        <v>98</v>
      </c>
      <c r="AE6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14.447841286832482</v>
      </c>
      <c r="AF6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15.876489299612219</v>
      </c>
      <c r="AG6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67" s="26" cm="1">
        <f t="array" aca="1" ref="AH67" ca="1">INDEX(Table_Process_Details[X Mover],MATCH(1,INDEX((Table_Process_Details[Input or Output]="Output")*(Table_Process_Details[Step Name]=Table_Process_Details[[#This Row],[Step Name]])*(Table_Process_Details[[#This Row],[Input or Output]]="Input"),0),0))</f>
        <v>15.707298460481789</v>
      </c>
      <c r="AI67" s="26" cm="1">
        <f t="array" aca="1" ref="AI67" ca="1">INDEX(Table_Process_Details[Y Mover],MATCH(1,INDEX((Table_Process_Details[Input or Output]="Output")*(Table_Process_Details[Step Name]=Table_Process_Details[[#This Row],[Step Name]])*(Table_Process_Details[[#This Row],[Input or Output]]="Input"),0),0))</f>
        <v>10.348961867752488</v>
      </c>
      <c r="AJ67" s="26">
        <f ca="1">SQRT((Table_Process_Details[[#This Row],[X End (To Node Center)]]-Table_Process_Details[[#This Row],[X Guide]])^2+(Table_Process_Details[[#This Row],[Y End (to Node Center)]]-Table_Process_Details[[#This Row],[Y Guide]])^2)</f>
        <v>5.6931668709025276</v>
      </c>
      <c r="AK67" s="26" cm="1">
        <f t="array" aca="1" ref="AK67" ca="1">INDEX(Table_Process_Details[X Mover],MATCH(1,INDEX((Table_Process_Details[Step Name]=Table_Process_Details[[#This Row],[LCA Data Source Subclass]])*(Table_Process_Details[Input or Output]="Output"),0)*(Table_Process_Details[[#This Row],[Input or Output]]="Input"),0))</f>
        <v>12.974140333930144</v>
      </c>
      <c r="AL67" s="26" cm="1">
        <f t="array" aca="1" ref="AL67" ca="1">INDEX(Table_Process_Details[X Mover],MATCH(1,INDEX(((Table_Process_Details[Table Row]=Table_Process_Details[[#This Row],[Table Row]])*(1)),0)*(Table_Process_Details[[#This Row],[Input or Output]]="Input"),0))</f>
        <v>14.503219595463817</v>
      </c>
      <c r="AM67" s="26" cm="1">
        <f t="array" aca="1" ref="AM67" ca="1">(Table_Process_Details[[#This Row],[X End (To Node Center)]]*Table_Process_Details[[#This Row],[r0]]-Table_Process_Details[[#This Row],[X End (To Node Center)]]*Arrow_Offset+Table_Process_Details[[#This Row],[X Guide]]*Arrow_Offset)/Table_Process_Details[[#This Row],[r0]]</f>
        <v>15.538102103892001</v>
      </c>
      <c r="AN67" s="26">
        <f ca="1">IF(NOT(Table_Process_Details[[#This Row],[Display As]]="None"),Table_Process_Details[[#This Row],[X Start Prefilter]],NA())</f>
        <v>12.974140333930144</v>
      </c>
      <c r="AO67" s="26">
        <f ca="1">IF(NOT(Table_Process_Details[[#This Row],[Display As]]="None"),Table_Process_Details[[#This Row],[X Guide Prefilter]],NA())</f>
        <v>14.503219595463817</v>
      </c>
      <c r="AP67" s="26">
        <f ca="1">IF(NOT(Table_Process_Details[[#This Row],[Display As]]="None"),Table_Process_Details[[#This Row],[X End (to Stop Radius) Prefilter]],NA())</f>
        <v>15.538102103892001</v>
      </c>
      <c r="AQ67" s="26" t="e">
        <f>NA()</f>
        <v>#N/A</v>
      </c>
      <c r="AR67" s="26" cm="1">
        <f t="array" aca="1" ref="AR67" ca="1">INDEX(Table_Process_Details[Y Mover],MATCH(1,INDEX((Table_Process_Details[Step Name]=Table_Process_Details[[#This Row],[LCA Data Source Subclass]])*(Table_Process_Details[Input or Output]="Output"),0)*(Table_Process_Details[[#This Row],[Input or Output]]="Input"),0))</f>
        <v>20.368995765321468</v>
      </c>
      <c r="AS67" s="26" cm="1">
        <f t="array" aca="1" ref="AS67" ca="1">INDEX(Table_Process_Details[Y Mover],MATCH(1,INDEX(((Table_Process_Details[Table Row]=Table_Process_Details[[#This Row],[Table Row]])*(1)),0)*(Table_Process_Details[[#This Row],[Input or Output]]="Input"),0))</f>
        <v>15.913343514149426</v>
      </c>
      <c r="AT67" s="26" cm="1">
        <f t="array" aca="1" ref="AT67" ca="1">(Table_Process_Details[[#This Row],[Y Guide]]*Arrow_Offset-Table_Process_Details[[#This Row],[Y End (to Node Center)]]*Arrow_Offset+Table_Process_Details[[#This Row],[Y End (to Node Center)]]*Table_Process_Details[[#This Row],[r0]])/Table_Process_Details[[#This Row],[r0]]</f>
        <v>11.130865054161612</v>
      </c>
      <c r="AU67" s="26">
        <f ca="1">IF(NOT(Table_Process_Details[[#This Row],[Display As]]="None"),Table_Process_Details[[#This Row],[Y Start Prefilter]],NA())</f>
        <v>20.368995765321468</v>
      </c>
      <c r="AV67" s="26">
        <f ca="1">IF(NOT(Table_Process_Details[[#This Row],[Display As]]="None"),Table_Process_Details[[#This Row],[Y Guide Prefilter]],NA())</f>
        <v>15.913343514149426</v>
      </c>
      <c r="AW67" s="26">
        <f ca="1">IF(NOT(Table_Process_Details[[#This Row],[Display As]]="None"),Table_Process_Details[[#This Row],[Y End (to Stop Radius) Prefilter]],NA())</f>
        <v>11.130865054161612</v>
      </c>
      <c r="AX67" s="26" t="e">
        <f>NA()</f>
        <v>#N/A</v>
      </c>
      <c r="AY67" s="26" t="e">
        <f>IF(Table_Process_Details[[#This Row],[Display As]]="Real Step",Table_Process_Details[[#This Row],[X Mover]],NA())</f>
        <v>#N/A</v>
      </c>
      <c r="AZ67" s="26" t="e">
        <f>IF(Table_Process_Details[[#This Row],[Display As]]="Real Step",Table_Process_Details[[#This Row],[Y Mover]],NA())</f>
        <v>#N/A</v>
      </c>
      <c r="BA67" s="26" t="e">
        <f>IF(Table_Process_Details[[#This Row],[Display As]]="Raw Material",Table_Process_Details[[#This Row],[X Mover]],NA())</f>
        <v>#N/A</v>
      </c>
      <c r="BB67" s="26" t="e">
        <f>IF(Table_Process_Details[[#This Row],[Display As]]="Raw Material",Table_Process_Details[[#This Row],[Y Mover]],NA())</f>
        <v>#N/A</v>
      </c>
      <c r="BC67" s="26" t="e">
        <f>IF(OR(Table_Process_Details[[#This Row],[Display As]]="Real Step",Table_Process_Details[[#This Row],[Display As]]="Raw Material"),Table_Process_Details[[#This Row],[X Mover]],NA())</f>
        <v>#N/A</v>
      </c>
      <c r="BD67" s="26" t="e">
        <f>IF(OR(Table_Process_Details[[#This Row],[Display As]]="Real Step",Table_Process_Details[[#This Row],[Display As]]="Raw Material"),Table_Process_Details[[#This Row],[Y Mover]],NA())</f>
        <v>#N/A</v>
      </c>
      <c r="BE67" s="22">
        <f>ROW()-ROW(Table_Process_Details[[#Headers],[Table Row]])</f>
        <v>63</v>
      </c>
      <c r="BF67" s="23" t="e" cm="1">
        <f t="array" aca="1" ref="BF67" ca="1">INDEX(Table_Process_Details[Display Name],MATCH(0,IF(Table_Process_Details[Input or Output]="Input",INDEX(COUNTIF(OFFSET(Table_Process_Details[[#Headers],[Unique Process Inputs]],0,0,Table_Process_Details[[#This Row],[Table Row]],1),Table_Process_Details[Display Name]),),""),0))</f>
        <v>#N/A</v>
      </c>
      <c r="BG67" s="23">
        <f ca="1">Table_Process_Details[[#This Row],[Physical Mass (kg)]]*Table_Process_Details[[#This Row],[Step Scale Factor for 1kg Packaged API]]</f>
        <v>3.3033584143879855</v>
      </c>
      <c r="BH6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0.54158748720799543</v>
      </c>
      <c r="BI67" s="23">
        <f ca="1">MATCH(Table_Process_Details[[#This Row],[LCA Data Source Class]],INDIRECT(Table_Process_Details[[#This Row],[Input or Output]]),0)</f>
        <v>1</v>
      </c>
      <c r="BJ67" s="23">
        <f ca="1">MATCH(Table_Process_Details[[#This Row],[LCA Data Source Subclass]],INDIRECT(Table_Process_Details[[#This Row],[LCA Data Source Class]]&amp;"[Name]"),0)</f>
        <v>6</v>
      </c>
      <c r="BK67" s="23">
        <f ca="1">IFERROR(INDEX(INDIRECT(Table_Process_Details[[#This Row],[LCA Data Source Class]]&amp;"[Mass Net (kg)]"),MATCH(Table_Process_Details[[#This Row],[LCA Data Source Subclass]],INDIRECT(Table_Process_Details[[#This Row],[LCA Data Source Class]]&amp;"[Name]"),0)),0)</f>
        <v>0</v>
      </c>
      <c r="BL67" s="23">
        <f ca="1">IFERROR(INDEX(INDIRECT(Table_Process_Details[[#This Row],[LCA Data Source Class]]&amp;"[Energy (MJ)]"),MATCH(Table_Process_Details[[#This Row],[LCA Data Source Subclass]],INDIRECT(Table_Process_Details[[#This Row],[LCA Data Source Class]]&amp;"[Name]"),0)),0)</f>
        <v>0</v>
      </c>
      <c r="BM67" s="23">
        <f ca="1">IFERROR(INDEX(INDIRECT(Table_Process_Details[[#This Row],[LCA Data Source Class]]&amp;"[GWP (kg CO2 equiv.)]"),MATCH(Table_Process_Details[[#This Row],[LCA Data Source Subclass]],INDIRECT(Table_Process_Details[[#This Row],[LCA Data Source Class]]&amp;"[Name]"),0)),0)</f>
        <v>0</v>
      </c>
      <c r="BN67" s="23">
        <f ca="1">IFERROR(INDEX(INDIRECT(Table_Process_Details[[#This Row],[LCA Data Source Class]]&amp;"[Acidification (kg SO2 equiv.)]"),MATCH(Table_Process_Details[[#This Row],[LCA Data Source Subclass]],INDIRECT(Table_Process_Details[[#This Row],[LCA Data Source Class]]&amp;"[Name]"),0)),0)</f>
        <v>0</v>
      </c>
      <c r="BO67" s="23">
        <f ca="1">IFERROR(INDEX(INDIRECT(Table_Process_Details[[#This Row],[LCA Data Source Class]]&amp;"[Eutrophication (kg posphate equiv.)]"),MATCH(Table_Process_Details[[#This Row],[LCA Data Source Subclass]],INDIRECT(Table_Process_Details[[#This Row],[LCA Data Source Class]]&amp;"[Name]"),0)),0)</f>
        <v>0</v>
      </c>
      <c r="BP67" s="23">
        <f ca="1">IFERROR(INDEX(INDIRECT(Table_Process_Details[[#This Row],[LCA Data Source Class]]&amp;"[Water (kg)]"),MATCH(Table_Process_Details[[#This Row],[LCA Data Source Subclass]],INDIRECT(Table_Process_Details[[#This Row],[LCA Data Source Class]]&amp;"[Name]"),0)),0)</f>
        <v>0</v>
      </c>
      <c r="BQ67" s="27">
        <f ca="1">(Table_Process_Details[[#This Row],[Input or Output]]="Input")*(Table_Process_Details[[#This Row],[LCA Data Source Class]]&lt;&gt;"Process_Steps")*Table_Process_Details[[#This Row],[Scaled Physical Mass per kg API for All Inputs &amp; Outputs]]</f>
        <v>0</v>
      </c>
      <c r="BR67" s="27">
        <f ca="1">(Table_Process_Details[[#This Row],[Material Class]]="REAGENT")*Table_Process_Details[[#This Row],[Physical Mass per kg API]]</f>
        <v>0</v>
      </c>
      <c r="BS67" s="27">
        <f ca="1">(Table_Process_Details[[#This Row],[Material Class]]="METAL")*Table_Process_Details[[#This Row],[Physical Mass per kg API]]</f>
        <v>0</v>
      </c>
      <c r="BT67" s="27">
        <f ca="1">(Table_Process_Details[[#This Row],[Material Class]]="SOLVENT")*Table_Process_Details[[#This Row],[Physical Mass per kg API]]</f>
        <v>0</v>
      </c>
      <c r="BU67" s="27">
        <f ca="1">(Table_Process_Details[[#This Row],[Material Class]]="WATER")*Table_Process_Details[[#This Row],[Physical Mass per kg API]]</f>
        <v>0</v>
      </c>
      <c r="BV67" s="27">
        <f ca="1">(Table_Process_Details[[#This Row],[Material Class]]="ENZ&amp;PLNT")*Table_Process_Details[[#This Row],[Physical Mass per kg API]]</f>
        <v>0</v>
      </c>
      <c r="BW67" s="27">
        <f ca="1">(Table_Process_Details[[#This Row],[Material Class]]="OTHER")*Table_Process_Details[[#This Row],[Physical Mass per kg API]]</f>
        <v>0</v>
      </c>
      <c r="BX6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6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6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7" s="1">
        <f ca="1">SUMIFS(Table_Process_Details[RV Physical Mass per kg API],Table_Process_Details[Display Name],Table_Process_Details[[#This Row],[Unique Process Inputs]],Table_Process_Details[Input or Output],"Input")</f>
        <v>0</v>
      </c>
      <c r="CF67" s="1">
        <f ca="1">SUMIFS(Table_Process_Details[RV Physical Mass per kg API (REAGENT)],Table_Process_Details[Display Name],Table_Process_Details[[#This Row],[Unique Process Inputs]],Table_Process_Details[Input or Output],"Input")</f>
        <v>0</v>
      </c>
      <c r="CG67" s="1">
        <f ca="1">SUMIFS(Table_Process_Details[RV Physical Mass per kg API (METAL)],Table_Process_Details[Display Name],Table_Process_Details[[#This Row],[Unique Process Inputs]],Table_Process_Details[Input or Output],"Input")</f>
        <v>0</v>
      </c>
      <c r="CH67" s="1">
        <f ca="1">SUMIFS(Table_Process_Details[RV Physical Mass per kg API (SOLVENT)],Table_Process_Details[Display Name],Table_Process_Details[[#This Row],[Unique Process Inputs]],Table_Process_Details[Input or Output],"Input")</f>
        <v>0</v>
      </c>
      <c r="CI67" s="1">
        <f ca="1">SUMIFS(Table_Process_Details[RV Physical Mass per kg API (WATER)],Table_Process_Details[Display Name],Table_Process_Details[[#This Row],[Unique Process Inputs]],Table_Process_Details[Input or Output],"Input")</f>
        <v>0</v>
      </c>
      <c r="CJ67" s="1">
        <f ca="1">SUMIFS(Table_Process_Details[RV Physical Mass per kg API (ENZ&amp;PLNT)],Table_Process_Details[Display Name],Table_Process_Details[[#This Row],[Unique Process Inputs]],Table_Process_Details[Input or Output],"Input")</f>
        <v>0</v>
      </c>
      <c r="CK67" s="1">
        <f ca="1">SUMIFS(Table_Process_Details[RV Physical Mass per kg API (OTHER)],Table_Process_Details[Display Name],Table_Process_Details[[#This Row],[Unique Process Inputs]],Table_Process_Details[Input or Output],"Input")</f>
        <v>0</v>
      </c>
      <c r="CL67" s="22" t="e">
        <f ca="1">INDEX(Table_Process_Details[Unique Process Inputs],MATCH(Table_Process_Details[[#This Row],['[Physical Mass per kg API'] of Unique Inputs Sorted by '[Physical Mass per kg API']]],Table_Process_Details[Total '[Physical Mass per kg API'] of Unique Inputs],0))</f>
        <v>#N/A</v>
      </c>
      <c r="CM67" s="22" t="e">
        <f ca="1">IF(LARGE(Table_Process_Details[Total '[Physical Mass per kg API'] of Unique Inputs],Table_Process_Details[[#This Row],[Table Row]])=0,NA(),LARGE(Table_Process_Details[Total '[Physical Mass per kg API'] of Unique Inputs],Table_Process_Details[[#This Row],[Table Row]]))</f>
        <v>#N/A</v>
      </c>
      <c r="CN67" s="22" t="e">
        <f ca="1">SUM(OFFSET(Table_Process_Details['[Physical Mass per kg API'] of Unique Inputs Sorted by '[Physical Mass per kg API']],0,0,Table_Process_Details[[#This Row],[Table Row]]))</f>
        <v>#N/A</v>
      </c>
      <c r="CO67" s="22" t="e">
        <f ca="1">"("&amp;TEXT(Table_Process_Details[[#This Row],['[Physical Mass per kg API'] of Unique Inputs Sorted by '[Physical Mass per kg API']]]/SUMIF(Table_Process_Details['[Physical Mass per kg API'] of Unique Inputs Sorted by '[Physical Mass per kg API']],"&lt;&gt;#N/A"),"0%")&amp;")"</f>
        <v>#N/A</v>
      </c>
      <c r="CP67" s="22" t="e">
        <f ca="1">INDEX(Table_Process_Details[Total '[Physical Mass per kg API'] of Unique Inputs (REAGENT)],MATCH(Table_Process_Details[[#This Row],[Unique Inputs Sorted by '[Physical Mass per kg API']]],Table_Process_Details[Unique Process Inputs],0))</f>
        <v>#N/A</v>
      </c>
      <c r="CQ67" s="22" t="e">
        <f ca="1">INDEX(Table_Process_Details[Total '[Physical Mass per kg API'] of Unique Inputs (METAL)],MATCH(Table_Process_Details[[#This Row],[Unique Inputs Sorted by '[Physical Mass per kg API']]],Table_Process_Details[Unique Process Inputs],0))</f>
        <v>#N/A</v>
      </c>
      <c r="CR67" s="22" t="e">
        <f ca="1">INDEX(Table_Process_Details[Total '[Physical Mass per kg API'] of Unique Inputs (SOLVENT)],MATCH(Table_Process_Details[[#This Row],[Unique Inputs Sorted by '[Physical Mass per kg API']]],Table_Process_Details[Unique Process Inputs],0))</f>
        <v>#N/A</v>
      </c>
      <c r="CS67" s="22" t="e">
        <f ca="1">INDEX(Table_Process_Details[Total '[Physical Mass per kg API'] of Unique Inputs (WATER)],MATCH(Table_Process_Details[[#This Row],[Unique Inputs Sorted by '[Physical Mass per kg API']]],Table_Process_Details[Unique Process Inputs],0))</f>
        <v>#N/A</v>
      </c>
      <c r="CT67" s="22" t="e">
        <f ca="1">INDEX(Table_Process_Details[Total '[Physical Mass per kg API'] of Unique Inputs (ENZ&amp;PLNT)],MATCH(Table_Process_Details[[#This Row],[Unique Inputs Sorted by '[Physical Mass per kg API']]],Table_Process_Details[Unique Process Inputs],0))</f>
        <v>#N/A</v>
      </c>
      <c r="CU67" s="22" t="e">
        <f ca="1">INDEX(Table_Process_Details[Total '[Physical Mass per kg API'] of Unique Inputs (OTHER)],MATCH(Table_Process_Details[[#This Row],[Unique Inputs Sorted by '[Physical Mass per kg API']]],Table_Process_Details[Unique Process Inputs],0))</f>
        <v>#N/A</v>
      </c>
      <c r="CV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7" s="22">
        <f ca="1">SUMIFS(Table_Process_Details[RV Mass Net (kg) per kg API],Table_Process_Details[Display Name],Table_Process_Details[[#This Row],[Unique Process Inputs]],Table_Process_Details[Input or Output],"Input")</f>
        <v>0</v>
      </c>
      <c r="DD67" s="22">
        <f ca="1">SUMIFS(Table_Process_Details[RV Mass Net (kg) per kg API (REAGENT)],Table_Process_Details[Display Name],Table_Process_Details[[#This Row],[Unique Process Inputs]],Table_Process_Details[Input or Output],"Input")</f>
        <v>0</v>
      </c>
      <c r="DE67" s="22">
        <f ca="1">SUMIFS(Table_Process_Details[RV Mass Net (kg) per kg API (METAL)],Table_Process_Details[Display Name],Table_Process_Details[[#This Row],[Unique Process Inputs]],Table_Process_Details[Input or Output],"Input")</f>
        <v>0</v>
      </c>
      <c r="DF67" s="22">
        <f ca="1">SUMIFS(Table_Process_Details[RV Mass Net (kg) per kg API (SOLVENT)],Table_Process_Details[Display Name],Table_Process_Details[[#This Row],[Unique Process Inputs]],Table_Process_Details[Input or Output],"Input")</f>
        <v>0</v>
      </c>
      <c r="DG67" s="22">
        <f ca="1">SUMIFS(Table_Process_Details[RV Mass Net (kg) per kg API (WATER)],Table_Process_Details[Display Name],Table_Process_Details[[#This Row],[Unique Process Inputs]],Table_Process_Details[Input or Output],"Input")</f>
        <v>0</v>
      </c>
      <c r="DH67" s="22">
        <f ca="1">SUMIFS(Table_Process_Details[RV Mass Net (kg) per kg API (ENZ&amp;PLNT)],Table_Process_Details[Display Name],Table_Process_Details[[#This Row],[Unique Process Inputs]],Table_Process_Details[Input or Output],"Input")</f>
        <v>0</v>
      </c>
      <c r="DI67" s="22">
        <f ca="1">SUMIFS(Table_Process_Details[RV Mass Net (kg) per kg API (OTHER)],Table_Process_Details[Display Name],Table_Process_Details[[#This Row],[Unique Process Inputs]],Table_Process_Details[Input or Output],"Input")</f>
        <v>0</v>
      </c>
      <c r="DJ67" s="22" t="e">
        <f ca="1">INDEX(Table_Process_Details[Unique Process Inputs],MATCH(Table_Process_Details[[#This Row],['[Mass Net (kg) per kg API'] of Unique Inputs Sorted by '[Mass Net (kg) per kg API']]],Table_Process_Details[Total '[Mass Net (kg) per kg API'] of Unique Inputs],0))</f>
        <v>#N/A</v>
      </c>
      <c r="DK67" s="22" t="e">
        <f ca="1">IF(LARGE(Table_Process_Details[Total '[Mass Net (kg) per kg API'] of Unique Inputs],Table_Process_Details[[#This Row],[Table Row]])=0,NA(),LARGE(Table_Process_Details[Total '[Mass Net (kg) per kg API'] of Unique Inputs],Table_Process_Details[[#This Row],[Table Row]]))</f>
        <v>#N/A</v>
      </c>
      <c r="DL67" s="22" t="e">
        <f ca="1">SUM(OFFSET(Table_Process_Details['[Mass Net (kg) per kg API'] of Unique Inputs Sorted by '[Mass Net (kg) per kg API']],0,0,Table_Process_Details[[#This Row],[Table Row]]))</f>
        <v>#N/A</v>
      </c>
      <c r="DM67" s="22" t="e">
        <f ca="1">"("&amp;TEXT(Table_Process_Details[[#This Row],['[Mass Net (kg) per kg API'] of Unique Inputs Sorted by '[Mass Net (kg) per kg API']]]/SUMIF(Table_Process_Details['[Mass Net (kg) per kg API'] of Unique Inputs Sorted by '[Mass Net (kg) per kg API']],"&lt;&gt;#N/A"),"0%")&amp;")"</f>
        <v>#N/A</v>
      </c>
      <c r="DN67" s="22" t="e">
        <f ca="1">INDEX(Table_Process_Details[Total '[Mass Net (kg) per kg API'] of Unique Inputs (REAGENT)], MATCH(Table_Process_Details[[#This Row],[Unique Inputs Sorted by '[Mass Net (kg) per kg API']]],Table_Process_Details[Unique Process Inputs],0))</f>
        <v>#N/A</v>
      </c>
      <c r="DO67" s="22" t="e">
        <f ca="1">INDEX(Table_Process_Details[Total '[Mass Net (kg) per kg API'] of Unique Inputs (METAL)], MATCH(Table_Process_Details[[#This Row],[Unique Inputs Sorted by '[Mass Net (kg) per kg API']]],Table_Process_Details[Unique Process Inputs],0))</f>
        <v>#N/A</v>
      </c>
      <c r="DP67" s="22" t="e">
        <f ca="1">INDEX(Table_Process_Details[Total '[Mass Net (kg) per kg API'] of Unique Inputs (SOLVENT)], MATCH(Table_Process_Details[[#This Row],[Unique Inputs Sorted by '[Mass Net (kg) per kg API']]],Table_Process_Details[Unique Process Inputs],0))</f>
        <v>#N/A</v>
      </c>
      <c r="DQ67" s="22" t="e">
        <f ca="1">INDEX(Table_Process_Details[Total '[Mass Net (kg) per kg API'] of Unique Inputs (WATER)], MATCH(Table_Process_Details[[#This Row],[Unique Inputs Sorted by '[Mass Net (kg) per kg API']]],Table_Process_Details[Unique Process Inputs],0))</f>
        <v>#N/A</v>
      </c>
      <c r="DR67" s="22" t="e">
        <f ca="1">INDEX(Table_Process_Details[Total '[Mass Net (kg) per kg API'] of Unique Inputs (ENZ&amp;PLNT)], MATCH(Table_Process_Details[[#This Row],[Unique Inputs Sorted by '[Mass Net (kg) per kg API']]],Table_Process_Details[Unique Process Inputs],0))</f>
        <v>#N/A</v>
      </c>
      <c r="DS67" s="22" t="e">
        <f ca="1">INDEX(Table_Process_Details[Total '[Mass Net (kg) per kg API'] of Unique Inputs (OTHER)], MATCH(Table_Process_Details[[#This Row],[Unique Inputs Sorted by '[Mass Net (kg) per kg API']]],Table_Process_Details[Unique Process Inputs],0))</f>
        <v>#N/A</v>
      </c>
      <c r="DT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7" s="1">
        <f ca="1">SUMIFS(Table_Process_Details[RV Energy (MJ) per kg API],Table_Process_Details[Display Name],Table_Process_Details[[#This Row],[Unique Process Inputs]],Table_Process_Details[Input or Output],"Input")</f>
        <v>0</v>
      </c>
      <c r="EB67" s="1">
        <f ca="1">SUMIFS(Table_Process_Details[RV Energy (MJ) per kg API (REAGENT)],Table_Process_Details[Display Name],Table_Process_Details[[#This Row],[Unique Process Inputs]],Table_Process_Details[Input or Output],"Input")</f>
        <v>0</v>
      </c>
      <c r="EC67" s="1">
        <f ca="1">SUMIFS(Table_Process_Details[RV Energy (MJ) per kg API (METAL)],Table_Process_Details[Display Name],Table_Process_Details[[#This Row],[Unique Process Inputs]],Table_Process_Details[Input or Output],"Input")</f>
        <v>0</v>
      </c>
      <c r="ED67" s="1">
        <f ca="1">SUMIFS(Table_Process_Details[RV Energy (MJ) per kg API (SOLVENT)],Table_Process_Details[Display Name],Table_Process_Details[[#This Row],[Unique Process Inputs]],Table_Process_Details[Input or Output],"Input")</f>
        <v>0</v>
      </c>
      <c r="EE67" s="1">
        <f ca="1">SUMIFS(Table_Process_Details[RV Energy (MJ) per kg API (WATER)],Table_Process_Details[Display Name],Table_Process_Details[[#This Row],[Unique Process Inputs]],Table_Process_Details[Input or Output],"Input")</f>
        <v>0</v>
      </c>
      <c r="EF67" s="1">
        <f ca="1">SUMIFS(Table_Process_Details[RV Energy (MJ) per kg API (ENZ&amp;PLNT)],Table_Process_Details[Display Name],Table_Process_Details[[#This Row],[Unique Process Inputs]],Table_Process_Details[Input or Output],"Input")</f>
        <v>0</v>
      </c>
      <c r="EG67" s="1">
        <f ca="1">SUMIFS(Table_Process_Details[RV Energy (MJ) per kg API (OTHER)],Table_Process_Details[Display Name],Table_Process_Details[[#This Row],[Unique Process Inputs]],Table_Process_Details[Input or Output],"Input")</f>
        <v>0</v>
      </c>
      <c r="EH67" s="1" t="e">
        <f ca="1">INDEX(Table_Process_Details[Unique Process Inputs],MATCH(Table_Process_Details[[#This Row],['[Energy (MJ) per kg API'] of Unique Inputs Sorted by '[Energy (MJ) per kg API']]],Table_Process_Details[Total '[Energy (MJ) per kg API'] of Unique Inputs],0))</f>
        <v>#N/A</v>
      </c>
      <c r="EI67" s="22" t="e">
        <f ca="1">IF(LARGE(Table_Process_Details[Total '[Energy (MJ) per kg API'] of Unique Inputs],Table_Process_Details[[#This Row],[Table Row]])=0,NA(),LARGE(Table_Process_Details[Total '[Energy (MJ) per kg API'] of Unique Inputs],Table_Process_Details[[#This Row],[Table Row]]))</f>
        <v>#N/A</v>
      </c>
      <c r="EJ67" s="22" t="e">
        <f ca="1">SUM(OFFSET(Table_Process_Details['[Energy (MJ) per kg API'] of Unique Inputs Sorted by '[Energy (MJ) per kg API']],0,0,Table_Process_Details[[#This Row],[Table Row]]))</f>
        <v>#N/A</v>
      </c>
      <c r="EK67" s="22" t="e">
        <f ca="1">"("&amp;TEXT(Table_Process_Details[[#This Row],['[Energy (MJ) per kg API'] of Unique Inputs Sorted by '[Energy (MJ) per kg API']]]/SUMIF(Table_Process_Details['[Energy (MJ) per kg API'] of Unique Inputs Sorted by '[Energy (MJ) per kg API']],"&lt;&gt;#N/A"),"0%")&amp;")"</f>
        <v>#N/A</v>
      </c>
      <c r="EL67" s="22" t="e">
        <f ca="1">INDEX(Table_Process_Details[Total '[Energy (MJ) per kg API'] of Unique Inputs (REAGENT)], MATCH(Table_Process_Details[[#This Row],[Unique Inputs Sorted by '[Energy (MJ) per kg API']]],Table_Process_Details[Unique Process Inputs],0))</f>
        <v>#N/A</v>
      </c>
      <c r="EM67" s="22" t="e">
        <f ca="1">INDEX(Table_Process_Details[Total '[Energy (MJ) per kg API'] of Unique Inputs (METAL)], MATCH(Table_Process_Details[[#This Row],[Unique Inputs Sorted by '[Energy (MJ) per kg API']]],Table_Process_Details[Unique Process Inputs],0))</f>
        <v>#N/A</v>
      </c>
      <c r="EN67" s="22" t="e">
        <f ca="1">INDEX(Table_Process_Details[Total '[Energy (MJ) per kg API'] of Unique Inputs (SOLVENT)], MATCH(Table_Process_Details[[#This Row],[Unique Inputs Sorted by '[Energy (MJ) per kg API']]],Table_Process_Details[Unique Process Inputs],0))</f>
        <v>#N/A</v>
      </c>
      <c r="EO67" s="22" t="e">
        <f ca="1">INDEX(Table_Process_Details[Total '[Energy (MJ) per kg API'] of Unique Inputs (WATER)], MATCH(Table_Process_Details[[#This Row],[Unique Inputs Sorted by '[Energy (MJ) per kg API']]],Table_Process_Details[Unique Process Inputs],0))</f>
        <v>#N/A</v>
      </c>
      <c r="EP67" s="22" t="e">
        <f ca="1">INDEX(Table_Process_Details[Total '[Energy (MJ) per kg API'] of Unique Inputs (ENZ&amp;PLNT)], MATCH(Table_Process_Details[[#This Row],[Unique Inputs Sorted by '[Energy (MJ) per kg API']]],Table_Process_Details[Unique Process Inputs],0))</f>
        <v>#N/A</v>
      </c>
      <c r="EQ67" s="22" t="e">
        <f ca="1">INDEX(Table_Process_Details[Total '[Energy (MJ) per kg API'] of Unique Inputs (OTHER)], MATCH(Table_Process_Details[[#This Row],[Unique Inputs Sorted by '[Energy (MJ) per kg API']]],Table_Process_Details[Unique Process Inputs],0))</f>
        <v>#N/A</v>
      </c>
      <c r="ER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7" s="22">
        <f ca="1">SUMIFS(Table_Process_Details[RV GWP (kg CO2 equiv.) per kg API],Table_Process_Details[Display Name],Table_Process_Details[[#This Row],[Unique Process Inputs]],Table_Process_Details[Input or Output],"Input")</f>
        <v>0</v>
      </c>
      <c r="EZ67" s="1">
        <f ca="1">SUMIFS(Table_Process_Details[RV GWP (kg CO2 equiv.) per kg API (REAGENT)],Table_Process_Details[Display Name],Table_Process_Details[[#This Row],[Unique Process Inputs]],Table_Process_Details[Input or Output],"Input")</f>
        <v>0</v>
      </c>
      <c r="FA67" s="1">
        <f ca="1">SUMIFS(Table_Process_Details[RV GWP (kg CO2 equiv.) per kg API (METAL)],Table_Process_Details[Display Name],Table_Process_Details[[#This Row],[Unique Process Inputs]],Table_Process_Details[Input or Output],"Input")</f>
        <v>0</v>
      </c>
      <c r="FB67" s="1">
        <f ca="1">SUMIFS(Table_Process_Details[RV GWP (kg CO2 equiv.) per kg API (SOLVENT)],Table_Process_Details[Display Name],Table_Process_Details[[#This Row],[Unique Process Inputs]],Table_Process_Details[Input or Output],"Input")</f>
        <v>0</v>
      </c>
      <c r="FC67" s="1">
        <f ca="1">SUMIFS(Table_Process_Details[RV GWP (kg CO2 equiv.) per kg API (WATER)],Table_Process_Details[Display Name],Table_Process_Details[[#This Row],[Unique Process Inputs]],Table_Process_Details[Input or Output],"Input")</f>
        <v>0</v>
      </c>
      <c r="FD67" s="1">
        <f ca="1">SUMIFS(Table_Process_Details[RV GWP (kg CO2 equiv.) per kg API (ENZ&amp;PLNT)],Table_Process_Details[Display Name],Table_Process_Details[[#This Row],[Unique Process Inputs]],Table_Process_Details[Input or Output],"Input")</f>
        <v>0</v>
      </c>
      <c r="FE67" s="1">
        <f ca="1">SUMIFS(Table_Process_Details[RV GWP (kg CO2 equiv.) per kg API (OTHER)],Table_Process_Details[Display Name],Table_Process_Details[[#This Row],[Unique Process Inputs]],Table_Process_Details[Input or Output],"Input")</f>
        <v>0</v>
      </c>
      <c r="FF67" s="22" t="e">
        <f ca="1">INDEX(Table_Process_Details[Unique Process Inputs],MATCH(Table_Process_Details[[#This Row],['[GWP (kg CO2 equiv.) per kg API'] of Unique Inputs Sorted by '[GWP (kg CO2 equiv.) per kg API']]],Table_Process_Details[Total '[GWP (kg CO2 equiv.) per kg API'] of Unique Inputs],0))</f>
        <v>#N/A</v>
      </c>
      <c r="FG67" s="22" t="e">
        <f ca="1">IF(LARGE(Table_Process_Details[Total '[GWP (kg CO2 equiv.) per kg API'] of Unique Inputs],Table_Process_Details[[#This Row],[Table Row]])=0,NA(),LARGE(Table_Process_Details[Total '[GWP (kg CO2 equiv.) per kg API'] of Unique Inputs],Table_Process_Details[[#This Row],[Table Row]]))</f>
        <v>#N/A</v>
      </c>
      <c r="FH67" s="22" t="e">
        <f ca="1">SUM(OFFSET(Table_Process_Details['[GWP (kg CO2 equiv.) per kg API'] of Unique Inputs Sorted by '[GWP (kg CO2 equiv.) per kg API']],0,0,Table_Process_Details[[#This Row],[Table Row]]))</f>
        <v>#N/A</v>
      </c>
      <c r="FI67" s="22" t="e">
        <f ca="1">"("&amp;TEXT(Table_Process_Details[[#This Row],['[GWP (kg CO2 equiv.) per kg API'] of Unique Inputs Sorted by '[GWP (kg CO2 equiv.) per kg API']]]/SUMIF(Table_Process_Details['[GWP (kg CO2 equiv.) per kg API'] of Unique Inputs Sorted by '[GWP (kg CO2 equiv.) per kg API']],"&lt;&gt;#N/A"),"0%")&amp;")"</f>
        <v>#N/A</v>
      </c>
      <c r="FJ67" s="22" t="e">
        <f ca="1">INDEX(Table_Process_Details[Total '[GWP (kg CO2 equiv.) per kg API'] of Unique Inputs (REAGENT)], MATCH(Table_Process_Details[[#This Row],[Unique Inputs Sorted by '[GWP (kg CO2 equiv.) per kg API']]],Table_Process_Details[Unique Process Inputs],0))</f>
        <v>#N/A</v>
      </c>
      <c r="FK67" s="22" t="e">
        <f ca="1">INDEX(Table_Process_Details[Total '[GWP (kg CO2 equiv.) per kg API'] of Unique Inputs (METAL)], MATCH(Table_Process_Details[[#This Row],[Unique Inputs Sorted by '[GWP (kg CO2 equiv.) per kg API']]],Table_Process_Details[Unique Process Inputs],0))</f>
        <v>#N/A</v>
      </c>
      <c r="FL67" s="22" t="e">
        <f ca="1">INDEX(Table_Process_Details[Total '[GWP (kg CO2 equiv.) per kg API'] of Unique Inputs (SOLVENT)], MATCH(Table_Process_Details[[#This Row],[Unique Inputs Sorted by '[GWP (kg CO2 equiv.) per kg API']]],Table_Process_Details[Unique Process Inputs],0))</f>
        <v>#N/A</v>
      </c>
      <c r="FM67" s="22" t="e">
        <f ca="1">INDEX(Table_Process_Details[Total '[GWP (kg CO2 equiv.) per kg API'] of Unique Inputs (WATER)], MATCH(Table_Process_Details[[#This Row],[Unique Inputs Sorted by '[GWP (kg CO2 equiv.) per kg API']]],Table_Process_Details[Unique Process Inputs],0))</f>
        <v>#N/A</v>
      </c>
      <c r="FN67" s="22" t="e">
        <f ca="1">INDEX(Table_Process_Details[Total '[GWP (kg CO2 equiv.) per kg API'] of Unique Inputs (ENZ&amp;PLNT)], MATCH(Table_Process_Details[[#This Row],[Unique Inputs Sorted by '[GWP (kg CO2 equiv.) per kg API']]],Table_Process_Details[Unique Process Inputs],0))</f>
        <v>#N/A</v>
      </c>
      <c r="FO67" s="22" t="e">
        <f ca="1">INDEX(Table_Process_Details[Total '[GWP (kg CO2 equiv.) per kg API'] of Unique Inputs (OTHER)], MATCH(Table_Process_Details[[#This Row],[Unique Inputs Sorted by '[GWP (kg CO2 equiv.) per kg API']]],Table_Process_Details[Unique Process Inputs],0))</f>
        <v>#N/A</v>
      </c>
      <c r="FP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7" s="22">
        <f ca="1">SUMIFS(Table_Process_Details[RV Acidification (kg SO2 equiv.) per kg API],Table_Process_Details[Display Name],Table_Process_Details[[#This Row],[Unique Process Inputs]],Table_Process_Details[Input or Output],"Input")</f>
        <v>0</v>
      </c>
      <c r="FX67" s="1">
        <f ca="1">SUMIFS(Table_Process_Details[RV Acidification (kg SO2 equiv.) per kg API (REAGENT)],Table_Process_Details[Display Name],Table_Process_Details[[#This Row],[Unique Process Inputs]],Table_Process_Details[Input or Output],"Input")</f>
        <v>0</v>
      </c>
      <c r="FY67" s="1">
        <f ca="1">SUMIFS(Table_Process_Details[RV Acidification (kg SO2 equiv.) per kg API (METAL)],Table_Process_Details[Display Name],Table_Process_Details[[#This Row],[Unique Process Inputs]],Table_Process_Details[Input or Output],"Input")</f>
        <v>0</v>
      </c>
      <c r="FZ67" s="1">
        <f ca="1">SUMIFS(Table_Process_Details[RV Acidification (kg SO2 equiv.) per kg API (SOLVENT)],Table_Process_Details[Display Name],Table_Process_Details[[#This Row],[Unique Process Inputs]],Table_Process_Details[Input or Output],"Input")</f>
        <v>0</v>
      </c>
      <c r="GA67" s="1">
        <f ca="1">SUMIFS(Table_Process_Details[RV Acidification (kg SO2 equiv.) per kg API (WATER)],Table_Process_Details[Display Name],Table_Process_Details[[#This Row],[Unique Process Inputs]],Table_Process_Details[Input or Output],"Input")</f>
        <v>0</v>
      </c>
      <c r="GB67" s="1">
        <f ca="1">SUMIFS(Table_Process_Details[RV Acidification (kg SO2 equiv.) per kg API (ENZ&amp;PLNT)],Table_Process_Details[Display Name],Table_Process_Details[[#This Row],[Unique Process Inputs]],Table_Process_Details[Input or Output],"Input")</f>
        <v>0</v>
      </c>
      <c r="GC67" s="1">
        <f ca="1">SUMIFS(Table_Process_Details[RV Acidification (kg SO2 equiv.) per kg API (OTHER)],Table_Process_Details[Display Name],Table_Process_Details[[#This Row],[Unique Process Inputs]],Table_Process_Details[Input or Output],"Input")</f>
        <v>0</v>
      </c>
      <c r="GD6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7" s="22" t="e">
        <f ca="1">SUM(OFFSET(Table_Process_Details['[Acidification (kg SO2 equiv.) per kg API'] of Unique Inputs Sorted by '[Acidification (kg SO2 equiv.) per kg API']],0,0,Table_Process_Details[[#This Row],[Table Row]]))</f>
        <v>#N/A</v>
      </c>
      <c r="GG6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7" s="22" t="e">
        <f ca="1">INDEX(Table_Process_Details[Total '[Acidification (kg SO2 equiv.) per kg API'] of Unique Inputs (REAGENT)], MATCH(Table_Process_Details[[#This Row],[Unique Inputs Sorted by '[Acidification (kg SO2 equiv.) per kg API']]],Table_Process_Details[Unique Process Inputs],0))</f>
        <v>#N/A</v>
      </c>
      <c r="GI67" s="22" t="e">
        <f ca="1">INDEX(Table_Process_Details[Total '[Acidification (kg SO2 equiv.) per kg API'] of Unique Inputs (METAL)], MATCH(Table_Process_Details[[#This Row],[Unique Inputs Sorted by '[Acidification (kg SO2 equiv.) per kg API']]],Table_Process_Details[Unique Process Inputs],0))</f>
        <v>#N/A</v>
      </c>
      <c r="GJ67" s="22" t="e">
        <f ca="1">INDEX(Table_Process_Details[Total '[Acidification (kg SO2 equiv.) per kg API'] of Unique Inputs (SOLVENT)], MATCH(Table_Process_Details[[#This Row],[Unique Inputs Sorted by '[Acidification (kg SO2 equiv.) per kg API']]],Table_Process_Details[Unique Process Inputs],0))</f>
        <v>#N/A</v>
      </c>
      <c r="GK67" s="22" t="e">
        <f ca="1">INDEX(Table_Process_Details[Total '[Acidification (kg SO2 equiv.) per kg API'] of Unique Inputs (WATER)], MATCH(Table_Process_Details[[#This Row],[Unique Inputs Sorted by '[Acidification (kg SO2 equiv.) per kg API']]],Table_Process_Details[Unique Process Inputs],0))</f>
        <v>#N/A</v>
      </c>
      <c r="GL67" s="22" t="e">
        <f ca="1">INDEX(Table_Process_Details[Total '[Acidification (kg SO2 equiv.) per kg API'] of Unique Inputs (ENZ&amp;PLNT)], MATCH(Table_Process_Details[[#This Row],[Unique Inputs Sorted by '[Acidification (kg SO2 equiv.) per kg API']]],Table_Process_Details[Unique Process Inputs],0))</f>
        <v>#N/A</v>
      </c>
      <c r="GM67" s="22" t="e">
        <f ca="1">INDEX(Table_Process_Details[Total '[Acidification (kg SO2 equiv.) per kg API'] of Unique Inputs (OTHER)], MATCH(Table_Process_Details[[#This Row],[Unique Inputs Sorted by '[Acidification (kg SO2 equiv.) per kg API']]],Table_Process_Details[Unique Process Inputs],0))</f>
        <v>#N/A</v>
      </c>
      <c r="GN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7" s="22">
        <f ca="1">SUMIFS(Table_Process_Details[RV Eutrophication (kg phosphate equiv.) per kg API],Table_Process_Details[Display Name],Table_Process_Details[[#This Row],[Unique Process Inputs]],Table_Process_Details[Input or Output],"Input")</f>
        <v>0</v>
      </c>
      <c r="GV67" s="1">
        <f ca="1">SUMIFS(Table_Process_Details[RV Eutrophication (kg phosphate equiv.) per kg API (REAGENT)],Table_Process_Details[Display Name],Table_Process_Details[[#This Row],[Unique Process Inputs]],Table_Process_Details[Input or Output],"Input")</f>
        <v>0</v>
      </c>
      <c r="GW67" s="1">
        <f ca="1">SUMIFS(Table_Process_Details[RV Eutrophication (kg phosphate equiv.) per kg API (METAL)],Table_Process_Details[Display Name],Table_Process_Details[[#This Row],[Unique Process Inputs]],Table_Process_Details[Input or Output],"Input")</f>
        <v>0</v>
      </c>
      <c r="GX67" s="1">
        <f ca="1">SUMIFS(Table_Process_Details[RV Eutrophication (kg phosphate equiv.) per kg API (SOLVENT)],Table_Process_Details[Display Name],Table_Process_Details[[#This Row],[Unique Process Inputs]],Table_Process_Details[Input or Output],"Input")</f>
        <v>0</v>
      </c>
      <c r="GY67" s="1">
        <f ca="1">SUMIFS(Table_Process_Details[RV Eutrophication (kg phosphate equiv.) per kg API (WATER)],Table_Process_Details[Display Name],Table_Process_Details[[#This Row],[Unique Process Inputs]],Table_Process_Details[Input or Output],"Input")</f>
        <v>0</v>
      </c>
      <c r="GZ67" s="1">
        <f ca="1">SUMIFS(Table_Process_Details[RV Eutrophication (kg phosphate equiv.) per kg API (ENZ&amp;PLNT)],Table_Process_Details[Display Name],Table_Process_Details[[#This Row],[Unique Process Inputs]],Table_Process_Details[Input or Output],"Input")</f>
        <v>0</v>
      </c>
      <c r="HA67" s="1">
        <f ca="1">SUMIFS(Table_Process_Details[RV Eutrophication (kg phosphate equiv.) per kg API (OTHER)],Table_Process_Details[Display Name],Table_Process_Details[[#This Row],[Unique Process Inputs]],Table_Process_Details[Input or Output],"Input")</f>
        <v>0</v>
      </c>
      <c r="HB6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7" s="22" t="e">
        <f ca="1">SUM(OFFSET(Table_Process_Details['[Eutrophication (kg posphate equiv.) per kg API'] of Unique Inputs Sorted by '[Eutrophication (kg posphate equiv.) per kg API']],0,0,Table_Process_Details[[#This Row],[Table Row]]))</f>
        <v>#N/A</v>
      </c>
      <c r="HE6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7" s="1" t="e">
        <f ca="1">INDEX(Table_Process_Details[Total '[Eutrophication (kg posphate equiv.) per kg API'] of Unique Inputs (REAGENT)], MATCH(Table_Process_Details[[#This Row],[Unique Inputs Sorted by '[Eutrophication (kg posphate equiv.) per kg API']]],Table_Process_Details[Unique Process Inputs],0))</f>
        <v>#N/A</v>
      </c>
      <c r="HG67" s="1" t="e">
        <f ca="1">INDEX(Table_Process_Details[Total '[Eutrophication (kg posphate equiv.) per kg API'] of Unique Inputs (METAL)], MATCH(Table_Process_Details[[#This Row],[Unique Inputs Sorted by '[Eutrophication (kg posphate equiv.) per kg API']]],Table_Process_Details[Unique Process Inputs],0))</f>
        <v>#N/A</v>
      </c>
      <c r="HH67" s="1" t="e">
        <f ca="1">INDEX(Table_Process_Details[Total '[Eutrophication (kg posphate equiv.) per kg API'] of Unique Inputs (SOLVENT)], MATCH(Table_Process_Details[[#This Row],[Unique Inputs Sorted by '[Eutrophication (kg posphate equiv.) per kg API']]],Table_Process_Details[Unique Process Inputs],0))</f>
        <v>#N/A</v>
      </c>
      <c r="HI67" s="1" t="e">
        <f ca="1">INDEX(Table_Process_Details[Total '[Eutrophication (kg posphate equiv.) per kg API'] of Unique Inputs (WATER)], MATCH(Table_Process_Details[[#This Row],[Unique Inputs Sorted by '[Eutrophication (kg posphate equiv.) per kg API']]],Table_Process_Details[Unique Process Inputs],0))</f>
        <v>#N/A</v>
      </c>
      <c r="HJ67" s="1" t="e">
        <f ca="1">INDEX(Table_Process_Details[Total '[Eutrophication (kg posphate equiv.) per kg API'] of Unique Inputs (ENZ&amp;PLNT)], MATCH(Table_Process_Details[[#This Row],[Unique Inputs Sorted by '[Eutrophication (kg posphate equiv.) per kg API']]],Table_Process_Details[Unique Process Inputs],0))</f>
        <v>#N/A</v>
      </c>
      <c r="HK67" s="1" t="e">
        <f ca="1">INDEX(Table_Process_Details[Total '[Eutrophication (kg posphate equiv.) per kg API'] of Unique Inputs (OTHER)], MATCH(Table_Process_Details[[#This Row],[Unique Inputs Sorted by '[Eutrophication (kg posphate equiv.) per kg API']]],Table_Process_Details[Unique Process Inputs],0))</f>
        <v>#N/A</v>
      </c>
      <c r="HL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7" s="1">
        <f ca="1">SUMIFS(Table_Process_Details[RV Water (kg) per kg API],Table_Process_Details[Display Name],Table_Process_Details[[#This Row],[Unique Process Inputs]],Table_Process_Details[Input or Output],"Input")</f>
        <v>0</v>
      </c>
      <c r="HT67" s="1">
        <f ca="1">SUMIFS(Table_Process_Details[RV Water (kg) per kg API (REAGENT)],Table_Process_Details[Display Name],Table_Process_Details[[#This Row],[Unique Process Inputs]],Table_Process_Details[Input or Output],"Input")</f>
        <v>0</v>
      </c>
      <c r="HU67" s="1">
        <f ca="1">SUMIFS(Table_Process_Details[RV Water (kg) per kg API (METAL)],Table_Process_Details[Display Name],Table_Process_Details[[#This Row],[Unique Process Inputs]],Table_Process_Details[Input or Output],"Input")</f>
        <v>0</v>
      </c>
      <c r="HV67" s="1">
        <f ca="1">SUMIFS(Table_Process_Details[RV Water (kg) per kg API (SOLVENT)],Table_Process_Details[Display Name],Table_Process_Details[[#This Row],[Unique Process Inputs]],Table_Process_Details[Input or Output],"Input")</f>
        <v>0</v>
      </c>
      <c r="HW67" s="1">
        <f ca="1">SUMIFS(Table_Process_Details[RV Water (kg) per kg API (WATER)],Table_Process_Details[Display Name],Table_Process_Details[[#This Row],[Unique Process Inputs]],Table_Process_Details[Input or Output],"Input")</f>
        <v>0</v>
      </c>
      <c r="HX67" s="1">
        <f ca="1">SUMIFS(Table_Process_Details[RV Water (kg) per kg API (ENZ&amp;PLNT)],Table_Process_Details[Display Name],Table_Process_Details[[#This Row],[Unique Process Inputs]],Table_Process_Details[Input or Output],"Input")</f>
        <v>0</v>
      </c>
      <c r="HY67" s="1">
        <f ca="1">SUMIFS(Table_Process_Details[RV Water (kg) per kg API (OTHER)],Table_Process_Details[Display Name],Table_Process_Details[[#This Row],[Unique Process Inputs]],Table_Process_Details[Input or Output],"Input")</f>
        <v>0</v>
      </c>
      <c r="HZ67" s="22" t="e">
        <f ca="1">INDEX(Table_Process_Details[Unique Process Inputs],MATCH(Table_Process_Details[[#This Row],['[Water (kg) per kg API'] of Unique Inputs Sorted by '[Water (kg) per kg API']]],Table_Process_Details[Total '[Water (kg) per kg API'] of Unique Inputs],0))</f>
        <v>#N/A</v>
      </c>
      <c r="IA67" s="22" t="e">
        <f ca="1">IF(LARGE(Table_Process_Details[Total '[Water (kg) per kg API'] of Unique Inputs],Table_Process_Details[[#This Row],[Table Row]])=0,NA(),LARGE(Table_Process_Details[Total '[Water (kg) per kg API'] of Unique Inputs],Table_Process_Details[[#This Row],[Table Row]]))</f>
        <v>#N/A</v>
      </c>
      <c r="IB67" s="1" t="e">
        <f ca="1">SUM(OFFSET(Table_Process_Details['[Water (kg) per kg API'] of Unique Inputs Sorted by '[Water (kg) per kg API']],0,0,Table_Process_Details[[#This Row],[Table Row]]))</f>
        <v>#N/A</v>
      </c>
      <c r="IC67" s="1" t="e">
        <f ca="1">"("&amp;TEXT(Table_Process_Details[[#This Row],['[Water (kg) per kg API'] of Unique Inputs Sorted by '[Water (kg) per kg API']]]/SUMIF(Table_Process_Details['[Water (kg) per kg API'] of Unique Inputs Sorted by '[Water (kg) per kg API']],"&lt;&gt;#N/A"),"0%")&amp;")"</f>
        <v>#N/A</v>
      </c>
      <c r="ID67" s="1" t="e">
        <f ca="1">INDEX(Table_Process_Details[Total '[Water (kg) per kg API'] of Unique Inputs (REAGENT)], MATCH(Table_Process_Details[[#This Row],[Unique Inputs Sorted by '[Water (kg) per kg API']]],Table_Process_Details[Unique Process Inputs],0))</f>
        <v>#N/A</v>
      </c>
      <c r="IE67" s="1" t="e">
        <f ca="1">INDEX(Table_Process_Details[Total '[Water (kg) per kg API'] of Unique Inputs (METAL)], MATCH(Table_Process_Details[[#This Row],[Unique Inputs Sorted by '[Water (kg) per kg API']]],Table_Process_Details[Unique Process Inputs],0))</f>
        <v>#N/A</v>
      </c>
      <c r="IF67" s="1" t="e">
        <f ca="1">INDEX(Table_Process_Details[Total '[Water (kg) per kg API'] of Unique Inputs (SOLVENT)], MATCH(Table_Process_Details[[#This Row],[Unique Inputs Sorted by '[Water (kg) per kg API']]],Table_Process_Details[Unique Process Inputs],0))</f>
        <v>#N/A</v>
      </c>
      <c r="IG67" s="1" t="e">
        <f ca="1">INDEX(Table_Process_Details[Total '[Water (kg) per kg API'] of Unique Inputs (WATER)], MATCH(Table_Process_Details[[#This Row],[Unique Inputs Sorted by '[Water (kg) per kg API']]],Table_Process_Details[Unique Process Inputs],0))</f>
        <v>#N/A</v>
      </c>
      <c r="IH67" s="1" t="e">
        <f ca="1">INDEX(Table_Process_Details[Total '[Water (kg) per kg API'] of Unique Inputs (ENZ&amp;PLNT)], MATCH(Table_Process_Details[[#This Row],[Unique Inputs Sorted by '[Water (kg) per kg API']]],Table_Process_Details[Unique Process Inputs],0))</f>
        <v>#N/A</v>
      </c>
      <c r="II67" s="1" t="e">
        <f ca="1">INDEX(Table_Process_Details[Total '[Water (kg) per kg API'] of Unique Inputs (OTHER)], MATCH(Table_Process_Details[[#This Row],[Unique Inputs Sorted by '[Water (kg) per kg API']]],Table_Process_Details[Unique Process Inputs],0))</f>
        <v>#N/A</v>
      </c>
    </row>
    <row r="68" spans="1:243" customFormat="1" x14ac:dyDescent="0.25">
      <c r="A68" s="22" t="str">
        <f t="shared" si="2"/>
        <v>3) Synthesis of Intermediate (3)</v>
      </c>
      <c r="B68" s="21" t="s">
        <v>4</v>
      </c>
      <c r="C68" s="21" t="s">
        <v>153</v>
      </c>
      <c r="D68" s="22" t="s">
        <v>156</v>
      </c>
      <c r="E68" s="22" t="s">
        <v>832</v>
      </c>
      <c r="F68" s="26">
        <v>0.4</v>
      </c>
      <c r="G68" s="26"/>
      <c r="H68" s="26"/>
      <c r="I68" s="26"/>
      <c r="J68" s="26" t="str">
        <f>INDEX(Process_Steps[Reference],MATCH(Table_Process_Details[[#This Row],[Step Name]],Process_Steps[Name],0))</f>
        <v>Another Reference Document!</v>
      </c>
      <c r="K68" s="27" t="str">
        <f>INDEX(Process_Steps[Real or Virtual?],MATCH(Table_Process_Details[[#This Row],[Step Name]],Process_Steps[Name],0))</f>
        <v>Real</v>
      </c>
      <c r="L6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6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68" s="26">
        <f>INDEX(Table_Process_Details[Physical Mass (kg)],MATCH(1,INDEX(((Table_Process_Details[Step Name]=Table_Process_Details[[#This Row],[Step Name]])*(Table_Process_Details[Input or Output]="Output")),0),0))</f>
        <v>0.09</v>
      </c>
      <c r="O68" s="29">
        <f ca="1">INDEX(Process_Steps[Step Scale Factor for 1kg Packaged API],MATCH(Table_Process_Details[[#This Row],[Step Name]],Process_Steps[Name],0))</f>
        <v>11.011194714626619</v>
      </c>
      <c r="P6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13.166666666666666</v>
      </c>
      <c r="Q6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6.1666666666666661</v>
      </c>
      <c r="R68" s="26">
        <f ca="1">_xlfn.SWITCH(Run_Reset_PNG,"Reset",Table_Process_Details[[#This Row],[X Init]],"Run",Table_Process_Details[[#This Row],[X Moved]],"Freeze",Table_Process_Details[[#This Row],[X Mover]])</f>
        <v>16.597688795659906</v>
      </c>
      <c r="S68" s="26">
        <f ca="1">_xlfn.SWITCH(Run_Reset_PNG,"Reset",Table_Process_Details[[#This Row],[Y Init]],"Run",Table_Process_Details[[#This Row],[Y Moved]],"Freeze",Table_Process_Details[[#This Row],[Y Mover]])</f>
        <v>13.877071183519517</v>
      </c>
      <c r="T68" s="26" cm="1">
        <f t="array" aca="1" ref="T6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1.7600870236248727</v>
      </c>
      <c r="U68" s="26" cm="1">
        <f t="array" aca="1" ref="U6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5.52581630980771</v>
      </c>
      <c r="V68" s="26" cm="1">
        <f t="array" aca="1" ref="V68" ca="1">SUM(--(SQRT((Table_Process_Details[[#This Row],[X Mover]]-Table_Process_Details[X Mover])^2+(Table_Process_Details[[#This Row],[Y Mover]]-Table_Process_Details[Y Mover])^2)&lt;Collision_Distance))</f>
        <v>17</v>
      </c>
      <c r="W68" s="26" cm="1">
        <f t="array" aca="1" ref="W6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-7.8147930982316427E-2</v>
      </c>
      <c r="X68" s="26" cm="1">
        <f t="array" aca="1" ref="X6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-0.30965570089153616</v>
      </c>
      <c r="Y68" s="26" cm="1">
        <f t="array" aca="1" ref="Y6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68" s="26">
        <f>0</f>
        <v>0</v>
      </c>
      <c r="AA68" s="26">
        <f>0</f>
        <v>0</v>
      </c>
      <c r="AB6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-8.2988443978299529</v>
      </c>
      <c r="AC68" s="26" cm="1">
        <f t="array" aca="1" ref="AC6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-6.9385355917597584</v>
      </c>
      <c r="AD68" s="26">
        <f>MIN(1,COUNTA(Table_Process_Details[[#This Row],[target x]]),COUNTA(Table_Process_Details[[#This Row],[target y]]))*COUNTA(Table_Process_Details[Step Name])</f>
        <v>98</v>
      </c>
      <c r="AE6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16.538393309786912</v>
      </c>
      <c r="AF6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13.821662117262578</v>
      </c>
      <c r="AG6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68" s="26" cm="1">
        <f t="array" aca="1" ref="AH68" ca="1">INDEX(Table_Process_Details[X Mover],MATCH(1,INDEX((Table_Process_Details[Input or Output]="Output")*(Table_Process_Details[Step Name]=Table_Process_Details[[#This Row],[Step Name]])*(Table_Process_Details[[#This Row],[Input or Output]]="Input"),0),0))</f>
        <v>15.707298460481789</v>
      </c>
      <c r="AI68" s="26" cm="1">
        <f t="array" aca="1" ref="AI68" ca="1">INDEX(Table_Process_Details[Y Mover],MATCH(1,INDEX((Table_Process_Details[Input or Output]="Output")*(Table_Process_Details[Step Name]=Table_Process_Details[[#This Row],[Step Name]])*(Table_Process_Details[[#This Row],[Input or Output]]="Input"),0),0))</f>
        <v>10.348961867752488</v>
      </c>
      <c r="AJ68" s="26">
        <f ca="1">SQRT((Table_Process_Details[[#This Row],[X End (To Node Center)]]-Table_Process_Details[[#This Row],[X Guide]])^2+(Table_Process_Details[[#This Row],[Y End (to Node Center)]]-Table_Process_Details[[#This Row],[Y Guide]])^2)</f>
        <v>3.6387292140224852</v>
      </c>
      <c r="AK68" s="26" t="e" cm="1">
        <f t="array" ref="AK68">INDEX(Table_Process_Details[X Mover],MATCH(1,INDEX((Table_Process_Details[Step Name]=Table_Process_Details[[#This Row],[LCA Data Source Subclass]])*(Table_Process_Details[Input or Output]="Output"),0)*(Table_Process_Details[[#This Row],[Input or Output]]="Input"),0))</f>
        <v>#N/A</v>
      </c>
      <c r="AL68" s="26" cm="1">
        <f t="array" aca="1" ref="AL68" ca="1">INDEX(Table_Process_Details[X Mover],MATCH(1,INDEX(((Table_Process_Details[Table Row]=Table_Process_Details[[#This Row],[Table Row]])*(1)),0)*(Table_Process_Details[[#This Row],[Input or Output]]="Input"),0))</f>
        <v>16.597688795659906</v>
      </c>
      <c r="AM68" s="26" cm="1">
        <f t="array" aca="1" ref="AM68" ca="1">(Table_Process_Details[[#This Row],[X End (To Node Center)]]*Table_Process_Details[[#This Row],[r0]]-Table_Process_Details[[#This Row],[X End (To Node Center)]]*Arrow_Offset+Table_Process_Details[[#This Row],[X Guide]]*Arrow_Offset)/Table_Process_Details[[#This Row],[r0]]</f>
        <v>15.90305698667205</v>
      </c>
      <c r="AN68" s="26" t="e">
        <f>IF(NOT(Table_Process_Details[[#This Row],[Display As]]="None"),Table_Process_Details[[#This Row],[X Start Prefilter]],NA())</f>
        <v>#N/A</v>
      </c>
      <c r="AO68" s="26">
        <f ca="1">IF(NOT(Table_Process_Details[[#This Row],[Display As]]="None"),Table_Process_Details[[#This Row],[X Guide Prefilter]],NA())</f>
        <v>16.597688795659906</v>
      </c>
      <c r="AP68" s="26">
        <f ca="1">IF(NOT(Table_Process_Details[[#This Row],[Display As]]="None"),Table_Process_Details[[#This Row],[X End (to Stop Radius) Prefilter]],NA())</f>
        <v>15.90305698667205</v>
      </c>
      <c r="AQ68" s="26" t="e">
        <f>NA()</f>
        <v>#N/A</v>
      </c>
      <c r="AR68" s="26" t="e" cm="1">
        <f t="array" ref="AR68">INDEX(Table_Process_Details[Y Mover],MATCH(1,INDEX((Table_Process_Details[Step Name]=Table_Process_Details[[#This Row],[LCA Data Source Subclass]])*(Table_Process_Details[Input or Output]="Output"),0)*(Table_Process_Details[[#This Row],[Input or Output]]="Input"),0))</f>
        <v>#N/A</v>
      </c>
      <c r="AS68" s="26" cm="1">
        <f t="array" aca="1" ref="AS68" ca="1">INDEX(Table_Process_Details[Y Mover],MATCH(1,INDEX(((Table_Process_Details[Table Row]=Table_Process_Details[[#This Row],[Table Row]])*(1)),0)*(Table_Process_Details[[#This Row],[Input or Output]]="Input"),0))</f>
        <v>13.877071183519517</v>
      </c>
      <c r="AT68" s="26" cm="1">
        <f t="array" aca="1" ref="AT68" ca="1">(Table_Process_Details[[#This Row],[Y Guide]]*Arrow_Offset-Table_Process_Details[[#This Row],[Y End (to Node Center)]]*Arrow_Offset+Table_Process_Details[[#This Row],[Y End (to Node Center)]]*Table_Process_Details[[#This Row],[r0]])/Table_Process_Details[[#This Row],[r0]]</f>
        <v>11.124641311481541</v>
      </c>
      <c r="AU68" s="26" t="e">
        <f>IF(NOT(Table_Process_Details[[#This Row],[Display As]]="None"),Table_Process_Details[[#This Row],[Y Start Prefilter]],NA())</f>
        <v>#N/A</v>
      </c>
      <c r="AV68" s="26">
        <f ca="1">IF(NOT(Table_Process_Details[[#This Row],[Display As]]="None"),Table_Process_Details[[#This Row],[Y Guide Prefilter]],NA())</f>
        <v>13.877071183519517</v>
      </c>
      <c r="AW68" s="26">
        <f ca="1">IF(NOT(Table_Process_Details[[#This Row],[Display As]]="None"),Table_Process_Details[[#This Row],[Y End (to Stop Radius) Prefilter]],NA())</f>
        <v>11.124641311481541</v>
      </c>
      <c r="AX68" s="26" t="e">
        <f>NA()</f>
        <v>#N/A</v>
      </c>
      <c r="AY68" s="26" t="e">
        <f>IF(Table_Process_Details[[#This Row],[Display As]]="Real Step",Table_Process_Details[[#This Row],[X Mover]],NA())</f>
        <v>#N/A</v>
      </c>
      <c r="AZ68" s="26" t="e">
        <f>IF(Table_Process_Details[[#This Row],[Display As]]="Real Step",Table_Process_Details[[#This Row],[Y Mover]],NA())</f>
        <v>#N/A</v>
      </c>
      <c r="BA68" s="26">
        <f ca="1">IF(Table_Process_Details[[#This Row],[Display As]]="Raw Material",Table_Process_Details[[#This Row],[X Mover]],NA())</f>
        <v>16.597688795659906</v>
      </c>
      <c r="BB68" s="26">
        <f ca="1">IF(Table_Process_Details[[#This Row],[Display As]]="Raw Material",Table_Process_Details[[#This Row],[Y Mover]],NA())</f>
        <v>13.877071183519517</v>
      </c>
      <c r="BC68" s="26">
        <f ca="1">IF(OR(Table_Process_Details[[#This Row],[Display As]]="Real Step",Table_Process_Details[[#This Row],[Display As]]="Raw Material"),Table_Process_Details[[#This Row],[X Mover]],NA())</f>
        <v>16.597688795659906</v>
      </c>
      <c r="BD68" s="26">
        <f ca="1">IF(OR(Table_Process_Details[[#This Row],[Display As]]="Real Step",Table_Process_Details[[#This Row],[Display As]]="Raw Material"),Table_Process_Details[[#This Row],[Y Mover]],NA())</f>
        <v>13.877071183519517</v>
      </c>
      <c r="BE68" s="22">
        <f>ROW()-ROW(Table_Process_Details[[#Headers],[Table Row]])</f>
        <v>64</v>
      </c>
      <c r="BF68" s="23" t="e" cm="1">
        <f t="array" aca="1" ref="BF68" ca="1">INDEX(Table_Process_Details[Display Name],MATCH(0,IF(Table_Process_Details[Input or Output]="Input",INDEX(COUNTIF(OFFSET(Table_Process_Details[[#Headers],[Unique Process Inputs]],0,0,Table_Process_Details[[#This Row],[Table Row]],1),Table_Process_Details[Display Name]),),""),0))</f>
        <v>#N/A</v>
      </c>
      <c r="BG68" s="23">
        <f ca="1">Table_Process_Details[[#This Row],[Physical Mass (kg)]]*Table_Process_Details[[#This Row],[Step Scale Factor for 1kg Packaged API]]</f>
        <v>4.4044778858506479</v>
      </c>
      <c r="BH6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8" s="23">
        <f ca="1">MATCH(Table_Process_Details[[#This Row],[LCA Data Source Class]],INDIRECT(Table_Process_Details[[#This Row],[Input or Output]]),0)</f>
        <v>3</v>
      </c>
      <c r="BJ68" s="23">
        <f ca="1">MATCH(Table_Process_Details[[#This Row],[LCA Data Source Subclass]],INDIRECT(Table_Process_Details[[#This Row],[LCA Data Source Class]]&amp;"[Name]"),0)</f>
        <v>1</v>
      </c>
      <c r="BK68" s="23">
        <f ca="1">IFERROR(INDEX(INDIRECT(Table_Process_Details[[#This Row],[LCA Data Source Class]]&amp;"[Mass Net (kg)]"),MATCH(Table_Process_Details[[#This Row],[LCA Data Source Subclass]],INDIRECT(Table_Process_Details[[#This Row],[LCA Data Source Class]]&amp;"[Name]"),0)),0)</f>
        <v>2.0861208174193546</v>
      </c>
      <c r="BL68" s="23">
        <f ca="1">IFERROR(INDEX(INDIRECT(Table_Process_Details[[#This Row],[LCA Data Source Class]]&amp;"[Energy (MJ)]"),MATCH(Table_Process_Details[[#This Row],[LCA Data Source Subclass]],INDIRECT(Table_Process_Details[[#This Row],[LCA Data Source Class]]&amp;"[Name]"),0)),0)</f>
        <v>74.867288612903238</v>
      </c>
      <c r="BM68" s="23">
        <f ca="1">IFERROR(INDEX(INDIRECT(Table_Process_Details[[#This Row],[LCA Data Source Class]]&amp;"[GWP (kg CO2 equiv.)]"),MATCH(Table_Process_Details[[#This Row],[LCA Data Source Subclass]],INDIRECT(Table_Process_Details[[#This Row],[LCA Data Source Class]]&amp;"[Name]"),0)),0)</f>
        <v>2.6244035558064511</v>
      </c>
      <c r="BN68" s="23">
        <f ca="1">IFERROR(INDEX(INDIRECT(Table_Process_Details[[#This Row],[LCA Data Source Class]]&amp;"[Acidification (kg SO2 equiv.)]"),MATCH(Table_Process_Details[[#This Row],[LCA Data Source Subclass]],INDIRECT(Table_Process_Details[[#This Row],[LCA Data Source Class]]&amp;"[Name]"),0)),0)</f>
        <v>1.1223113743548388E-2</v>
      </c>
      <c r="BO68" s="23">
        <f ca="1">IFERROR(INDEX(INDIRECT(Table_Process_Details[[#This Row],[LCA Data Source Class]]&amp;"[Eutrophication (kg posphate equiv.)]"),MATCH(Table_Process_Details[[#This Row],[LCA Data Source Subclass]],INDIRECT(Table_Process_Details[[#This Row],[LCA Data Source Class]]&amp;"[Name]"),0)),0)</f>
        <v>8.9864536225806452E-3</v>
      </c>
      <c r="BP68" s="23">
        <f ca="1">IFERROR(INDEX(INDIRECT(Table_Process_Details[[#This Row],[LCA Data Source Class]]&amp;"[Water (kg)]"),MATCH(Table_Process_Details[[#This Row],[LCA Data Source Subclass]],INDIRECT(Table_Process_Details[[#This Row],[LCA Data Source Class]]&amp;"[Name]"),0)),0)</f>
        <v>14.695319198225807</v>
      </c>
      <c r="BQ68" s="27">
        <f ca="1">(Table_Process_Details[[#This Row],[Input or Output]]="Input")*(Table_Process_Details[[#This Row],[LCA Data Source Class]]&lt;&gt;"Process_Steps")*Table_Process_Details[[#This Row],[Scaled Physical Mass per kg API for All Inputs &amp; Outputs]]</f>
        <v>4.4044778858506479</v>
      </c>
      <c r="BR68" s="27">
        <f ca="1">(Table_Process_Details[[#This Row],[Material Class]]="REAGENT")*Table_Process_Details[[#This Row],[Physical Mass per kg API]]</f>
        <v>4.4044778858506479</v>
      </c>
      <c r="BS68" s="27">
        <f ca="1">(Table_Process_Details[[#This Row],[Material Class]]="METAL")*Table_Process_Details[[#This Row],[Physical Mass per kg API]]</f>
        <v>0</v>
      </c>
      <c r="BT68" s="27">
        <f ca="1">(Table_Process_Details[[#This Row],[Material Class]]="SOLVENT")*Table_Process_Details[[#This Row],[Physical Mass per kg API]]</f>
        <v>0</v>
      </c>
      <c r="BU68" s="27">
        <f ca="1">(Table_Process_Details[[#This Row],[Material Class]]="WATER")*Table_Process_Details[[#This Row],[Physical Mass per kg API]]</f>
        <v>0</v>
      </c>
      <c r="BV68" s="27">
        <f ca="1">(Table_Process_Details[[#This Row],[Material Class]]="ENZ&amp;PLNT")*Table_Process_Details[[#This Row],[Physical Mass per kg API]]</f>
        <v>0</v>
      </c>
      <c r="BW68" s="27">
        <f ca="1">(Table_Process_Details[[#This Row],[Material Class]]="OTHER")*Table_Process_Details[[#This Row],[Physical Mass per kg API]]</f>
        <v>0</v>
      </c>
      <c r="BX6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4.4044778858506479</v>
      </c>
      <c r="BY6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4.4044778858506479</v>
      </c>
      <c r="BZ6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8" s="1">
        <f ca="1">SUMIFS(Table_Process_Details[RV Physical Mass per kg API],Table_Process_Details[Display Name],Table_Process_Details[[#This Row],[Unique Process Inputs]],Table_Process_Details[Input or Output],"Input")</f>
        <v>0</v>
      </c>
      <c r="CF68" s="1">
        <f ca="1">SUMIFS(Table_Process_Details[RV Physical Mass per kg API (REAGENT)],Table_Process_Details[Display Name],Table_Process_Details[[#This Row],[Unique Process Inputs]],Table_Process_Details[Input or Output],"Input")</f>
        <v>0</v>
      </c>
      <c r="CG68" s="1">
        <f ca="1">SUMIFS(Table_Process_Details[RV Physical Mass per kg API (METAL)],Table_Process_Details[Display Name],Table_Process_Details[[#This Row],[Unique Process Inputs]],Table_Process_Details[Input or Output],"Input")</f>
        <v>0</v>
      </c>
      <c r="CH68" s="1">
        <f ca="1">SUMIFS(Table_Process_Details[RV Physical Mass per kg API (SOLVENT)],Table_Process_Details[Display Name],Table_Process_Details[[#This Row],[Unique Process Inputs]],Table_Process_Details[Input or Output],"Input")</f>
        <v>0</v>
      </c>
      <c r="CI68" s="1">
        <f ca="1">SUMIFS(Table_Process_Details[RV Physical Mass per kg API (WATER)],Table_Process_Details[Display Name],Table_Process_Details[[#This Row],[Unique Process Inputs]],Table_Process_Details[Input or Output],"Input")</f>
        <v>0</v>
      </c>
      <c r="CJ68" s="1">
        <f ca="1">SUMIFS(Table_Process_Details[RV Physical Mass per kg API (ENZ&amp;PLNT)],Table_Process_Details[Display Name],Table_Process_Details[[#This Row],[Unique Process Inputs]],Table_Process_Details[Input or Output],"Input")</f>
        <v>0</v>
      </c>
      <c r="CK68" s="1">
        <f ca="1">SUMIFS(Table_Process_Details[RV Physical Mass per kg API (OTHER)],Table_Process_Details[Display Name],Table_Process_Details[[#This Row],[Unique Process Inputs]],Table_Process_Details[Input or Output],"Input")</f>
        <v>0</v>
      </c>
      <c r="CL68" s="22" t="e">
        <f ca="1">INDEX(Table_Process_Details[Unique Process Inputs],MATCH(Table_Process_Details[[#This Row],['[Physical Mass per kg API'] of Unique Inputs Sorted by '[Physical Mass per kg API']]],Table_Process_Details[Total '[Physical Mass per kg API'] of Unique Inputs],0))</f>
        <v>#N/A</v>
      </c>
      <c r="CM68" s="22" t="e">
        <f ca="1">IF(LARGE(Table_Process_Details[Total '[Physical Mass per kg API'] of Unique Inputs],Table_Process_Details[[#This Row],[Table Row]])=0,NA(),LARGE(Table_Process_Details[Total '[Physical Mass per kg API'] of Unique Inputs],Table_Process_Details[[#This Row],[Table Row]]))</f>
        <v>#N/A</v>
      </c>
      <c r="CN68" s="22" t="e">
        <f ca="1">SUM(OFFSET(Table_Process_Details['[Physical Mass per kg API'] of Unique Inputs Sorted by '[Physical Mass per kg API']],0,0,Table_Process_Details[[#This Row],[Table Row]]))</f>
        <v>#N/A</v>
      </c>
      <c r="CO68" s="22" t="e">
        <f ca="1">"("&amp;TEXT(Table_Process_Details[[#This Row],['[Physical Mass per kg API'] of Unique Inputs Sorted by '[Physical Mass per kg API']]]/SUMIF(Table_Process_Details['[Physical Mass per kg API'] of Unique Inputs Sorted by '[Physical Mass per kg API']],"&lt;&gt;#N/A"),"0%")&amp;")"</f>
        <v>#N/A</v>
      </c>
      <c r="CP68" s="22" t="e">
        <f ca="1">INDEX(Table_Process_Details[Total '[Physical Mass per kg API'] of Unique Inputs (REAGENT)],MATCH(Table_Process_Details[[#This Row],[Unique Inputs Sorted by '[Physical Mass per kg API']]],Table_Process_Details[Unique Process Inputs],0))</f>
        <v>#N/A</v>
      </c>
      <c r="CQ68" s="22" t="e">
        <f ca="1">INDEX(Table_Process_Details[Total '[Physical Mass per kg API'] of Unique Inputs (METAL)],MATCH(Table_Process_Details[[#This Row],[Unique Inputs Sorted by '[Physical Mass per kg API']]],Table_Process_Details[Unique Process Inputs],0))</f>
        <v>#N/A</v>
      </c>
      <c r="CR68" s="22" t="e">
        <f ca="1">INDEX(Table_Process_Details[Total '[Physical Mass per kg API'] of Unique Inputs (SOLVENT)],MATCH(Table_Process_Details[[#This Row],[Unique Inputs Sorted by '[Physical Mass per kg API']]],Table_Process_Details[Unique Process Inputs],0))</f>
        <v>#N/A</v>
      </c>
      <c r="CS68" s="22" t="e">
        <f ca="1">INDEX(Table_Process_Details[Total '[Physical Mass per kg API'] of Unique Inputs (WATER)],MATCH(Table_Process_Details[[#This Row],[Unique Inputs Sorted by '[Physical Mass per kg API']]],Table_Process_Details[Unique Process Inputs],0))</f>
        <v>#N/A</v>
      </c>
      <c r="CT68" s="22" t="e">
        <f ca="1">INDEX(Table_Process_Details[Total '[Physical Mass per kg API'] of Unique Inputs (ENZ&amp;PLNT)],MATCH(Table_Process_Details[[#This Row],[Unique Inputs Sorted by '[Physical Mass per kg API']]],Table_Process_Details[Unique Process Inputs],0))</f>
        <v>#N/A</v>
      </c>
      <c r="CU68" s="22" t="e">
        <f ca="1">INDEX(Table_Process_Details[Total '[Physical Mass per kg API'] of Unique Inputs (OTHER)],MATCH(Table_Process_Details[[#This Row],[Unique Inputs Sorted by '[Physical Mass per kg API']]],Table_Process_Details[Unique Process Inputs],0))</f>
        <v>#N/A</v>
      </c>
      <c r="CV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9.1882730075362247</v>
      </c>
      <c r="CW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9.1882730075362247</v>
      </c>
      <c r="CX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8" s="22">
        <f ca="1">SUMIFS(Table_Process_Details[RV Mass Net (kg) per kg API],Table_Process_Details[Display Name],Table_Process_Details[[#This Row],[Unique Process Inputs]],Table_Process_Details[Input or Output],"Input")</f>
        <v>0</v>
      </c>
      <c r="DD68" s="22">
        <f ca="1">SUMIFS(Table_Process_Details[RV Mass Net (kg) per kg API (REAGENT)],Table_Process_Details[Display Name],Table_Process_Details[[#This Row],[Unique Process Inputs]],Table_Process_Details[Input or Output],"Input")</f>
        <v>0</v>
      </c>
      <c r="DE68" s="22">
        <f ca="1">SUMIFS(Table_Process_Details[RV Mass Net (kg) per kg API (METAL)],Table_Process_Details[Display Name],Table_Process_Details[[#This Row],[Unique Process Inputs]],Table_Process_Details[Input or Output],"Input")</f>
        <v>0</v>
      </c>
      <c r="DF68" s="22">
        <f ca="1">SUMIFS(Table_Process_Details[RV Mass Net (kg) per kg API (SOLVENT)],Table_Process_Details[Display Name],Table_Process_Details[[#This Row],[Unique Process Inputs]],Table_Process_Details[Input or Output],"Input")</f>
        <v>0</v>
      </c>
      <c r="DG68" s="22">
        <f ca="1">SUMIFS(Table_Process_Details[RV Mass Net (kg) per kg API (WATER)],Table_Process_Details[Display Name],Table_Process_Details[[#This Row],[Unique Process Inputs]],Table_Process_Details[Input or Output],"Input")</f>
        <v>0</v>
      </c>
      <c r="DH68" s="22">
        <f ca="1">SUMIFS(Table_Process_Details[RV Mass Net (kg) per kg API (ENZ&amp;PLNT)],Table_Process_Details[Display Name],Table_Process_Details[[#This Row],[Unique Process Inputs]],Table_Process_Details[Input or Output],"Input")</f>
        <v>0</v>
      </c>
      <c r="DI68" s="22">
        <f ca="1">SUMIFS(Table_Process_Details[RV Mass Net (kg) per kg API (OTHER)],Table_Process_Details[Display Name],Table_Process_Details[[#This Row],[Unique Process Inputs]],Table_Process_Details[Input or Output],"Input")</f>
        <v>0</v>
      </c>
      <c r="DJ68" s="22" t="e">
        <f ca="1">INDEX(Table_Process_Details[Unique Process Inputs],MATCH(Table_Process_Details[[#This Row],['[Mass Net (kg) per kg API'] of Unique Inputs Sorted by '[Mass Net (kg) per kg API']]],Table_Process_Details[Total '[Mass Net (kg) per kg API'] of Unique Inputs],0))</f>
        <v>#N/A</v>
      </c>
      <c r="DK68" s="22" t="e">
        <f ca="1">IF(LARGE(Table_Process_Details[Total '[Mass Net (kg) per kg API'] of Unique Inputs],Table_Process_Details[[#This Row],[Table Row]])=0,NA(),LARGE(Table_Process_Details[Total '[Mass Net (kg) per kg API'] of Unique Inputs],Table_Process_Details[[#This Row],[Table Row]]))</f>
        <v>#N/A</v>
      </c>
      <c r="DL68" s="22" t="e">
        <f ca="1">SUM(OFFSET(Table_Process_Details['[Mass Net (kg) per kg API'] of Unique Inputs Sorted by '[Mass Net (kg) per kg API']],0,0,Table_Process_Details[[#This Row],[Table Row]]))</f>
        <v>#N/A</v>
      </c>
      <c r="DM68" s="22" t="e">
        <f ca="1">"("&amp;TEXT(Table_Process_Details[[#This Row],['[Mass Net (kg) per kg API'] of Unique Inputs Sorted by '[Mass Net (kg) per kg API']]]/SUMIF(Table_Process_Details['[Mass Net (kg) per kg API'] of Unique Inputs Sorted by '[Mass Net (kg) per kg API']],"&lt;&gt;#N/A"),"0%")&amp;")"</f>
        <v>#N/A</v>
      </c>
      <c r="DN68" s="22" t="e">
        <f ca="1">INDEX(Table_Process_Details[Total '[Mass Net (kg) per kg API'] of Unique Inputs (REAGENT)], MATCH(Table_Process_Details[[#This Row],[Unique Inputs Sorted by '[Mass Net (kg) per kg API']]],Table_Process_Details[Unique Process Inputs],0))</f>
        <v>#N/A</v>
      </c>
      <c r="DO68" s="22" t="e">
        <f ca="1">INDEX(Table_Process_Details[Total '[Mass Net (kg) per kg API'] of Unique Inputs (METAL)], MATCH(Table_Process_Details[[#This Row],[Unique Inputs Sorted by '[Mass Net (kg) per kg API']]],Table_Process_Details[Unique Process Inputs],0))</f>
        <v>#N/A</v>
      </c>
      <c r="DP68" s="22" t="e">
        <f ca="1">INDEX(Table_Process_Details[Total '[Mass Net (kg) per kg API'] of Unique Inputs (SOLVENT)], MATCH(Table_Process_Details[[#This Row],[Unique Inputs Sorted by '[Mass Net (kg) per kg API']]],Table_Process_Details[Unique Process Inputs],0))</f>
        <v>#N/A</v>
      </c>
      <c r="DQ68" s="22" t="e">
        <f ca="1">INDEX(Table_Process_Details[Total '[Mass Net (kg) per kg API'] of Unique Inputs (WATER)], MATCH(Table_Process_Details[[#This Row],[Unique Inputs Sorted by '[Mass Net (kg) per kg API']]],Table_Process_Details[Unique Process Inputs],0))</f>
        <v>#N/A</v>
      </c>
      <c r="DR68" s="22" t="e">
        <f ca="1">INDEX(Table_Process_Details[Total '[Mass Net (kg) per kg API'] of Unique Inputs (ENZ&amp;PLNT)], MATCH(Table_Process_Details[[#This Row],[Unique Inputs Sorted by '[Mass Net (kg) per kg API']]],Table_Process_Details[Unique Process Inputs],0))</f>
        <v>#N/A</v>
      </c>
      <c r="DS68" s="22" t="e">
        <f ca="1">INDEX(Table_Process_Details[Total '[Mass Net (kg) per kg API'] of Unique Inputs (OTHER)], MATCH(Table_Process_Details[[#This Row],[Unique Inputs Sorted by '[Mass Net (kg) per kg API']]],Table_Process_Details[Unique Process Inputs],0))</f>
        <v>#N/A</v>
      </c>
      <c r="DT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329.75131706913032</v>
      </c>
      <c r="DU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329.75131706913032</v>
      </c>
      <c r="DV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8" s="1">
        <f ca="1">SUMIFS(Table_Process_Details[RV Energy (MJ) per kg API],Table_Process_Details[Display Name],Table_Process_Details[[#This Row],[Unique Process Inputs]],Table_Process_Details[Input or Output],"Input")</f>
        <v>0</v>
      </c>
      <c r="EB68" s="1">
        <f ca="1">SUMIFS(Table_Process_Details[RV Energy (MJ) per kg API (REAGENT)],Table_Process_Details[Display Name],Table_Process_Details[[#This Row],[Unique Process Inputs]],Table_Process_Details[Input or Output],"Input")</f>
        <v>0</v>
      </c>
      <c r="EC68" s="1">
        <f ca="1">SUMIFS(Table_Process_Details[RV Energy (MJ) per kg API (METAL)],Table_Process_Details[Display Name],Table_Process_Details[[#This Row],[Unique Process Inputs]],Table_Process_Details[Input or Output],"Input")</f>
        <v>0</v>
      </c>
      <c r="ED68" s="1">
        <f ca="1">SUMIFS(Table_Process_Details[RV Energy (MJ) per kg API (SOLVENT)],Table_Process_Details[Display Name],Table_Process_Details[[#This Row],[Unique Process Inputs]],Table_Process_Details[Input or Output],"Input")</f>
        <v>0</v>
      </c>
      <c r="EE68" s="1">
        <f ca="1">SUMIFS(Table_Process_Details[RV Energy (MJ) per kg API (WATER)],Table_Process_Details[Display Name],Table_Process_Details[[#This Row],[Unique Process Inputs]],Table_Process_Details[Input or Output],"Input")</f>
        <v>0</v>
      </c>
      <c r="EF68" s="1">
        <f ca="1">SUMIFS(Table_Process_Details[RV Energy (MJ) per kg API (ENZ&amp;PLNT)],Table_Process_Details[Display Name],Table_Process_Details[[#This Row],[Unique Process Inputs]],Table_Process_Details[Input or Output],"Input")</f>
        <v>0</v>
      </c>
      <c r="EG68" s="1">
        <f ca="1">SUMIFS(Table_Process_Details[RV Energy (MJ) per kg API (OTHER)],Table_Process_Details[Display Name],Table_Process_Details[[#This Row],[Unique Process Inputs]],Table_Process_Details[Input or Output],"Input")</f>
        <v>0</v>
      </c>
      <c r="EH68" s="1" t="e">
        <f ca="1">INDEX(Table_Process_Details[Unique Process Inputs],MATCH(Table_Process_Details[[#This Row],['[Energy (MJ) per kg API'] of Unique Inputs Sorted by '[Energy (MJ) per kg API']]],Table_Process_Details[Total '[Energy (MJ) per kg API'] of Unique Inputs],0))</f>
        <v>#N/A</v>
      </c>
      <c r="EI68" s="22" t="e">
        <f ca="1">IF(LARGE(Table_Process_Details[Total '[Energy (MJ) per kg API'] of Unique Inputs],Table_Process_Details[[#This Row],[Table Row]])=0,NA(),LARGE(Table_Process_Details[Total '[Energy (MJ) per kg API'] of Unique Inputs],Table_Process_Details[[#This Row],[Table Row]]))</f>
        <v>#N/A</v>
      </c>
      <c r="EJ68" s="22" t="e">
        <f ca="1">SUM(OFFSET(Table_Process_Details['[Energy (MJ) per kg API'] of Unique Inputs Sorted by '[Energy (MJ) per kg API']],0,0,Table_Process_Details[[#This Row],[Table Row]]))</f>
        <v>#N/A</v>
      </c>
      <c r="EK68" s="22" t="e">
        <f ca="1">"("&amp;TEXT(Table_Process_Details[[#This Row],['[Energy (MJ) per kg API'] of Unique Inputs Sorted by '[Energy (MJ) per kg API']]]/SUMIF(Table_Process_Details['[Energy (MJ) per kg API'] of Unique Inputs Sorted by '[Energy (MJ) per kg API']],"&lt;&gt;#N/A"),"0%")&amp;")"</f>
        <v>#N/A</v>
      </c>
      <c r="EL68" s="22" t="e">
        <f ca="1">INDEX(Table_Process_Details[Total '[Energy (MJ) per kg API'] of Unique Inputs (REAGENT)], MATCH(Table_Process_Details[[#This Row],[Unique Inputs Sorted by '[Energy (MJ) per kg API']]],Table_Process_Details[Unique Process Inputs],0))</f>
        <v>#N/A</v>
      </c>
      <c r="EM68" s="22" t="e">
        <f ca="1">INDEX(Table_Process_Details[Total '[Energy (MJ) per kg API'] of Unique Inputs (METAL)], MATCH(Table_Process_Details[[#This Row],[Unique Inputs Sorted by '[Energy (MJ) per kg API']]],Table_Process_Details[Unique Process Inputs],0))</f>
        <v>#N/A</v>
      </c>
      <c r="EN68" s="22" t="e">
        <f ca="1">INDEX(Table_Process_Details[Total '[Energy (MJ) per kg API'] of Unique Inputs (SOLVENT)], MATCH(Table_Process_Details[[#This Row],[Unique Inputs Sorted by '[Energy (MJ) per kg API']]],Table_Process_Details[Unique Process Inputs],0))</f>
        <v>#N/A</v>
      </c>
      <c r="EO68" s="22" t="e">
        <f ca="1">INDEX(Table_Process_Details[Total '[Energy (MJ) per kg API'] of Unique Inputs (WATER)], MATCH(Table_Process_Details[[#This Row],[Unique Inputs Sorted by '[Energy (MJ) per kg API']]],Table_Process_Details[Unique Process Inputs],0))</f>
        <v>#N/A</v>
      </c>
      <c r="EP68" s="22" t="e">
        <f ca="1">INDEX(Table_Process_Details[Total '[Energy (MJ) per kg API'] of Unique Inputs (ENZ&amp;PLNT)], MATCH(Table_Process_Details[[#This Row],[Unique Inputs Sorted by '[Energy (MJ) per kg API']]],Table_Process_Details[Unique Process Inputs],0))</f>
        <v>#N/A</v>
      </c>
      <c r="EQ68" s="22" t="e">
        <f ca="1">INDEX(Table_Process_Details[Total '[Energy (MJ) per kg API'] of Unique Inputs (OTHER)], MATCH(Table_Process_Details[[#This Row],[Unique Inputs Sorted by '[Energy (MJ) per kg API']]],Table_Process_Details[Unique Process Inputs],0))</f>
        <v>#N/A</v>
      </c>
      <c r="ER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11.559127425097321</v>
      </c>
      <c r="ES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11.559127425097321</v>
      </c>
      <c r="ET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8" s="22">
        <f ca="1">SUMIFS(Table_Process_Details[RV GWP (kg CO2 equiv.) per kg API],Table_Process_Details[Display Name],Table_Process_Details[[#This Row],[Unique Process Inputs]],Table_Process_Details[Input or Output],"Input")</f>
        <v>0</v>
      </c>
      <c r="EZ68" s="1">
        <f ca="1">SUMIFS(Table_Process_Details[RV GWP (kg CO2 equiv.) per kg API (REAGENT)],Table_Process_Details[Display Name],Table_Process_Details[[#This Row],[Unique Process Inputs]],Table_Process_Details[Input or Output],"Input")</f>
        <v>0</v>
      </c>
      <c r="FA68" s="1">
        <f ca="1">SUMIFS(Table_Process_Details[RV GWP (kg CO2 equiv.) per kg API (METAL)],Table_Process_Details[Display Name],Table_Process_Details[[#This Row],[Unique Process Inputs]],Table_Process_Details[Input or Output],"Input")</f>
        <v>0</v>
      </c>
      <c r="FB68" s="1">
        <f ca="1">SUMIFS(Table_Process_Details[RV GWP (kg CO2 equiv.) per kg API (SOLVENT)],Table_Process_Details[Display Name],Table_Process_Details[[#This Row],[Unique Process Inputs]],Table_Process_Details[Input or Output],"Input")</f>
        <v>0</v>
      </c>
      <c r="FC68" s="1">
        <f ca="1">SUMIFS(Table_Process_Details[RV GWP (kg CO2 equiv.) per kg API (WATER)],Table_Process_Details[Display Name],Table_Process_Details[[#This Row],[Unique Process Inputs]],Table_Process_Details[Input or Output],"Input")</f>
        <v>0</v>
      </c>
      <c r="FD68" s="1">
        <f ca="1">SUMIFS(Table_Process_Details[RV GWP (kg CO2 equiv.) per kg API (ENZ&amp;PLNT)],Table_Process_Details[Display Name],Table_Process_Details[[#This Row],[Unique Process Inputs]],Table_Process_Details[Input or Output],"Input")</f>
        <v>0</v>
      </c>
      <c r="FE68" s="1">
        <f ca="1">SUMIFS(Table_Process_Details[RV GWP (kg CO2 equiv.) per kg API (OTHER)],Table_Process_Details[Display Name],Table_Process_Details[[#This Row],[Unique Process Inputs]],Table_Process_Details[Input or Output],"Input")</f>
        <v>0</v>
      </c>
      <c r="FF68" s="22" t="e">
        <f ca="1">INDEX(Table_Process_Details[Unique Process Inputs],MATCH(Table_Process_Details[[#This Row],['[GWP (kg CO2 equiv.) per kg API'] of Unique Inputs Sorted by '[GWP (kg CO2 equiv.) per kg API']]],Table_Process_Details[Total '[GWP (kg CO2 equiv.) per kg API'] of Unique Inputs],0))</f>
        <v>#N/A</v>
      </c>
      <c r="FG68" s="22" t="e">
        <f ca="1">IF(LARGE(Table_Process_Details[Total '[GWP (kg CO2 equiv.) per kg API'] of Unique Inputs],Table_Process_Details[[#This Row],[Table Row]])=0,NA(),LARGE(Table_Process_Details[Total '[GWP (kg CO2 equiv.) per kg API'] of Unique Inputs],Table_Process_Details[[#This Row],[Table Row]]))</f>
        <v>#N/A</v>
      </c>
      <c r="FH68" s="22" t="e">
        <f ca="1">SUM(OFFSET(Table_Process_Details['[GWP (kg CO2 equiv.) per kg API'] of Unique Inputs Sorted by '[GWP (kg CO2 equiv.) per kg API']],0,0,Table_Process_Details[[#This Row],[Table Row]]))</f>
        <v>#N/A</v>
      </c>
      <c r="FI68" s="22" t="e">
        <f ca="1">"("&amp;TEXT(Table_Process_Details[[#This Row],['[GWP (kg CO2 equiv.) per kg API'] of Unique Inputs Sorted by '[GWP (kg CO2 equiv.) per kg API']]]/SUMIF(Table_Process_Details['[GWP (kg CO2 equiv.) per kg API'] of Unique Inputs Sorted by '[GWP (kg CO2 equiv.) per kg API']],"&lt;&gt;#N/A"),"0%")&amp;")"</f>
        <v>#N/A</v>
      </c>
      <c r="FJ68" s="22" t="e">
        <f ca="1">INDEX(Table_Process_Details[Total '[GWP (kg CO2 equiv.) per kg API'] of Unique Inputs (REAGENT)], MATCH(Table_Process_Details[[#This Row],[Unique Inputs Sorted by '[GWP (kg CO2 equiv.) per kg API']]],Table_Process_Details[Unique Process Inputs],0))</f>
        <v>#N/A</v>
      </c>
      <c r="FK68" s="22" t="e">
        <f ca="1">INDEX(Table_Process_Details[Total '[GWP (kg CO2 equiv.) per kg API'] of Unique Inputs (METAL)], MATCH(Table_Process_Details[[#This Row],[Unique Inputs Sorted by '[GWP (kg CO2 equiv.) per kg API']]],Table_Process_Details[Unique Process Inputs],0))</f>
        <v>#N/A</v>
      </c>
      <c r="FL68" s="22" t="e">
        <f ca="1">INDEX(Table_Process_Details[Total '[GWP (kg CO2 equiv.) per kg API'] of Unique Inputs (SOLVENT)], MATCH(Table_Process_Details[[#This Row],[Unique Inputs Sorted by '[GWP (kg CO2 equiv.) per kg API']]],Table_Process_Details[Unique Process Inputs],0))</f>
        <v>#N/A</v>
      </c>
      <c r="FM68" s="22" t="e">
        <f ca="1">INDEX(Table_Process_Details[Total '[GWP (kg CO2 equiv.) per kg API'] of Unique Inputs (WATER)], MATCH(Table_Process_Details[[#This Row],[Unique Inputs Sorted by '[GWP (kg CO2 equiv.) per kg API']]],Table_Process_Details[Unique Process Inputs],0))</f>
        <v>#N/A</v>
      </c>
      <c r="FN68" s="22" t="e">
        <f ca="1">INDEX(Table_Process_Details[Total '[GWP (kg CO2 equiv.) per kg API'] of Unique Inputs (ENZ&amp;PLNT)], MATCH(Table_Process_Details[[#This Row],[Unique Inputs Sorted by '[GWP (kg CO2 equiv.) per kg API']]],Table_Process_Details[Unique Process Inputs],0))</f>
        <v>#N/A</v>
      </c>
      <c r="FO68" s="22" t="e">
        <f ca="1">INDEX(Table_Process_Details[Total '[GWP (kg CO2 equiv.) per kg API'] of Unique Inputs (OTHER)], MATCH(Table_Process_Details[[#This Row],[Unique Inputs Sorted by '[GWP (kg CO2 equiv.) per kg API']]],Table_Process_Details[Unique Process Inputs],0))</f>
        <v>#N/A</v>
      </c>
      <c r="FP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4.943195629384535E-2</v>
      </c>
      <c r="FQ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4.943195629384535E-2</v>
      </c>
      <c r="FR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8" s="22">
        <f ca="1">SUMIFS(Table_Process_Details[RV Acidification (kg SO2 equiv.) per kg API],Table_Process_Details[Display Name],Table_Process_Details[[#This Row],[Unique Process Inputs]],Table_Process_Details[Input or Output],"Input")</f>
        <v>0</v>
      </c>
      <c r="FX68" s="1">
        <f ca="1">SUMIFS(Table_Process_Details[RV Acidification (kg SO2 equiv.) per kg API (REAGENT)],Table_Process_Details[Display Name],Table_Process_Details[[#This Row],[Unique Process Inputs]],Table_Process_Details[Input or Output],"Input")</f>
        <v>0</v>
      </c>
      <c r="FY68" s="1">
        <f ca="1">SUMIFS(Table_Process_Details[RV Acidification (kg SO2 equiv.) per kg API (METAL)],Table_Process_Details[Display Name],Table_Process_Details[[#This Row],[Unique Process Inputs]],Table_Process_Details[Input or Output],"Input")</f>
        <v>0</v>
      </c>
      <c r="FZ68" s="1">
        <f ca="1">SUMIFS(Table_Process_Details[RV Acidification (kg SO2 equiv.) per kg API (SOLVENT)],Table_Process_Details[Display Name],Table_Process_Details[[#This Row],[Unique Process Inputs]],Table_Process_Details[Input or Output],"Input")</f>
        <v>0</v>
      </c>
      <c r="GA68" s="1">
        <f ca="1">SUMIFS(Table_Process_Details[RV Acidification (kg SO2 equiv.) per kg API (WATER)],Table_Process_Details[Display Name],Table_Process_Details[[#This Row],[Unique Process Inputs]],Table_Process_Details[Input or Output],"Input")</f>
        <v>0</v>
      </c>
      <c r="GB68" s="1">
        <f ca="1">SUMIFS(Table_Process_Details[RV Acidification (kg SO2 equiv.) per kg API (ENZ&amp;PLNT)],Table_Process_Details[Display Name],Table_Process_Details[[#This Row],[Unique Process Inputs]],Table_Process_Details[Input or Output],"Input")</f>
        <v>0</v>
      </c>
      <c r="GC68" s="1">
        <f ca="1">SUMIFS(Table_Process_Details[RV Acidification (kg SO2 equiv.) per kg API (OTHER)],Table_Process_Details[Display Name],Table_Process_Details[[#This Row],[Unique Process Inputs]],Table_Process_Details[Input or Output],"Input")</f>
        <v>0</v>
      </c>
      <c r="GD6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8" s="22" t="e">
        <f ca="1">SUM(OFFSET(Table_Process_Details['[Acidification (kg SO2 equiv.) per kg API'] of Unique Inputs Sorted by '[Acidification (kg SO2 equiv.) per kg API']],0,0,Table_Process_Details[[#This Row],[Table Row]]))</f>
        <v>#N/A</v>
      </c>
      <c r="GG6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8" s="22" t="e">
        <f ca="1">INDEX(Table_Process_Details[Total '[Acidification (kg SO2 equiv.) per kg API'] of Unique Inputs (REAGENT)], MATCH(Table_Process_Details[[#This Row],[Unique Inputs Sorted by '[Acidification (kg SO2 equiv.) per kg API']]],Table_Process_Details[Unique Process Inputs],0))</f>
        <v>#N/A</v>
      </c>
      <c r="GI68" s="22" t="e">
        <f ca="1">INDEX(Table_Process_Details[Total '[Acidification (kg SO2 equiv.) per kg API'] of Unique Inputs (METAL)], MATCH(Table_Process_Details[[#This Row],[Unique Inputs Sorted by '[Acidification (kg SO2 equiv.) per kg API']]],Table_Process_Details[Unique Process Inputs],0))</f>
        <v>#N/A</v>
      </c>
      <c r="GJ68" s="22" t="e">
        <f ca="1">INDEX(Table_Process_Details[Total '[Acidification (kg SO2 equiv.) per kg API'] of Unique Inputs (SOLVENT)], MATCH(Table_Process_Details[[#This Row],[Unique Inputs Sorted by '[Acidification (kg SO2 equiv.) per kg API']]],Table_Process_Details[Unique Process Inputs],0))</f>
        <v>#N/A</v>
      </c>
      <c r="GK68" s="22" t="e">
        <f ca="1">INDEX(Table_Process_Details[Total '[Acidification (kg SO2 equiv.) per kg API'] of Unique Inputs (WATER)], MATCH(Table_Process_Details[[#This Row],[Unique Inputs Sorted by '[Acidification (kg SO2 equiv.) per kg API']]],Table_Process_Details[Unique Process Inputs],0))</f>
        <v>#N/A</v>
      </c>
      <c r="GL68" s="22" t="e">
        <f ca="1">INDEX(Table_Process_Details[Total '[Acidification (kg SO2 equiv.) per kg API'] of Unique Inputs (ENZ&amp;PLNT)], MATCH(Table_Process_Details[[#This Row],[Unique Inputs Sorted by '[Acidification (kg SO2 equiv.) per kg API']]],Table_Process_Details[Unique Process Inputs],0))</f>
        <v>#N/A</v>
      </c>
      <c r="GM68" s="22" t="e">
        <f ca="1">INDEX(Table_Process_Details[Total '[Acidification (kg SO2 equiv.) per kg API'] of Unique Inputs (OTHER)], MATCH(Table_Process_Details[[#This Row],[Unique Inputs Sorted by '[Acidification (kg SO2 equiv.) per kg API']]],Table_Process_Details[Unique Process Inputs],0))</f>
        <v>#N/A</v>
      </c>
      <c r="GN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3.9580636252878894E-2</v>
      </c>
      <c r="GO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3.9580636252878894E-2</v>
      </c>
      <c r="GP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8" s="22">
        <f ca="1">SUMIFS(Table_Process_Details[RV Eutrophication (kg phosphate equiv.) per kg API],Table_Process_Details[Display Name],Table_Process_Details[[#This Row],[Unique Process Inputs]],Table_Process_Details[Input or Output],"Input")</f>
        <v>0</v>
      </c>
      <c r="GV68" s="1">
        <f ca="1">SUMIFS(Table_Process_Details[RV Eutrophication (kg phosphate equiv.) per kg API (REAGENT)],Table_Process_Details[Display Name],Table_Process_Details[[#This Row],[Unique Process Inputs]],Table_Process_Details[Input or Output],"Input")</f>
        <v>0</v>
      </c>
      <c r="GW68" s="1">
        <f ca="1">SUMIFS(Table_Process_Details[RV Eutrophication (kg phosphate equiv.) per kg API (METAL)],Table_Process_Details[Display Name],Table_Process_Details[[#This Row],[Unique Process Inputs]],Table_Process_Details[Input or Output],"Input")</f>
        <v>0</v>
      </c>
      <c r="GX68" s="1">
        <f ca="1">SUMIFS(Table_Process_Details[RV Eutrophication (kg phosphate equiv.) per kg API (SOLVENT)],Table_Process_Details[Display Name],Table_Process_Details[[#This Row],[Unique Process Inputs]],Table_Process_Details[Input or Output],"Input")</f>
        <v>0</v>
      </c>
      <c r="GY68" s="1">
        <f ca="1">SUMIFS(Table_Process_Details[RV Eutrophication (kg phosphate equiv.) per kg API (WATER)],Table_Process_Details[Display Name],Table_Process_Details[[#This Row],[Unique Process Inputs]],Table_Process_Details[Input or Output],"Input")</f>
        <v>0</v>
      </c>
      <c r="GZ68" s="1">
        <f ca="1">SUMIFS(Table_Process_Details[RV Eutrophication (kg phosphate equiv.) per kg API (ENZ&amp;PLNT)],Table_Process_Details[Display Name],Table_Process_Details[[#This Row],[Unique Process Inputs]],Table_Process_Details[Input or Output],"Input")</f>
        <v>0</v>
      </c>
      <c r="HA68" s="1">
        <f ca="1">SUMIFS(Table_Process_Details[RV Eutrophication (kg phosphate equiv.) per kg API (OTHER)],Table_Process_Details[Display Name],Table_Process_Details[[#This Row],[Unique Process Inputs]],Table_Process_Details[Input or Output],"Input")</f>
        <v>0</v>
      </c>
      <c r="HB6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8" s="22" t="e">
        <f ca="1">SUM(OFFSET(Table_Process_Details['[Eutrophication (kg posphate equiv.) per kg API'] of Unique Inputs Sorted by '[Eutrophication (kg posphate equiv.) per kg API']],0,0,Table_Process_Details[[#This Row],[Table Row]]))</f>
        <v>#N/A</v>
      </c>
      <c r="HE6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8" s="1" t="e">
        <f ca="1">INDEX(Table_Process_Details[Total '[Eutrophication (kg posphate equiv.) per kg API'] of Unique Inputs (REAGENT)], MATCH(Table_Process_Details[[#This Row],[Unique Inputs Sorted by '[Eutrophication (kg posphate equiv.) per kg API']]],Table_Process_Details[Unique Process Inputs],0))</f>
        <v>#N/A</v>
      </c>
      <c r="HG68" s="1" t="e">
        <f ca="1">INDEX(Table_Process_Details[Total '[Eutrophication (kg posphate equiv.) per kg API'] of Unique Inputs (METAL)], MATCH(Table_Process_Details[[#This Row],[Unique Inputs Sorted by '[Eutrophication (kg posphate equiv.) per kg API']]],Table_Process_Details[Unique Process Inputs],0))</f>
        <v>#N/A</v>
      </c>
      <c r="HH68" s="1" t="e">
        <f ca="1">INDEX(Table_Process_Details[Total '[Eutrophication (kg posphate equiv.) per kg API'] of Unique Inputs (SOLVENT)], MATCH(Table_Process_Details[[#This Row],[Unique Inputs Sorted by '[Eutrophication (kg posphate equiv.) per kg API']]],Table_Process_Details[Unique Process Inputs],0))</f>
        <v>#N/A</v>
      </c>
      <c r="HI68" s="1" t="e">
        <f ca="1">INDEX(Table_Process_Details[Total '[Eutrophication (kg posphate equiv.) per kg API'] of Unique Inputs (WATER)], MATCH(Table_Process_Details[[#This Row],[Unique Inputs Sorted by '[Eutrophication (kg posphate equiv.) per kg API']]],Table_Process_Details[Unique Process Inputs],0))</f>
        <v>#N/A</v>
      </c>
      <c r="HJ68" s="1" t="e">
        <f ca="1">INDEX(Table_Process_Details[Total '[Eutrophication (kg posphate equiv.) per kg API'] of Unique Inputs (ENZ&amp;PLNT)], MATCH(Table_Process_Details[[#This Row],[Unique Inputs Sorted by '[Eutrophication (kg posphate equiv.) per kg API']]],Table_Process_Details[Unique Process Inputs],0))</f>
        <v>#N/A</v>
      </c>
      <c r="HK68" s="1" t="e">
        <f ca="1">INDEX(Table_Process_Details[Total '[Eutrophication (kg posphate equiv.) per kg API'] of Unique Inputs (OTHER)], MATCH(Table_Process_Details[[#This Row],[Unique Inputs Sorted by '[Eutrophication (kg posphate equiv.) per kg API']]],Table_Process_Details[Unique Process Inputs],0))</f>
        <v>#N/A</v>
      </c>
      <c r="HL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64.725208434102043</v>
      </c>
      <c r="HM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64.725208434102043</v>
      </c>
      <c r="HN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8" s="1">
        <f ca="1">SUMIFS(Table_Process_Details[RV Water (kg) per kg API],Table_Process_Details[Display Name],Table_Process_Details[[#This Row],[Unique Process Inputs]],Table_Process_Details[Input or Output],"Input")</f>
        <v>0</v>
      </c>
      <c r="HT68" s="1">
        <f ca="1">SUMIFS(Table_Process_Details[RV Water (kg) per kg API (REAGENT)],Table_Process_Details[Display Name],Table_Process_Details[[#This Row],[Unique Process Inputs]],Table_Process_Details[Input or Output],"Input")</f>
        <v>0</v>
      </c>
      <c r="HU68" s="1">
        <f ca="1">SUMIFS(Table_Process_Details[RV Water (kg) per kg API (METAL)],Table_Process_Details[Display Name],Table_Process_Details[[#This Row],[Unique Process Inputs]],Table_Process_Details[Input or Output],"Input")</f>
        <v>0</v>
      </c>
      <c r="HV68" s="1">
        <f ca="1">SUMIFS(Table_Process_Details[RV Water (kg) per kg API (SOLVENT)],Table_Process_Details[Display Name],Table_Process_Details[[#This Row],[Unique Process Inputs]],Table_Process_Details[Input or Output],"Input")</f>
        <v>0</v>
      </c>
      <c r="HW68" s="1">
        <f ca="1">SUMIFS(Table_Process_Details[RV Water (kg) per kg API (WATER)],Table_Process_Details[Display Name],Table_Process_Details[[#This Row],[Unique Process Inputs]],Table_Process_Details[Input or Output],"Input")</f>
        <v>0</v>
      </c>
      <c r="HX68" s="1">
        <f ca="1">SUMIFS(Table_Process_Details[RV Water (kg) per kg API (ENZ&amp;PLNT)],Table_Process_Details[Display Name],Table_Process_Details[[#This Row],[Unique Process Inputs]],Table_Process_Details[Input or Output],"Input")</f>
        <v>0</v>
      </c>
      <c r="HY68" s="1">
        <f ca="1">SUMIFS(Table_Process_Details[RV Water (kg) per kg API (OTHER)],Table_Process_Details[Display Name],Table_Process_Details[[#This Row],[Unique Process Inputs]],Table_Process_Details[Input or Output],"Input")</f>
        <v>0</v>
      </c>
      <c r="HZ68" s="22" t="e">
        <f ca="1">INDEX(Table_Process_Details[Unique Process Inputs],MATCH(Table_Process_Details[[#This Row],['[Water (kg) per kg API'] of Unique Inputs Sorted by '[Water (kg) per kg API']]],Table_Process_Details[Total '[Water (kg) per kg API'] of Unique Inputs],0))</f>
        <v>#N/A</v>
      </c>
      <c r="IA68" s="22" t="e">
        <f ca="1">IF(LARGE(Table_Process_Details[Total '[Water (kg) per kg API'] of Unique Inputs],Table_Process_Details[[#This Row],[Table Row]])=0,NA(),LARGE(Table_Process_Details[Total '[Water (kg) per kg API'] of Unique Inputs],Table_Process_Details[[#This Row],[Table Row]]))</f>
        <v>#N/A</v>
      </c>
      <c r="IB68" s="1" t="e">
        <f ca="1">SUM(OFFSET(Table_Process_Details['[Water (kg) per kg API'] of Unique Inputs Sorted by '[Water (kg) per kg API']],0,0,Table_Process_Details[[#This Row],[Table Row]]))</f>
        <v>#N/A</v>
      </c>
      <c r="IC68" s="1" t="e">
        <f ca="1">"("&amp;TEXT(Table_Process_Details[[#This Row],['[Water (kg) per kg API'] of Unique Inputs Sorted by '[Water (kg) per kg API']]]/SUMIF(Table_Process_Details['[Water (kg) per kg API'] of Unique Inputs Sorted by '[Water (kg) per kg API']],"&lt;&gt;#N/A"),"0%")&amp;")"</f>
        <v>#N/A</v>
      </c>
      <c r="ID68" s="1" t="e">
        <f ca="1">INDEX(Table_Process_Details[Total '[Water (kg) per kg API'] of Unique Inputs (REAGENT)], MATCH(Table_Process_Details[[#This Row],[Unique Inputs Sorted by '[Water (kg) per kg API']]],Table_Process_Details[Unique Process Inputs],0))</f>
        <v>#N/A</v>
      </c>
      <c r="IE68" s="1" t="e">
        <f ca="1">INDEX(Table_Process_Details[Total '[Water (kg) per kg API'] of Unique Inputs (METAL)], MATCH(Table_Process_Details[[#This Row],[Unique Inputs Sorted by '[Water (kg) per kg API']]],Table_Process_Details[Unique Process Inputs],0))</f>
        <v>#N/A</v>
      </c>
      <c r="IF68" s="1" t="e">
        <f ca="1">INDEX(Table_Process_Details[Total '[Water (kg) per kg API'] of Unique Inputs (SOLVENT)], MATCH(Table_Process_Details[[#This Row],[Unique Inputs Sorted by '[Water (kg) per kg API']]],Table_Process_Details[Unique Process Inputs],0))</f>
        <v>#N/A</v>
      </c>
      <c r="IG68" s="1" t="e">
        <f ca="1">INDEX(Table_Process_Details[Total '[Water (kg) per kg API'] of Unique Inputs (WATER)], MATCH(Table_Process_Details[[#This Row],[Unique Inputs Sorted by '[Water (kg) per kg API']]],Table_Process_Details[Unique Process Inputs],0))</f>
        <v>#N/A</v>
      </c>
      <c r="IH68" s="1" t="e">
        <f ca="1">INDEX(Table_Process_Details[Total '[Water (kg) per kg API'] of Unique Inputs (ENZ&amp;PLNT)], MATCH(Table_Process_Details[[#This Row],[Unique Inputs Sorted by '[Water (kg) per kg API']]],Table_Process_Details[Unique Process Inputs],0))</f>
        <v>#N/A</v>
      </c>
      <c r="II68" s="1" t="e">
        <f ca="1">INDEX(Table_Process_Details[Total '[Water (kg) per kg API'] of Unique Inputs (OTHER)], MATCH(Table_Process_Details[[#This Row],[Unique Inputs Sorted by '[Water (kg) per kg API']]],Table_Process_Details[Unique Process Inputs],0))</f>
        <v>#N/A</v>
      </c>
    </row>
    <row r="69" spans="1:243" customFormat="1" x14ac:dyDescent="0.25">
      <c r="A69" s="22" t="str">
        <f t="shared" si="2"/>
        <v>3) Synthesis of Intermediate (3)</v>
      </c>
      <c r="B69" s="21" t="s">
        <v>4</v>
      </c>
      <c r="C69" s="21" t="s">
        <v>153</v>
      </c>
      <c r="D69" s="22" t="s">
        <v>156</v>
      </c>
      <c r="E69" s="22" t="s">
        <v>833</v>
      </c>
      <c r="F69" s="26">
        <v>0.5</v>
      </c>
      <c r="G69" s="26"/>
      <c r="H69" s="26"/>
      <c r="I69" s="26"/>
      <c r="J69" s="26" t="str">
        <f>INDEX(Process_Steps[Reference],MATCH(Table_Process_Details[[#This Row],[Step Name]],Process_Steps[Name],0))</f>
        <v>Another Reference Document!</v>
      </c>
      <c r="K69" s="27" t="str">
        <f>INDEX(Process_Steps[Real or Virtual?],MATCH(Table_Process_Details[[#This Row],[Step Name]],Process_Steps[Name],0))</f>
        <v>Real</v>
      </c>
      <c r="L6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6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69" s="26">
        <f>INDEX(Table_Process_Details[Physical Mass (kg)],MATCH(1,INDEX(((Table_Process_Details[Step Name]=Table_Process_Details[[#This Row],[Step Name]])*(Table_Process_Details[Input or Output]="Output")),0),0))</f>
        <v>0.09</v>
      </c>
      <c r="O69" s="29">
        <f ca="1">INDEX(Process_Steps[Step Scale Factor for 1kg Packaged API],MATCH(Table_Process_Details[[#This Row],[Step Name]],Process_Steps[Name],0))</f>
        <v>11.011194714626619</v>
      </c>
      <c r="P6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13.333333333333334</v>
      </c>
      <c r="Q6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6.3333333333333339</v>
      </c>
      <c r="R69" s="26">
        <f ca="1">_xlfn.SWITCH(Run_Reset_PNG,"Reset",Table_Process_Details[[#This Row],[X Init]],"Run",Table_Process_Details[[#This Row],[X Moved]],"Freeze",Table_Process_Details[[#This Row],[X Mover]])</f>
        <v>16.515928712884108</v>
      </c>
      <c r="S69" s="26">
        <f ca="1">_xlfn.SWITCH(Run_Reset_PNG,"Reset",Table_Process_Details[[#This Row],[Y Init]],"Run",Table_Process_Details[[#This Row],[Y Moved]],"Freeze",Table_Process_Details[[#This Row],[Y Mover]])</f>
        <v>6.9953352782779588</v>
      </c>
      <c r="T69" s="26" cm="1">
        <f t="array" aca="1" ref="T6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0.94961837907446045</v>
      </c>
      <c r="U69" s="26" cm="1">
        <f t="array" aca="1" ref="U6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-3.9272105032624389</v>
      </c>
      <c r="V69" s="26" cm="1">
        <f t="array" aca="1" ref="V69" ca="1">SUM(--(SQRT((Table_Process_Details[[#This Row],[X Mover]]-Table_Process_Details[X Mover])^2+(Table_Process_Details[[#This Row],[Y Mover]]-Table_Process_Details[Y Mover])^2)&lt;Collision_Distance))</f>
        <v>18</v>
      </c>
      <c r="W69" s="26" cm="1">
        <f t="array" aca="1" ref="W6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-5.2710082323733004E-2</v>
      </c>
      <c r="X69" s="26" cm="1">
        <f t="array" aca="1" ref="X6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0.21860415571777772</v>
      </c>
      <c r="Y69" s="26" cm="1">
        <f t="array" aca="1" ref="Y6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69" s="26">
        <f>0</f>
        <v>0</v>
      </c>
      <c r="AA69" s="26">
        <f>0</f>
        <v>0</v>
      </c>
      <c r="AB6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-8.257964356442054</v>
      </c>
      <c r="AC69" s="26" cm="1">
        <f t="array" aca="1" ref="AC6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-3.4976676391389794</v>
      </c>
      <c r="AD69" s="26">
        <f>MIN(1,COUNTA(Table_Process_Details[[#This Row],[target x]]),COUNTA(Table_Process_Details[[#This Row],[target y]]))*COUNTA(Table_Process_Details[Step Name])</f>
        <v>98</v>
      </c>
      <c r="AE6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16.431710264762948</v>
      </c>
      <c r="AF6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6.9600705865897154</v>
      </c>
      <c r="AG6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69" s="26" cm="1">
        <f t="array" aca="1" ref="AH69" ca="1">INDEX(Table_Process_Details[X Mover],MATCH(1,INDEX((Table_Process_Details[Input or Output]="Output")*(Table_Process_Details[Step Name]=Table_Process_Details[[#This Row],[Step Name]])*(Table_Process_Details[[#This Row],[Input or Output]]="Input"),0),0))</f>
        <v>15.707298460481789</v>
      </c>
      <c r="AI69" s="26" cm="1">
        <f t="array" aca="1" ref="AI69" ca="1">INDEX(Table_Process_Details[Y Mover],MATCH(1,INDEX((Table_Process_Details[Input or Output]="Output")*(Table_Process_Details[Step Name]=Table_Process_Details[[#This Row],[Step Name]])*(Table_Process_Details[[#This Row],[Input or Output]]="Input"),0),0))</f>
        <v>10.348961867752488</v>
      </c>
      <c r="AJ69" s="26">
        <f ca="1">SQRT((Table_Process_Details[[#This Row],[X End (To Node Center)]]-Table_Process_Details[[#This Row],[X Guide]])^2+(Table_Process_Details[[#This Row],[Y End (to Node Center)]]-Table_Process_Details[[#This Row],[Y Guide]])^2)</f>
        <v>3.4497382780046952</v>
      </c>
      <c r="AK69" s="26" t="e" cm="1">
        <f t="array" ref="AK69">INDEX(Table_Process_Details[X Mover],MATCH(1,INDEX((Table_Process_Details[Step Name]=Table_Process_Details[[#This Row],[LCA Data Source Subclass]])*(Table_Process_Details[Input or Output]="Output"),0)*(Table_Process_Details[[#This Row],[Input or Output]]="Input"),0))</f>
        <v>#N/A</v>
      </c>
      <c r="AL69" s="26" cm="1">
        <f t="array" aca="1" ref="AL69" ca="1">INDEX(Table_Process_Details[X Mover],MATCH(1,INDEX(((Table_Process_Details[Table Row]=Table_Process_Details[[#This Row],[Table Row]])*(1)),0)*(Table_Process_Details[[#This Row],[Input or Output]]="Input"),0))</f>
        <v>16.515928712884108</v>
      </c>
      <c r="AM69" s="26" cm="1">
        <f t="array" aca="1" ref="AM69" ca="1">(Table_Process_Details[[#This Row],[X End (To Node Center)]]*Table_Process_Details[[#This Row],[r0]]-Table_Process_Details[[#This Row],[X End (To Node Center)]]*Arrow_Offset+Table_Process_Details[[#This Row],[X Guide]]*Arrow_Offset)/Table_Process_Details[[#This Row],[r0]]</f>
        <v>15.894821150549751</v>
      </c>
      <c r="AN69" s="26" t="e">
        <f>IF(NOT(Table_Process_Details[[#This Row],[Display As]]="None"),Table_Process_Details[[#This Row],[X Start Prefilter]],NA())</f>
        <v>#N/A</v>
      </c>
      <c r="AO69" s="26">
        <f ca="1">IF(NOT(Table_Process_Details[[#This Row],[Display As]]="None"),Table_Process_Details[[#This Row],[X Guide Prefilter]],NA())</f>
        <v>16.515928712884108</v>
      </c>
      <c r="AP69" s="26">
        <f ca="1">IF(NOT(Table_Process_Details[[#This Row],[Display As]]="None"),Table_Process_Details[[#This Row],[X End (to Stop Radius) Prefilter]],NA())</f>
        <v>15.894821150549751</v>
      </c>
      <c r="AQ69" s="26" t="e">
        <f>NA()</f>
        <v>#N/A</v>
      </c>
      <c r="AR69" s="26" t="e" cm="1">
        <f t="array" ref="AR69">INDEX(Table_Process_Details[Y Mover],MATCH(1,INDEX((Table_Process_Details[Step Name]=Table_Process_Details[[#This Row],[LCA Data Source Subclass]])*(Table_Process_Details[Input or Output]="Output"),0)*(Table_Process_Details[[#This Row],[Input or Output]]="Input"),0))</f>
        <v>#N/A</v>
      </c>
      <c r="AS69" s="26" cm="1">
        <f t="array" aca="1" ref="AS69" ca="1">INDEX(Table_Process_Details[Y Mover],MATCH(1,INDEX(((Table_Process_Details[Table Row]=Table_Process_Details[[#This Row],[Table Row]])*(1)),0)*(Table_Process_Details[[#This Row],[Input or Output]]="Input"),0))</f>
        <v>6.9953352782779588</v>
      </c>
      <c r="AT69" s="26" cm="1">
        <f t="array" aca="1" ref="AT69" ca="1">(Table_Process_Details[[#This Row],[Y Guide]]*Arrow_Offset-Table_Process_Details[[#This Row],[Y End (to Node Center)]]*Arrow_Offset+Table_Process_Details[[#This Row],[Y End (to Node Center)]]*Table_Process_Details[[#This Row],[r0]])/Table_Process_Details[[#This Row],[r0]]</f>
        <v>9.5712503269420939</v>
      </c>
      <c r="AU69" s="26" t="e">
        <f>IF(NOT(Table_Process_Details[[#This Row],[Display As]]="None"),Table_Process_Details[[#This Row],[Y Start Prefilter]],NA())</f>
        <v>#N/A</v>
      </c>
      <c r="AV69" s="26">
        <f ca="1">IF(NOT(Table_Process_Details[[#This Row],[Display As]]="None"),Table_Process_Details[[#This Row],[Y Guide Prefilter]],NA())</f>
        <v>6.9953352782779588</v>
      </c>
      <c r="AW69" s="26">
        <f ca="1">IF(NOT(Table_Process_Details[[#This Row],[Display As]]="None"),Table_Process_Details[[#This Row],[Y End (to Stop Radius) Prefilter]],NA())</f>
        <v>9.5712503269420939</v>
      </c>
      <c r="AX69" s="26" t="e">
        <f>NA()</f>
        <v>#N/A</v>
      </c>
      <c r="AY69" s="26" t="e">
        <f>IF(Table_Process_Details[[#This Row],[Display As]]="Real Step",Table_Process_Details[[#This Row],[X Mover]],NA())</f>
        <v>#N/A</v>
      </c>
      <c r="AZ69" s="26" t="e">
        <f>IF(Table_Process_Details[[#This Row],[Display As]]="Real Step",Table_Process_Details[[#This Row],[Y Mover]],NA())</f>
        <v>#N/A</v>
      </c>
      <c r="BA69" s="26">
        <f ca="1">IF(Table_Process_Details[[#This Row],[Display As]]="Raw Material",Table_Process_Details[[#This Row],[X Mover]],NA())</f>
        <v>16.515928712884108</v>
      </c>
      <c r="BB69" s="26">
        <f ca="1">IF(Table_Process_Details[[#This Row],[Display As]]="Raw Material",Table_Process_Details[[#This Row],[Y Mover]],NA())</f>
        <v>6.9953352782779588</v>
      </c>
      <c r="BC69" s="26">
        <f ca="1">IF(OR(Table_Process_Details[[#This Row],[Display As]]="Real Step",Table_Process_Details[[#This Row],[Display As]]="Raw Material"),Table_Process_Details[[#This Row],[X Mover]],NA())</f>
        <v>16.515928712884108</v>
      </c>
      <c r="BD69" s="26">
        <f ca="1">IF(OR(Table_Process_Details[[#This Row],[Display As]]="Real Step",Table_Process_Details[[#This Row],[Display As]]="Raw Material"),Table_Process_Details[[#This Row],[Y Mover]],NA())</f>
        <v>6.9953352782779588</v>
      </c>
      <c r="BE69" s="22">
        <f>ROW()-ROW(Table_Process_Details[[#Headers],[Table Row]])</f>
        <v>65</v>
      </c>
      <c r="BF69" s="23" t="e" cm="1">
        <f t="array" aca="1" ref="BF69" ca="1">INDEX(Table_Process_Details[Display Name],MATCH(0,IF(Table_Process_Details[Input or Output]="Input",INDEX(COUNTIF(OFFSET(Table_Process_Details[[#Headers],[Unique Process Inputs]],0,0,Table_Process_Details[[#This Row],[Table Row]],1),Table_Process_Details[Display Name]),),""),0))</f>
        <v>#N/A</v>
      </c>
      <c r="BG69" s="23">
        <f ca="1">Table_Process_Details[[#This Row],[Physical Mass (kg)]]*Table_Process_Details[[#This Row],[Step Scale Factor for 1kg Packaged API]]</f>
        <v>5.5055973573133095</v>
      </c>
      <c r="BH6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69" s="23">
        <f ca="1">MATCH(Table_Process_Details[[#This Row],[LCA Data Source Class]],INDIRECT(Table_Process_Details[[#This Row],[Input or Output]]),0)</f>
        <v>3</v>
      </c>
      <c r="BJ69" s="23">
        <f ca="1">MATCH(Table_Process_Details[[#This Row],[LCA Data Source Subclass]],INDIRECT(Table_Process_Details[[#This Row],[LCA Data Source Class]]&amp;"[Name]"),0)</f>
        <v>1</v>
      </c>
      <c r="BK69" s="23">
        <f ca="1">IFERROR(INDEX(INDIRECT(Table_Process_Details[[#This Row],[LCA Data Source Class]]&amp;"[Mass Net (kg)]"),MATCH(Table_Process_Details[[#This Row],[LCA Data Source Subclass]],INDIRECT(Table_Process_Details[[#This Row],[LCA Data Source Class]]&amp;"[Name]"),0)),0)</f>
        <v>2.0861208174193546</v>
      </c>
      <c r="BL69" s="23">
        <f ca="1">IFERROR(INDEX(INDIRECT(Table_Process_Details[[#This Row],[LCA Data Source Class]]&amp;"[Energy (MJ)]"),MATCH(Table_Process_Details[[#This Row],[LCA Data Source Subclass]],INDIRECT(Table_Process_Details[[#This Row],[LCA Data Source Class]]&amp;"[Name]"),0)),0)</f>
        <v>74.867288612903238</v>
      </c>
      <c r="BM69" s="23">
        <f ca="1">IFERROR(INDEX(INDIRECT(Table_Process_Details[[#This Row],[LCA Data Source Class]]&amp;"[GWP (kg CO2 equiv.)]"),MATCH(Table_Process_Details[[#This Row],[LCA Data Source Subclass]],INDIRECT(Table_Process_Details[[#This Row],[LCA Data Source Class]]&amp;"[Name]"),0)),0)</f>
        <v>2.6244035558064511</v>
      </c>
      <c r="BN69" s="23">
        <f ca="1">IFERROR(INDEX(INDIRECT(Table_Process_Details[[#This Row],[LCA Data Source Class]]&amp;"[Acidification (kg SO2 equiv.)]"),MATCH(Table_Process_Details[[#This Row],[LCA Data Source Subclass]],INDIRECT(Table_Process_Details[[#This Row],[LCA Data Source Class]]&amp;"[Name]"),0)),0)</f>
        <v>1.1223113743548388E-2</v>
      </c>
      <c r="BO69" s="23">
        <f ca="1">IFERROR(INDEX(INDIRECT(Table_Process_Details[[#This Row],[LCA Data Source Class]]&amp;"[Eutrophication (kg posphate equiv.)]"),MATCH(Table_Process_Details[[#This Row],[LCA Data Source Subclass]],INDIRECT(Table_Process_Details[[#This Row],[LCA Data Source Class]]&amp;"[Name]"),0)),0)</f>
        <v>8.9864536225806452E-3</v>
      </c>
      <c r="BP69" s="23">
        <f ca="1">IFERROR(INDEX(INDIRECT(Table_Process_Details[[#This Row],[LCA Data Source Class]]&amp;"[Water (kg)]"),MATCH(Table_Process_Details[[#This Row],[LCA Data Source Subclass]],INDIRECT(Table_Process_Details[[#This Row],[LCA Data Source Class]]&amp;"[Name]"),0)),0)</f>
        <v>14.695319198225807</v>
      </c>
      <c r="BQ69" s="27">
        <f ca="1">(Table_Process_Details[[#This Row],[Input or Output]]="Input")*(Table_Process_Details[[#This Row],[LCA Data Source Class]]&lt;&gt;"Process_Steps")*Table_Process_Details[[#This Row],[Scaled Physical Mass per kg API for All Inputs &amp; Outputs]]</f>
        <v>5.5055973573133095</v>
      </c>
      <c r="BR69" s="27">
        <f ca="1">(Table_Process_Details[[#This Row],[Material Class]]="REAGENT")*Table_Process_Details[[#This Row],[Physical Mass per kg API]]</f>
        <v>5.5055973573133095</v>
      </c>
      <c r="BS69" s="27">
        <f ca="1">(Table_Process_Details[[#This Row],[Material Class]]="METAL")*Table_Process_Details[[#This Row],[Physical Mass per kg API]]</f>
        <v>0</v>
      </c>
      <c r="BT69" s="27">
        <f ca="1">(Table_Process_Details[[#This Row],[Material Class]]="SOLVENT")*Table_Process_Details[[#This Row],[Physical Mass per kg API]]</f>
        <v>0</v>
      </c>
      <c r="BU69" s="27">
        <f ca="1">(Table_Process_Details[[#This Row],[Material Class]]="WATER")*Table_Process_Details[[#This Row],[Physical Mass per kg API]]</f>
        <v>0</v>
      </c>
      <c r="BV69" s="27">
        <f ca="1">(Table_Process_Details[[#This Row],[Material Class]]="ENZ&amp;PLNT")*Table_Process_Details[[#This Row],[Physical Mass per kg API]]</f>
        <v>0</v>
      </c>
      <c r="BW69" s="27">
        <f ca="1">(Table_Process_Details[[#This Row],[Material Class]]="OTHER")*Table_Process_Details[[#This Row],[Physical Mass per kg API]]</f>
        <v>0</v>
      </c>
      <c r="BX6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5.5055973573133095</v>
      </c>
      <c r="BY6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5.5055973573133095</v>
      </c>
      <c r="BZ6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6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6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6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6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69" s="1">
        <f ca="1">SUMIFS(Table_Process_Details[RV Physical Mass per kg API],Table_Process_Details[Display Name],Table_Process_Details[[#This Row],[Unique Process Inputs]],Table_Process_Details[Input or Output],"Input")</f>
        <v>0</v>
      </c>
      <c r="CF69" s="1">
        <f ca="1">SUMIFS(Table_Process_Details[RV Physical Mass per kg API (REAGENT)],Table_Process_Details[Display Name],Table_Process_Details[[#This Row],[Unique Process Inputs]],Table_Process_Details[Input or Output],"Input")</f>
        <v>0</v>
      </c>
      <c r="CG69" s="1">
        <f ca="1">SUMIFS(Table_Process_Details[RV Physical Mass per kg API (METAL)],Table_Process_Details[Display Name],Table_Process_Details[[#This Row],[Unique Process Inputs]],Table_Process_Details[Input or Output],"Input")</f>
        <v>0</v>
      </c>
      <c r="CH69" s="1">
        <f ca="1">SUMIFS(Table_Process_Details[RV Physical Mass per kg API (SOLVENT)],Table_Process_Details[Display Name],Table_Process_Details[[#This Row],[Unique Process Inputs]],Table_Process_Details[Input or Output],"Input")</f>
        <v>0</v>
      </c>
      <c r="CI69" s="1">
        <f ca="1">SUMIFS(Table_Process_Details[RV Physical Mass per kg API (WATER)],Table_Process_Details[Display Name],Table_Process_Details[[#This Row],[Unique Process Inputs]],Table_Process_Details[Input or Output],"Input")</f>
        <v>0</v>
      </c>
      <c r="CJ69" s="1">
        <f ca="1">SUMIFS(Table_Process_Details[RV Physical Mass per kg API (ENZ&amp;PLNT)],Table_Process_Details[Display Name],Table_Process_Details[[#This Row],[Unique Process Inputs]],Table_Process_Details[Input or Output],"Input")</f>
        <v>0</v>
      </c>
      <c r="CK69" s="1">
        <f ca="1">SUMIFS(Table_Process_Details[RV Physical Mass per kg API (OTHER)],Table_Process_Details[Display Name],Table_Process_Details[[#This Row],[Unique Process Inputs]],Table_Process_Details[Input or Output],"Input")</f>
        <v>0</v>
      </c>
      <c r="CL69" s="22" t="e">
        <f ca="1">INDEX(Table_Process_Details[Unique Process Inputs],MATCH(Table_Process_Details[[#This Row],['[Physical Mass per kg API'] of Unique Inputs Sorted by '[Physical Mass per kg API']]],Table_Process_Details[Total '[Physical Mass per kg API'] of Unique Inputs],0))</f>
        <v>#N/A</v>
      </c>
      <c r="CM69" s="22" t="e">
        <f ca="1">IF(LARGE(Table_Process_Details[Total '[Physical Mass per kg API'] of Unique Inputs],Table_Process_Details[[#This Row],[Table Row]])=0,NA(),LARGE(Table_Process_Details[Total '[Physical Mass per kg API'] of Unique Inputs],Table_Process_Details[[#This Row],[Table Row]]))</f>
        <v>#N/A</v>
      </c>
      <c r="CN69" s="22" t="e">
        <f ca="1">SUM(OFFSET(Table_Process_Details['[Physical Mass per kg API'] of Unique Inputs Sorted by '[Physical Mass per kg API']],0,0,Table_Process_Details[[#This Row],[Table Row]]))</f>
        <v>#N/A</v>
      </c>
      <c r="CO69" s="22" t="e">
        <f ca="1">"("&amp;TEXT(Table_Process_Details[[#This Row],['[Physical Mass per kg API'] of Unique Inputs Sorted by '[Physical Mass per kg API']]]/SUMIF(Table_Process_Details['[Physical Mass per kg API'] of Unique Inputs Sorted by '[Physical Mass per kg API']],"&lt;&gt;#N/A"),"0%")&amp;")"</f>
        <v>#N/A</v>
      </c>
      <c r="CP69" s="22" t="e">
        <f ca="1">INDEX(Table_Process_Details[Total '[Physical Mass per kg API'] of Unique Inputs (REAGENT)],MATCH(Table_Process_Details[[#This Row],[Unique Inputs Sorted by '[Physical Mass per kg API']]],Table_Process_Details[Unique Process Inputs],0))</f>
        <v>#N/A</v>
      </c>
      <c r="CQ69" s="22" t="e">
        <f ca="1">INDEX(Table_Process_Details[Total '[Physical Mass per kg API'] of Unique Inputs (METAL)],MATCH(Table_Process_Details[[#This Row],[Unique Inputs Sorted by '[Physical Mass per kg API']]],Table_Process_Details[Unique Process Inputs],0))</f>
        <v>#N/A</v>
      </c>
      <c r="CR69" s="22" t="e">
        <f ca="1">INDEX(Table_Process_Details[Total '[Physical Mass per kg API'] of Unique Inputs (SOLVENT)],MATCH(Table_Process_Details[[#This Row],[Unique Inputs Sorted by '[Physical Mass per kg API']]],Table_Process_Details[Unique Process Inputs],0))</f>
        <v>#N/A</v>
      </c>
      <c r="CS69" s="22" t="e">
        <f ca="1">INDEX(Table_Process_Details[Total '[Physical Mass per kg API'] of Unique Inputs (WATER)],MATCH(Table_Process_Details[[#This Row],[Unique Inputs Sorted by '[Physical Mass per kg API']]],Table_Process_Details[Unique Process Inputs],0))</f>
        <v>#N/A</v>
      </c>
      <c r="CT69" s="22" t="e">
        <f ca="1">INDEX(Table_Process_Details[Total '[Physical Mass per kg API'] of Unique Inputs (ENZ&amp;PLNT)],MATCH(Table_Process_Details[[#This Row],[Unique Inputs Sorted by '[Physical Mass per kg API']]],Table_Process_Details[Unique Process Inputs],0))</f>
        <v>#N/A</v>
      </c>
      <c r="CU69" s="22" t="e">
        <f ca="1">INDEX(Table_Process_Details[Total '[Physical Mass per kg API'] of Unique Inputs (OTHER)],MATCH(Table_Process_Details[[#This Row],[Unique Inputs Sorted by '[Physical Mass per kg API']]],Table_Process_Details[Unique Process Inputs],0))</f>
        <v>#N/A</v>
      </c>
      <c r="CV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11.485341259420279</v>
      </c>
      <c r="CW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11.485341259420279</v>
      </c>
      <c r="CX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6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69" s="22">
        <f ca="1">SUMIFS(Table_Process_Details[RV Mass Net (kg) per kg API],Table_Process_Details[Display Name],Table_Process_Details[[#This Row],[Unique Process Inputs]],Table_Process_Details[Input or Output],"Input")</f>
        <v>0</v>
      </c>
      <c r="DD69" s="22">
        <f ca="1">SUMIFS(Table_Process_Details[RV Mass Net (kg) per kg API (REAGENT)],Table_Process_Details[Display Name],Table_Process_Details[[#This Row],[Unique Process Inputs]],Table_Process_Details[Input or Output],"Input")</f>
        <v>0</v>
      </c>
      <c r="DE69" s="22">
        <f ca="1">SUMIFS(Table_Process_Details[RV Mass Net (kg) per kg API (METAL)],Table_Process_Details[Display Name],Table_Process_Details[[#This Row],[Unique Process Inputs]],Table_Process_Details[Input or Output],"Input")</f>
        <v>0</v>
      </c>
      <c r="DF69" s="22">
        <f ca="1">SUMIFS(Table_Process_Details[RV Mass Net (kg) per kg API (SOLVENT)],Table_Process_Details[Display Name],Table_Process_Details[[#This Row],[Unique Process Inputs]],Table_Process_Details[Input or Output],"Input")</f>
        <v>0</v>
      </c>
      <c r="DG69" s="22">
        <f ca="1">SUMIFS(Table_Process_Details[RV Mass Net (kg) per kg API (WATER)],Table_Process_Details[Display Name],Table_Process_Details[[#This Row],[Unique Process Inputs]],Table_Process_Details[Input or Output],"Input")</f>
        <v>0</v>
      </c>
      <c r="DH69" s="22">
        <f ca="1">SUMIFS(Table_Process_Details[RV Mass Net (kg) per kg API (ENZ&amp;PLNT)],Table_Process_Details[Display Name],Table_Process_Details[[#This Row],[Unique Process Inputs]],Table_Process_Details[Input or Output],"Input")</f>
        <v>0</v>
      </c>
      <c r="DI69" s="22">
        <f ca="1">SUMIFS(Table_Process_Details[RV Mass Net (kg) per kg API (OTHER)],Table_Process_Details[Display Name],Table_Process_Details[[#This Row],[Unique Process Inputs]],Table_Process_Details[Input or Output],"Input")</f>
        <v>0</v>
      </c>
      <c r="DJ69" s="22" t="e">
        <f ca="1">INDEX(Table_Process_Details[Unique Process Inputs],MATCH(Table_Process_Details[[#This Row],['[Mass Net (kg) per kg API'] of Unique Inputs Sorted by '[Mass Net (kg) per kg API']]],Table_Process_Details[Total '[Mass Net (kg) per kg API'] of Unique Inputs],0))</f>
        <v>#N/A</v>
      </c>
      <c r="DK69" s="22" t="e">
        <f ca="1">IF(LARGE(Table_Process_Details[Total '[Mass Net (kg) per kg API'] of Unique Inputs],Table_Process_Details[[#This Row],[Table Row]])=0,NA(),LARGE(Table_Process_Details[Total '[Mass Net (kg) per kg API'] of Unique Inputs],Table_Process_Details[[#This Row],[Table Row]]))</f>
        <v>#N/A</v>
      </c>
      <c r="DL69" s="22" t="e">
        <f ca="1">SUM(OFFSET(Table_Process_Details['[Mass Net (kg) per kg API'] of Unique Inputs Sorted by '[Mass Net (kg) per kg API']],0,0,Table_Process_Details[[#This Row],[Table Row]]))</f>
        <v>#N/A</v>
      </c>
      <c r="DM69" s="22" t="e">
        <f ca="1">"("&amp;TEXT(Table_Process_Details[[#This Row],['[Mass Net (kg) per kg API'] of Unique Inputs Sorted by '[Mass Net (kg) per kg API']]]/SUMIF(Table_Process_Details['[Mass Net (kg) per kg API'] of Unique Inputs Sorted by '[Mass Net (kg) per kg API']],"&lt;&gt;#N/A"),"0%")&amp;")"</f>
        <v>#N/A</v>
      </c>
      <c r="DN69" s="22" t="e">
        <f ca="1">INDEX(Table_Process_Details[Total '[Mass Net (kg) per kg API'] of Unique Inputs (REAGENT)], MATCH(Table_Process_Details[[#This Row],[Unique Inputs Sorted by '[Mass Net (kg) per kg API']]],Table_Process_Details[Unique Process Inputs],0))</f>
        <v>#N/A</v>
      </c>
      <c r="DO69" s="22" t="e">
        <f ca="1">INDEX(Table_Process_Details[Total '[Mass Net (kg) per kg API'] of Unique Inputs (METAL)], MATCH(Table_Process_Details[[#This Row],[Unique Inputs Sorted by '[Mass Net (kg) per kg API']]],Table_Process_Details[Unique Process Inputs],0))</f>
        <v>#N/A</v>
      </c>
      <c r="DP69" s="22" t="e">
        <f ca="1">INDEX(Table_Process_Details[Total '[Mass Net (kg) per kg API'] of Unique Inputs (SOLVENT)], MATCH(Table_Process_Details[[#This Row],[Unique Inputs Sorted by '[Mass Net (kg) per kg API']]],Table_Process_Details[Unique Process Inputs],0))</f>
        <v>#N/A</v>
      </c>
      <c r="DQ69" s="22" t="e">
        <f ca="1">INDEX(Table_Process_Details[Total '[Mass Net (kg) per kg API'] of Unique Inputs (WATER)], MATCH(Table_Process_Details[[#This Row],[Unique Inputs Sorted by '[Mass Net (kg) per kg API']]],Table_Process_Details[Unique Process Inputs],0))</f>
        <v>#N/A</v>
      </c>
      <c r="DR69" s="22" t="e">
        <f ca="1">INDEX(Table_Process_Details[Total '[Mass Net (kg) per kg API'] of Unique Inputs (ENZ&amp;PLNT)], MATCH(Table_Process_Details[[#This Row],[Unique Inputs Sorted by '[Mass Net (kg) per kg API']]],Table_Process_Details[Unique Process Inputs],0))</f>
        <v>#N/A</v>
      </c>
      <c r="DS69" s="22" t="e">
        <f ca="1">INDEX(Table_Process_Details[Total '[Mass Net (kg) per kg API'] of Unique Inputs (OTHER)], MATCH(Table_Process_Details[[#This Row],[Unique Inputs Sorted by '[Mass Net (kg) per kg API']]],Table_Process_Details[Unique Process Inputs],0))</f>
        <v>#N/A</v>
      </c>
      <c r="DT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412.18914633641288</v>
      </c>
      <c r="DU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412.18914633641288</v>
      </c>
      <c r="DV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6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69" s="1">
        <f ca="1">SUMIFS(Table_Process_Details[RV Energy (MJ) per kg API],Table_Process_Details[Display Name],Table_Process_Details[[#This Row],[Unique Process Inputs]],Table_Process_Details[Input or Output],"Input")</f>
        <v>0</v>
      </c>
      <c r="EB69" s="1">
        <f ca="1">SUMIFS(Table_Process_Details[RV Energy (MJ) per kg API (REAGENT)],Table_Process_Details[Display Name],Table_Process_Details[[#This Row],[Unique Process Inputs]],Table_Process_Details[Input or Output],"Input")</f>
        <v>0</v>
      </c>
      <c r="EC69" s="1">
        <f ca="1">SUMIFS(Table_Process_Details[RV Energy (MJ) per kg API (METAL)],Table_Process_Details[Display Name],Table_Process_Details[[#This Row],[Unique Process Inputs]],Table_Process_Details[Input or Output],"Input")</f>
        <v>0</v>
      </c>
      <c r="ED69" s="1">
        <f ca="1">SUMIFS(Table_Process_Details[RV Energy (MJ) per kg API (SOLVENT)],Table_Process_Details[Display Name],Table_Process_Details[[#This Row],[Unique Process Inputs]],Table_Process_Details[Input or Output],"Input")</f>
        <v>0</v>
      </c>
      <c r="EE69" s="1">
        <f ca="1">SUMIFS(Table_Process_Details[RV Energy (MJ) per kg API (WATER)],Table_Process_Details[Display Name],Table_Process_Details[[#This Row],[Unique Process Inputs]],Table_Process_Details[Input or Output],"Input")</f>
        <v>0</v>
      </c>
      <c r="EF69" s="1">
        <f ca="1">SUMIFS(Table_Process_Details[RV Energy (MJ) per kg API (ENZ&amp;PLNT)],Table_Process_Details[Display Name],Table_Process_Details[[#This Row],[Unique Process Inputs]],Table_Process_Details[Input or Output],"Input")</f>
        <v>0</v>
      </c>
      <c r="EG69" s="1">
        <f ca="1">SUMIFS(Table_Process_Details[RV Energy (MJ) per kg API (OTHER)],Table_Process_Details[Display Name],Table_Process_Details[[#This Row],[Unique Process Inputs]],Table_Process_Details[Input or Output],"Input")</f>
        <v>0</v>
      </c>
      <c r="EH69" s="1" t="e">
        <f ca="1">INDEX(Table_Process_Details[Unique Process Inputs],MATCH(Table_Process_Details[[#This Row],['[Energy (MJ) per kg API'] of Unique Inputs Sorted by '[Energy (MJ) per kg API']]],Table_Process_Details[Total '[Energy (MJ) per kg API'] of Unique Inputs],0))</f>
        <v>#N/A</v>
      </c>
      <c r="EI69" s="22" t="e">
        <f ca="1">IF(LARGE(Table_Process_Details[Total '[Energy (MJ) per kg API'] of Unique Inputs],Table_Process_Details[[#This Row],[Table Row]])=0,NA(),LARGE(Table_Process_Details[Total '[Energy (MJ) per kg API'] of Unique Inputs],Table_Process_Details[[#This Row],[Table Row]]))</f>
        <v>#N/A</v>
      </c>
      <c r="EJ69" s="22" t="e">
        <f ca="1">SUM(OFFSET(Table_Process_Details['[Energy (MJ) per kg API'] of Unique Inputs Sorted by '[Energy (MJ) per kg API']],0,0,Table_Process_Details[[#This Row],[Table Row]]))</f>
        <v>#N/A</v>
      </c>
      <c r="EK69" s="22" t="e">
        <f ca="1">"("&amp;TEXT(Table_Process_Details[[#This Row],['[Energy (MJ) per kg API'] of Unique Inputs Sorted by '[Energy (MJ) per kg API']]]/SUMIF(Table_Process_Details['[Energy (MJ) per kg API'] of Unique Inputs Sorted by '[Energy (MJ) per kg API']],"&lt;&gt;#N/A"),"0%")&amp;")"</f>
        <v>#N/A</v>
      </c>
      <c r="EL69" s="22" t="e">
        <f ca="1">INDEX(Table_Process_Details[Total '[Energy (MJ) per kg API'] of Unique Inputs (REAGENT)], MATCH(Table_Process_Details[[#This Row],[Unique Inputs Sorted by '[Energy (MJ) per kg API']]],Table_Process_Details[Unique Process Inputs],0))</f>
        <v>#N/A</v>
      </c>
      <c r="EM69" s="22" t="e">
        <f ca="1">INDEX(Table_Process_Details[Total '[Energy (MJ) per kg API'] of Unique Inputs (METAL)], MATCH(Table_Process_Details[[#This Row],[Unique Inputs Sorted by '[Energy (MJ) per kg API']]],Table_Process_Details[Unique Process Inputs],0))</f>
        <v>#N/A</v>
      </c>
      <c r="EN69" s="22" t="e">
        <f ca="1">INDEX(Table_Process_Details[Total '[Energy (MJ) per kg API'] of Unique Inputs (SOLVENT)], MATCH(Table_Process_Details[[#This Row],[Unique Inputs Sorted by '[Energy (MJ) per kg API']]],Table_Process_Details[Unique Process Inputs],0))</f>
        <v>#N/A</v>
      </c>
      <c r="EO69" s="22" t="e">
        <f ca="1">INDEX(Table_Process_Details[Total '[Energy (MJ) per kg API'] of Unique Inputs (WATER)], MATCH(Table_Process_Details[[#This Row],[Unique Inputs Sorted by '[Energy (MJ) per kg API']]],Table_Process_Details[Unique Process Inputs],0))</f>
        <v>#N/A</v>
      </c>
      <c r="EP69" s="22" t="e">
        <f ca="1">INDEX(Table_Process_Details[Total '[Energy (MJ) per kg API'] of Unique Inputs (ENZ&amp;PLNT)], MATCH(Table_Process_Details[[#This Row],[Unique Inputs Sorted by '[Energy (MJ) per kg API']]],Table_Process_Details[Unique Process Inputs],0))</f>
        <v>#N/A</v>
      </c>
      <c r="EQ69" s="22" t="e">
        <f ca="1">INDEX(Table_Process_Details[Total '[Energy (MJ) per kg API'] of Unique Inputs (OTHER)], MATCH(Table_Process_Details[[#This Row],[Unique Inputs Sorted by '[Energy (MJ) per kg API']]],Table_Process_Details[Unique Process Inputs],0))</f>
        <v>#N/A</v>
      </c>
      <c r="ER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14.44890928137165</v>
      </c>
      <c r="ES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14.44890928137165</v>
      </c>
      <c r="ET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6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69" s="22">
        <f ca="1">SUMIFS(Table_Process_Details[RV GWP (kg CO2 equiv.) per kg API],Table_Process_Details[Display Name],Table_Process_Details[[#This Row],[Unique Process Inputs]],Table_Process_Details[Input or Output],"Input")</f>
        <v>0</v>
      </c>
      <c r="EZ69" s="1">
        <f ca="1">SUMIFS(Table_Process_Details[RV GWP (kg CO2 equiv.) per kg API (REAGENT)],Table_Process_Details[Display Name],Table_Process_Details[[#This Row],[Unique Process Inputs]],Table_Process_Details[Input or Output],"Input")</f>
        <v>0</v>
      </c>
      <c r="FA69" s="1">
        <f ca="1">SUMIFS(Table_Process_Details[RV GWP (kg CO2 equiv.) per kg API (METAL)],Table_Process_Details[Display Name],Table_Process_Details[[#This Row],[Unique Process Inputs]],Table_Process_Details[Input or Output],"Input")</f>
        <v>0</v>
      </c>
      <c r="FB69" s="1">
        <f ca="1">SUMIFS(Table_Process_Details[RV GWP (kg CO2 equiv.) per kg API (SOLVENT)],Table_Process_Details[Display Name],Table_Process_Details[[#This Row],[Unique Process Inputs]],Table_Process_Details[Input or Output],"Input")</f>
        <v>0</v>
      </c>
      <c r="FC69" s="1">
        <f ca="1">SUMIFS(Table_Process_Details[RV GWP (kg CO2 equiv.) per kg API (WATER)],Table_Process_Details[Display Name],Table_Process_Details[[#This Row],[Unique Process Inputs]],Table_Process_Details[Input or Output],"Input")</f>
        <v>0</v>
      </c>
      <c r="FD69" s="1">
        <f ca="1">SUMIFS(Table_Process_Details[RV GWP (kg CO2 equiv.) per kg API (ENZ&amp;PLNT)],Table_Process_Details[Display Name],Table_Process_Details[[#This Row],[Unique Process Inputs]],Table_Process_Details[Input or Output],"Input")</f>
        <v>0</v>
      </c>
      <c r="FE69" s="1">
        <f ca="1">SUMIFS(Table_Process_Details[RV GWP (kg CO2 equiv.) per kg API (OTHER)],Table_Process_Details[Display Name],Table_Process_Details[[#This Row],[Unique Process Inputs]],Table_Process_Details[Input or Output],"Input")</f>
        <v>0</v>
      </c>
      <c r="FF69" s="22" t="e">
        <f ca="1">INDEX(Table_Process_Details[Unique Process Inputs],MATCH(Table_Process_Details[[#This Row],['[GWP (kg CO2 equiv.) per kg API'] of Unique Inputs Sorted by '[GWP (kg CO2 equiv.) per kg API']]],Table_Process_Details[Total '[GWP (kg CO2 equiv.) per kg API'] of Unique Inputs],0))</f>
        <v>#N/A</v>
      </c>
      <c r="FG69" s="22" t="e">
        <f ca="1">IF(LARGE(Table_Process_Details[Total '[GWP (kg CO2 equiv.) per kg API'] of Unique Inputs],Table_Process_Details[[#This Row],[Table Row]])=0,NA(),LARGE(Table_Process_Details[Total '[GWP (kg CO2 equiv.) per kg API'] of Unique Inputs],Table_Process_Details[[#This Row],[Table Row]]))</f>
        <v>#N/A</v>
      </c>
      <c r="FH69" s="22" t="e">
        <f ca="1">SUM(OFFSET(Table_Process_Details['[GWP (kg CO2 equiv.) per kg API'] of Unique Inputs Sorted by '[GWP (kg CO2 equiv.) per kg API']],0,0,Table_Process_Details[[#This Row],[Table Row]]))</f>
        <v>#N/A</v>
      </c>
      <c r="FI69" s="22" t="e">
        <f ca="1">"("&amp;TEXT(Table_Process_Details[[#This Row],['[GWP (kg CO2 equiv.) per kg API'] of Unique Inputs Sorted by '[GWP (kg CO2 equiv.) per kg API']]]/SUMIF(Table_Process_Details['[GWP (kg CO2 equiv.) per kg API'] of Unique Inputs Sorted by '[GWP (kg CO2 equiv.) per kg API']],"&lt;&gt;#N/A"),"0%")&amp;")"</f>
        <v>#N/A</v>
      </c>
      <c r="FJ69" s="22" t="e">
        <f ca="1">INDEX(Table_Process_Details[Total '[GWP (kg CO2 equiv.) per kg API'] of Unique Inputs (REAGENT)], MATCH(Table_Process_Details[[#This Row],[Unique Inputs Sorted by '[GWP (kg CO2 equiv.) per kg API']]],Table_Process_Details[Unique Process Inputs],0))</f>
        <v>#N/A</v>
      </c>
      <c r="FK69" s="22" t="e">
        <f ca="1">INDEX(Table_Process_Details[Total '[GWP (kg CO2 equiv.) per kg API'] of Unique Inputs (METAL)], MATCH(Table_Process_Details[[#This Row],[Unique Inputs Sorted by '[GWP (kg CO2 equiv.) per kg API']]],Table_Process_Details[Unique Process Inputs],0))</f>
        <v>#N/A</v>
      </c>
      <c r="FL69" s="22" t="e">
        <f ca="1">INDEX(Table_Process_Details[Total '[GWP (kg CO2 equiv.) per kg API'] of Unique Inputs (SOLVENT)], MATCH(Table_Process_Details[[#This Row],[Unique Inputs Sorted by '[GWP (kg CO2 equiv.) per kg API']]],Table_Process_Details[Unique Process Inputs],0))</f>
        <v>#N/A</v>
      </c>
      <c r="FM69" s="22" t="e">
        <f ca="1">INDEX(Table_Process_Details[Total '[GWP (kg CO2 equiv.) per kg API'] of Unique Inputs (WATER)], MATCH(Table_Process_Details[[#This Row],[Unique Inputs Sorted by '[GWP (kg CO2 equiv.) per kg API']]],Table_Process_Details[Unique Process Inputs],0))</f>
        <v>#N/A</v>
      </c>
      <c r="FN69" s="22" t="e">
        <f ca="1">INDEX(Table_Process_Details[Total '[GWP (kg CO2 equiv.) per kg API'] of Unique Inputs (ENZ&amp;PLNT)], MATCH(Table_Process_Details[[#This Row],[Unique Inputs Sorted by '[GWP (kg CO2 equiv.) per kg API']]],Table_Process_Details[Unique Process Inputs],0))</f>
        <v>#N/A</v>
      </c>
      <c r="FO69" s="22" t="e">
        <f ca="1">INDEX(Table_Process_Details[Total '[GWP (kg CO2 equiv.) per kg API'] of Unique Inputs (OTHER)], MATCH(Table_Process_Details[[#This Row],[Unique Inputs Sorted by '[GWP (kg CO2 equiv.) per kg API']]],Table_Process_Details[Unique Process Inputs],0))</f>
        <v>#N/A</v>
      </c>
      <c r="FP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6.1789945367306684E-2</v>
      </c>
      <c r="FQ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6.1789945367306684E-2</v>
      </c>
      <c r="FR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6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69" s="22">
        <f ca="1">SUMIFS(Table_Process_Details[RV Acidification (kg SO2 equiv.) per kg API],Table_Process_Details[Display Name],Table_Process_Details[[#This Row],[Unique Process Inputs]],Table_Process_Details[Input or Output],"Input")</f>
        <v>0</v>
      </c>
      <c r="FX69" s="1">
        <f ca="1">SUMIFS(Table_Process_Details[RV Acidification (kg SO2 equiv.) per kg API (REAGENT)],Table_Process_Details[Display Name],Table_Process_Details[[#This Row],[Unique Process Inputs]],Table_Process_Details[Input or Output],"Input")</f>
        <v>0</v>
      </c>
      <c r="FY69" s="1">
        <f ca="1">SUMIFS(Table_Process_Details[RV Acidification (kg SO2 equiv.) per kg API (METAL)],Table_Process_Details[Display Name],Table_Process_Details[[#This Row],[Unique Process Inputs]],Table_Process_Details[Input or Output],"Input")</f>
        <v>0</v>
      </c>
      <c r="FZ69" s="1">
        <f ca="1">SUMIFS(Table_Process_Details[RV Acidification (kg SO2 equiv.) per kg API (SOLVENT)],Table_Process_Details[Display Name],Table_Process_Details[[#This Row],[Unique Process Inputs]],Table_Process_Details[Input or Output],"Input")</f>
        <v>0</v>
      </c>
      <c r="GA69" s="1">
        <f ca="1">SUMIFS(Table_Process_Details[RV Acidification (kg SO2 equiv.) per kg API (WATER)],Table_Process_Details[Display Name],Table_Process_Details[[#This Row],[Unique Process Inputs]],Table_Process_Details[Input or Output],"Input")</f>
        <v>0</v>
      </c>
      <c r="GB69" s="1">
        <f ca="1">SUMIFS(Table_Process_Details[RV Acidification (kg SO2 equiv.) per kg API (ENZ&amp;PLNT)],Table_Process_Details[Display Name],Table_Process_Details[[#This Row],[Unique Process Inputs]],Table_Process_Details[Input or Output],"Input")</f>
        <v>0</v>
      </c>
      <c r="GC69" s="1">
        <f ca="1">SUMIFS(Table_Process_Details[RV Acidification (kg SO2 equiv.) per kg API (OTHER)],Table_Process_Details[Display Name],Table_Process_Details[[#This Row],[Unique Process Inputs]],Table_Process_Details[Input or Output],"Input")</f>
        <v>0</v>
      </c>
      <c r="GD69"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69"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69" s="22" t="e">
        <f ca="1">SUM(OFFSET(Table_Process_Details['[Acidification (kg SO2 equiv.) per kg API'] of Unique Inputs Sorted by '[Acidification (kg SO2 equiv.) per kg API']],0,0,Table_Process_Details[[#This Row],[Table Row]]))</f>
        <v>#N/A</v>
      </c>
      <c r="GG69"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69" s="22" t="e">
        <f ca="1">INDEX(Table_Process_Details[Total '[Acidification (kg SO2 equiv.) per kg API'] of Unique Inputs (REAGENT)], MATCH(Table_Process_Details[[#This Row],[Unique Inputs Sorted by '[Acidification (kg SO2 equiv.) per kg API']]],Table_Process_Details[Unique Process Inputs],0))</f>
        <v>#N/A</v>
      </c>
      <c r="GI69" s="22" t="e">
        <f ca="1">INDEX(Table_Process_Details[Total '[Acidification (kg SO2 equiv.) per kg API'] of Unique Inputs (METAL)], MATCH(Table_Process_Details[[#This Row],[Unique Inputs Sorted by '[Acidification (kg SO2 equiv.) per kg API']]],Table_Process_Details[Unique Process Inputs],0))</f>
        <v>#N/A</v>
      </c>
      <c r="GJ69" s="22" t="e">
        <f ca="1">INDEX(Table_Process_Details[Total '[Acidification (kg SO2 equiv.) per kg API'] of Unique Inputs (SOLVENT)], MATCH(Table_Process_Details[[#This Row],[Unique Inputs Sorted by '[Acidification (kg SO2 equiv.) per kg API']]],Table_Process_Details[Unique Process Inputs],0))</f>
        <v>#N/A</v>
      </c>
      <c r="GK69" s="22" t="e">
        <f ca="1">INDEX(Table_Process_Details[Total '[Acidification (kg SO2 equiv.) per kg API'] of Unique Inputs (WATER)], MATCH(Table_Process_Details[[#This Row],[Unique Inputs Sorted by '[Acidification (kg SO2 equiv.) per kg API']]],Table_Process_Details[Unique Process Inputs],0))</f>
        <v>#N/A</v>
      </c>
      <c r="GL69" s="22" t="e">
        <f ca="1">INDEX(Table_Process_Details[Total '[Acidification (kg SO2 equiv.) per kg API'] of Unique Inputs (ENZ&amp;PLNT)], MATCH(Table_Process_Details[[#This Row],[Unique Inputs Sorted by '[Acidification (kg SO2 equiv.) per kg API']]],Table_Process_Details[Unique Process Inputs],0))</f>
        <v>#N/A</v>
      </c>
      <c r="GM69" s="22" t="e">
        <f ca="1">INDEX(Table_Process_Details[Total '[Acidification (kg SO2 equiv.) per kg API'] of Unique Inputs (OTHER)], MATCH(Table_Process_Details[[#This Row],[Unique Inputs Sorted by '[Acidification (kg SO2 equiv.) per kg API']]],Table_Process_Details[Unique Process Inputs],0))</f>
        <v>#N/A</v>
      </c>
      <c r="GN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4.9475795316098616E-2</v>
      </c>
      <c r="GO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4.9475795316098616E-2</v>
      </c>
      <c r="GP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6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69" s="22">
        <f ca="1">SUMIFS(Table_Process_Details[RV Eutrophication (kg phosphate equiv.) per kg API],Table_Process_Details[Display Name],Table_Process_Details[[#This Row],[Unique Process Inputs]],Table_Process_Details[Input or Output],"Input")</f>
        <v>0</v>
      </c>
      <c r="GV69" s="1">
        <f ca="1">SUMIFS(Table_Process_Details[RV Eutrophication (kg phosphate equiv.) per kg API (REAGENT)],Table_Process_Details[Display Name],Table_Process_Details[[#This Row],[Unique Process Inputs]],Table_Process_Details[Input or Output],"Input")</f>
        <v>0</v>
      </c>
      <c r="GW69" s="1">
        <f ca="1">SUMIFS(Table_Process_Details[RV Eutrophication (kg phosphate equiv.) per kg API (METAL)],Table_Process_Details[Display Name],Table_Process_Details[[#This Row],[Unique Process Inputs]],Table_Process_Details[Input or Output],"Input")</f>
        <v>0</v>
      </c>
      <c r="GX69" s="1">
        <f ca="1">SUMIFS(Table_Process_Details[RV Eutrophication (kg phosphate equiv.) per kg API (SOLVENT)],Table_Process_Details[Display Name],Table_Process_Details[[#This Row],[Unique Process Inputs]],Table_Process_Details[Input or Output],"Input")</f>
        <v>0</v>
      </c>
      <c r="GY69" s="1">
        <f ca="1">SUMIFS(Table_Process_Details[RV Eutrophication (kg phosphate equiv.) per kg API (WATER)],Table_Process_Details[Display Name],Table_Process_Details[[#This Row],[Unique Process Inputs]],Table_Process_Details[Input or Output],"Input")</f>
        <v>0</v>
      </c>
      <c r="GZ69" s="1">
        <f ca="1">SUMIFS(Table_Process_Details[RV Eutrophication (kg phosphate equiv.) per kg API (ENZ&amp;PLNT)],Table_Process_Details[Display Name],Table_Process_Details[[#This Row],[Unique Process Inputs]],Table_Process_Details[Input or Output],"Input")</f>
        <v>0</v>
      </c>
      <c r="HA69" s="1">
        <f ca="1">SUMIFS(Table_Process_Details[RV Eutrophication (kg phosphate equiv.) per kg API (OTHER)],Table_Process_Details[Display Name],Table_Process_Details[[#This Row],[Unique Process Inputs]],Table_Process_Details[Input or Output],"Input")</f>
        <v>0</v>
      </c>
      <c r="HB69"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69"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69" s="22" t="e">
        <f ca="1">SUM(OFFSET(Table_Process_Details['[Eutrophication (kg posphate equiv.) per kg API'] of Unique Inputs Sorted by '[Eutrophication (kg posphate equiv.) per kg API']],0,0,Table_Process_Details[[#This Row],[Table Row]]))</f>
        <v>#N/A</v>
      </c>
      <c r="HE69"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69" s="1" t="e">
        <f ca="1">INDEX(Table_Process_Details[Total '[Eutrophication (kg posphate equiv.) per kg API'] of Unique Inputs (REAGENT)], MATCH(Table_Process_Details[[#This Row],[Unique Inputs Sorted by '[Eutrophication (kg posphate equiv.) per kg API']]],Table_Process_Details[Unique Process Inputs],0))</f>
        <v>#N/A</v>
      </c>
      <c r="HG69" s="1" t="e">
        <f ca="1">INDEX(Table_Process_Details[Total '[Eutrophication (kg posphate equiv.) per kg API'] of Unique Inputs (METAL)], MATCH(Table_Process_Details[[#This Row],[Unique Inputs Sorted by '[Eutrophication (kg posphate equiv.) per kg API']]],Table_Process_Details[Unique Process Inputs],0))</f>
        <v>#N/A</v>
      </c>
      <c r="HH69" s="1" t="e">
        <f ca="1">INDEX(Table_Process_Details[Total '[Eutrophication (kg posphate equiv.) per kg API'] of Unique Inputs (SOLVENT)], MATCH(Table_Process_Details[[#This Row],[Unique Inputs Sorted by '[Eutrophication (kg posphate equiv.) per kg API']]],Table_Process_Details[Unique Process Inputs],0))</f>
        <v>#N/A</v>
      </c>
      <c r="HI69" s="1" t="e">
        <f ca="1">INDEX(Table_Process_Details[Total '[Eutrophication (kg posphate equiv.) per kg API'] of Unique Inputs (WATER)], MATCH(Table_Process_Details[[#This Row],[Unique Inputs Sorted by '[Eutrophication (kg posphate equiv.) per kg API']]],Table_Process_Details[Unique Process Inputs],0))</f>
        <v>#N/A</v>
      </c>
      <c r="HJ69" s="1" t="e">
        <f ca="1">INDEX(Table_Process_Details[Total '[Eutrophication (kg posphate equiv.) per kg API'] of Unique Inputs (ENZ&amp;PLNT)], MATCH(Table_Process_Details[[#This Row],[Unique Inputs Sorted by '[Eutrophication (kg posphate equiv.) per kg API']]],Table_Process_Details[Unique Process Inputs],0))</f>
        <v>#N/A</v>
      </c>
      <c r="HK69" s="1" t="e">
        <f ca="1">INDEX(Table_Process_Details[Total '[Eutrophication (kg posphate equiv.) per kg API'] of Unique Inputs (OTHER)], MATCH(Table_Process_Details[[#This Row],[Unique Inputs Sorted by '[Eutrophication (kg posphate equiv.) per kg API']]],Table_Process_Details[Unique Process Inputs],0))</f>
        <v>#N/A</v>
      </c>
      <c r="HL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80.906510542627544</v>
      </c>
      <c r="HM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80.906510542627544</v>
      </c>
      <c r="HN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6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69" s="1">
        <f ca="1">SUMIFS(Table_Process_Details[RV Water (kg) per kg API],Table_Process_Details[Display Name],Table_Process_Details[[#This Row],[Unique Process Inputs]],Table_Process_Details[Input or Output],"Input")</f>
        <v>0</v>
      </c>
      <c r="HT69" s="1">
        <f ca="1">SUMIFS(Table_Process_Details[RV Water (kg) per kg API (REAGENT)],Table_Process_Details[Display Name],Table_Process_Details[[#This Row],[Unique Process Inputs]],Table_Process_Details[Input or Output],"Input")</f>
        <v>0</v>
      </c>
      <c r="HU69" s="1">
        <f ca="1">SUMIFS(Table_Process_Details[RV Water (kg) per kg API (METAL)],Table_Process_Details[Display Name],Table_Process_Details[[#This Row],[Unique Process Inputs]],Table_Process_Details[Input or Output],"Input")</f>
        <v>0</v>
      </c>
      <c r="HV69" s="1">
        <f ca="1">SUMIFS(Table_Process_Details[RV Water (kg) per kg API (SOLVENT)],Table_Process_Details[Display Name],Table_Process_Details[[#This Row],[Unique Process Inputs]],Table_Process_Details[Input or Output],"Input")</f>
        <v>0</v>
      </c>
      <c r="HW69" s="1">
        <f ca="1">SUMIFS(Table_Process_Details[RV Water (kg) per kg API (WATER)],Table_Process_Details[Display Name],Table_Process_Details[[#This Row],[Unique Process Inputs]],Table_Process_Details[Input or Output],"Input")</f>
        <v>0</v>
      </c>
      <c r="HX69" s="1">
        <f ca="1">SUMIFS(Table_Process_Details[RV Water (kg) per kg API (ENZ&amp;PLNT)],Table_Process_Details[Display Name],Table_Process_Details[[#This Row],[Unique Process Inputs]],Table_Process_Details[Input or Output],"Input")</f>
        <v>0</v>
      </c>
      <c r="HY69" s="1">
        <f ca="1">SUMIFS(Table_Process_Details[RV Water (kg) per kg API (OTHER)],Table_Process_Details[Display Name],Table_Process_Details[[#This Row],[Unique Process Inputs]],Table_Process_Details[Input or Output],"Input")</f>
        <v>0</v>
      </c>
      <c r="HZ69" s="22" t="e">
        <f ca="1">INDEX(Table_Process_Details[Unique Process Inputs],MATCH(Table_Process_Details[[#This Row],['[Water (kg) per kg API'] of Unique Inputs Sorted by '[Water (kg) per kg API']]],Table_Process_Details[Total '[Water (kg) per kg API'] of Unique Inputs],0))</f>
        <v>#N/A</v>
      </c>
      <c r="IA69" s="22" t="e">
        <f ca="1">IF(LARGE(Table_Process_Details[Total '[Water (kg) per kg API'] of Unique Inputs],Table_Process_Details[[#This Row],[Table Row]])=0,NA(),LARGE(Table_Process_Details[Total '[Water (kg) per kg API'] of Unique Inputs],Table_Process_Details[[#This Row],[Table Row]]))</f>
        <v>#N/A</v>
      </c>
      <c r="IB69" s="1" t="e">
        <f ca="1">SUM(OFFSET(Table_Process_Details['[Water (kg) per kg API'] of Unique Inputs Sorted by '[Water (kg) per kg API']],0,0,Table_Process_Details[[#This Row],[Table Row]]))</f>
        <v>#N/A</v>
      </c>
      <c r="IC69" s="1" t="e">
        <f ca="1">"("&amp;TEXT(Table_Process_Details[[#This Row],['[Water (kg) per kg API'] of Unique Inputs Sorted by '[Water (kg) per kg API']]]/SUMIF(Table_Process_Details['[Water (kg) per kg API'] of Unique Inputs Sorted by '[Water (kg) per kg API']],"&lt;&gt;#N/A"),"0%")&amp;")"</f>
        <v>#N/A</v>
      </c>
      <c r="ID69" s="1" t="e">
        <f ca="1">INDEX(Table_Process_Details[Total '[Water (kg) per kg API'] of Unique Inputs (REAGENT)], MATCH(Table_Process_Details[[#This Row],[Unique Inputs Sorted by '[Water (kg) per kg API']]],Table_Process_Details[Unique Process Inputs],0))</f>
        <v>#N/A</v>
      </c>
      <c r="IE69" s="1" t="e">
        <f ca="1">INDEX(Table_Process_Details[Total '[Water (kg) per kg API'] of Unique Inputs (METAL)], MATCH(Table_Process_Details[[#This Row],[Unique Inputs Sorted by '[Water (kg) per kg API']]],Table_Process_Details[Unique Process Inputs],0))</f>
        <v>#N/A</v>
      </c>
      <c r="IF69" s="1" t="e">
        <f ca="1">INDEX(Table_Process_Details[Total '[Water (kg) per kg API'] of Unique Inputs (SOLVENT)], MATCH(Table_Process_Details[[#This Row],[Unique Inputs Sorted by '[Water (kg) per kg API']]],Table_Process_Details[Unique Process Inputs],0))</f>
        <v>#N/A</v>
      </c>
      <c r="IG69" s="1" t="e">
        <f ca="1">INDEX(Table_Process_Details[Total '[Water (kg) per kg API'] of Unique Inputs (WATER)], MATCH(Table_Process_Details[[#This Row],[Unique Inputs Sorted by '[Water (kg) per kg API']]],Table_Process_Details[Unique Process Inputs],0))</f>
        <v>#N/A</v>
      </c>
      <c r="IH69" s="1" t="e">
        <f ca="1">INDEX(Table_Process_Details[Total '[Water (kg) per kg API'] of Unique Inputs (ENZ&amp;PLNT)], MATCH(Table_Process_Details[[#This Row],[Unique Inputs Sorted by '[Water (kg) per kg API']]],Table_Process_Details[Unique Process Inputs],0))</f>
        <v>#N/A</v>
      </c>
      <c r="II69" s="1" t="e">
        <f ca="1">INDEX(Table_Process_Details[Total '[Water (kg) per kg API'] of Unique Inputs (OTHER)], MATCH(Table_Process_Details[[#This Row],[Unique Inputs Sorted by '[Water (kg) per kg API']]],Table_Process_Details[Unique Process Inputs],0))</f>
        <v>#N/A</v>
      </c>
    </row>
    <row r="70" spans="1:243" customFormat="1" x14ac:dyDescent="0.25">
      <c r="A70" s="22" t="str">
        <f>A69</f>
        <v>3) Synthesis of Intermediate (3)</v>
      </c>
      <c r="B70" s="21" t="s">
        <v>4</v>
      </c>
      <c r="C70" s="21" t="s">
        <v>6</v>
      </c>
      <c r="D70" s="22" t="s">
        <v>130</v>
      </c>
      <c r="E70" s="22" t="s">
        <v>130</v>
      </c>
      <c r="F70" s="26">
        <v>0.6</v>
      </c>
      <c r="G70" s="26"/>
      <c r="H70" s="26"/>
      <c r="I70" s="26"/>
      <c r="J70" s="26" t="str">
        <f>INDEX(Process_Steps[Reference],MATCH(Table_Process_Details[[#This Row],[Step Name]],Process_Steps[Name],0))</f>
        <v>Another Reference Document!</v>
      </c>
      <c r="K70" s="27" t="str">
        <f>INDEX(Process_Steps[Real or Virtual?],MATCH(Table_Process_Details[[#This Row],[Step Name]],Process_Steps[Name],0))</f>
        <v>Real</v>
      </c>
      <c r="L7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108-88-3</v>
      </c>
      <c r="M7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70" s="26">
        <f>INDEX(Table_Process_Details[Physical Mass (kg)],MATCH(1,INDEX(((Table_Process_Details[Step Name]=Table_Process_Details[[#This Row],[Step Name]])*(Table_Process_Details[Input or Output]="Output")),0),0))</f>
        <v>0.09</v>
      </c>
      <c r="O70" s="29">
        <f ca="1">INDEX(Process_Steps[Step Scale Factor for 1kg Packaged API],MATCH(Table_Process_Details[[#This Row],[Step Name]],Process_Steps[Name],0))</f>
        <v>11.011194714626619</v>
      </c>
      <c r="P7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13.5</v>
      </c>
      <c r="Q7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6.5</v>
      </c>
      <c r="R70" s="26">
        <f ca="1">_xlfn.SWITCH(Run_Reset_PNG,"Reset",Table_Process_Details[[#This Row],[X Init]],"Run",Table_Process_Details[[#This Row],[X Moved]],"Freeze",Table_Process_Details[[#This Row],[X Mover]])</f>
        <v>13.203312400057756</v>
      </c>
      <c r="S70" s="26">
        <f ca="1">_xlfn.SWITCH(Run_Reset_PNG,"Reset",Table_Process_Details[[#This Row],[Y Init]],"Run",Table_Process_Details[[#This Row],[Y Moved]],"Freeze",Table_Process_Details[[#This Row],[Y Mover]])</f>
        <v>8.065310331078777</v>
      </c>
      <c r="T70" s="26" cm="1">
        <f t="array" aca="1" ref="T7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-3.204269047339384</v>
      </c>
      <c r="U70" s="26" cm="1">
        <f t="array" aca="1" ref="U7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-2.8971222030502988</v>
      </c>
      <c r="V70" s="26" cm="1">
        <f t="array" aca="1" ref="V70" ca="1">SUM(--(SQRT((Table_Process_Details[[#This Row],[X Mover]]-Table_Process_Details[X Mover])^2+(Table_Process_Details[[#This Row],[Y Mover]]-Table_Process_Details[Y Mover])^2)&lt;Collision_Distance))</f>
        <v>20</v>
      </c>
      <c r="W70" s="26" cm="1">
        <f t="array" aca="1" ref="W7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0.14369268881433522</v>
      </c>
      <c r="X70" s="26" cm="1">
        <f t="array" aca="1" ref="X7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0.13104866468947712</v>
      </c>
      <c r="Y70" s="26" cm="1">
        <f t="array" aca="1" ref="Y7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0" s="26">
        <f>0</f>
        <v>0</v>
      </c>
      <c r="AA70" s="26">
        <f>0</f>
        <v>0</v>
      </c>
      <c r="AB7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-6.6016562000288781</v>
      </c>
      <c r="AC70" s="26" cm="1">
        <f t="array" aca="1" ref="AC7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-4.0326551655393885</v>
      </c>
      <c r="AD70" s="26">
        <f>MIN(1,COUNTA(Table_Process_Details[[#This Row],[target x]]),COUNTA(Table_Process_Details[[#This Row],[target y]]))*COUNTA(Table_Process_Details[Step Name])</f>
        <v>98</v>
      </c>
      <c r="AE7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13.119427797729317</v>
      </c>
      <c r="AF7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8.0103533431102356</v>
      </c>
      <c r="AG7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0" s="26" cm="1">
        <f t="array" aca="1" ref="AH70" ca="1">INDEX(Table_Process_Details[X Mover],MATCH(1,INDEX((Table_Process_Details[Input or Output]="Output")*(Table_Process_Details[Step Name]=Table_Process_Details[[#This Row],[Step Name]])*(Table_Process_Details[[#This Row],[Input or Output]]="Input"),0),0))</f>
        <v>15.707298460481789</v>
      </c>
      <c r="AI70" s="26" cm="1">
        <f t="array" aca="1" ref="AI70" ca="1">INDEX(Table_Process_Details[Y Mover],MATCH(1,INDEX((Table_Process_Details[Input or Output]="Output")*(Table_Process_Details[Step Name]=Table_Process_Details[[#This Row],[Step Name]])*(Table_Process_Details[[#This Row],[Input or Output]]="Input"),0),0))</f>
        <v>10.348961867752488</v>
      </c>
      <c r="AJ70" s="26">
        <f ca="1">SQRT((Table_Process_Details[[#This Row],[X End (To Node Center)]]-Table_Process_Details[[#This Row],[X Guide]])^2+(Table_Process_Details[[#This Row],[Y End (to Node Center)]]-Table_Process_Details[[#This Row],[Y Guide]])^2)</f>
        <v>3.3889541944012862</v>
      </c>
      <c r="AK70" s="26" t="e" cm="1">
        <f t="array" ref="AK70">INDEX(Table_Process_Details[X Mover],MATCH(1,INDEX((Table_Process_Details[Step Name]=Table_Process_Details[[#This Row],[LCA Data Source Subclass]])*(Table_Process_Details[Input or Output]="Output"),0)*(Table_Process_Details[[#This Row],[Input or Output]]="Input"),0))</f>
        <v>#N/A</v>
      </c>
      <c r="AL70" s="26" cm="1">
        <f t="array" aca="1" ref="AL70" ca="1">INDEX(Table_Process_Details[X Mover],MATCH(1,INDEX(((Table_Process_Details[Table Row]=Table_Process_Details[[#This Row],[Table Row]])*(1)),0)*(Table_Process_Details[[#This Row],[Input or Output]]="Input"),0))</f>
        <v>13.203312400057756</v>
      </c>
      <c r="AM70" s="26" cm="1">
        <f t="array" aca="1" ref="AM70" ca="1">(Table_Process_Details[[#This Row],[X End (To Node Center)]]*Table_Process_Details[[#This Row],[r0]]-Table_Process_Details[[#This Row],[X End (To Node Center)]]*Arrow_Offset+Table_Process_Details[[#This Row],[X Guide]]*Arrow_Offset)/Table_Process_Details[[#This Row],[r0]]</f>
        <v>15.116204945069693</v>
      </c>
      <c r="AN70" s="26" t="e">
        <f>IF(NOT(Table_Process_Details[[#This Row],[Display As]]="None"),Table_Process_Details[[#This Row],[X Start Prefilter]],NA())</f>
        <v>#N/A</v>
      </c>
      <c r="AO70" s="26">
        <f ca="1">IF(NOT(Table_Process_Details[[#This Row],[Display As]]="None"),Table_Process_Details[[#This Row],[X Guide Prefilter]],NA())</f>
        <v>13.203312400057756</v>
      </c>
      <c r="AP70" s="26">
        <f ca="1">IF(NOT(Table_Process_Details[[#This Row],[Display As]]="None"),Table_Process_Details[[#This Row],[X End (to Stop Radius) Prefilter]],NA())</f>
        <v>15.116204945069693</v>
      </c>
      <c r="AQ70" s="26" t="e">
        <f>NA()</f>
        <v>#N/A</v>
      </c>
      <c r="AR70" s="26" t="e" cm="1">
        <f t="array" ref="AR70">INDEX(Table_Process_Details[Y Mover],MATCH(1,INDEX((Table_Process_Details[Step Name]=Table_Process_Details[[#This Row],[LCA Data Source Subclass]])*(Table_Process_Details[Input or Output]="Output"),0)*(Table_Process_Details[[#This Row],[Input or Output]]="Input"),0))</f>
        <v>#N/A</v>
      </c>
      <c r="AS70" s="26" cm="1">
        <f t="array" aca="1" ref="AS70" ca="1">INDEX(Table_Process_Details[Y Mover],MATCH(1,INDEX(((Table_Process_Details[Table Row]=Table_Process_Details[[#This Row],[Table Row]])*(1)),0)*(Table_Process_Details[[#This Row],[Input or Output]]="Input"),0))</f>
        <v>8.065310331078777</v>
      </c>
      <c r="AT70" s="26" cm="1">
        <f t="array" aca="1" ref="AT70" ca="1">(Table_Process_Details[[#This Row],[Y Guide]]*Arrow_Offset-Table_Process_Details[[#This Row],[Y End (to Node Center)]]*Arrow_Offset+Table_Process_Details[[#This Row],[Y End (to Node Center)]]*Table_Process_Details[[#This Row],[r0]])/Table_Process_Details[[#This Row],[r0]]</f>
        <v>9.8098807458072184</v>
      </c>
      <c r="AU70" s="26" t="e">
        <f>IF(NOT(Table_Process_Details[[#This Row],[Display As]]="None"),Table_Process_Details[[#This Row],[Y Start Prefilter]],NA())</f>
        <v>#N/A</v>
      </c>
      <c r="AV70" s="26">
        <f ca="1">IF(NOT(Table_Process_Details[[#This Row],[Display As]]="None"),Table_Process_Details[[#This Row],[Y Guide Prefilter]],NA())</f>
        <v>8.065310331078777</v>
      </c>
      <c r="AW70" s="26">
        <f ca="1">IF(NOT(Table_Process_Details[[#This Row],[Display As]]="None"),Table_Process_Details[[#This Row],[Y End (to Stop Radius) Prefilter]],NA())</f>
        <v>9.8098807458072184</v>
      </c>
      <c r="AX70" s="26" t="e">
        <f>NA()</f>
        <v>#N/A</v>
      </c>
      <c r="AY70" s="26" t="e">
        <f>IF(Table_Process_Details[[#This Row],[Display As]]="Real Step",Table_Process_Details[[#This Row],[X Mover]],NA())</f>
        <v>#N/A</v>
      </c>
      <c r="AZ70" s="26" t="e">
        <f>IF(Table_Process_Details[[#This Row],[Display As]]="Real Step",Table_Process_Details[[#This Row],[Y Mover]],NA())</f>
        <v>#N/A</v>
      </c>
      <c r="BA70" s="26">
        <f ca="1">IF(Table_Process_Details[[#This Row],[Display As]]="Raw Material",Table_Process_Details[[#This Row],[X Mover]],NA())</f>
        <v>13.203312400057756</v>
      </c>
      <c r="BB70" s="26">
        <f ca="1">IF(Table_Process_Details[[#This Row],[Display As]]="Raw Material",Table_Process_Details[[#This Row],[Y Mover]],NA())</f>
        <v>8.065310331078777</v>
      </c>
      <c r="BC70" s="26">
        <f ca="1">IF(OR(Table_Process_Details[[#This Row],[Display As]]="Real Step",Table_Process_Details[[#This Row],[Display As]]="Raw Material"),Table_Process_Details[[#This Row],[X Mover]],NA())</f>
        <v>13.203312400057756</v>
      </c>
      <c r="BD70" s="26">
        <f ca="1">IF(OR(Table_Process_Details[[#This Row],[Display As]]="Real Step",Table_Process_Details[[#This Row],[Display As]]="Raw Material"),Table_Process_Details[[#This Row],[Y Mover]],NA())</f>
        <v>8.065310331078777</v>
      </c>
      <c r="BE70" s="22">
        <f>ROW()-ROW(Table_Process_Details[[#Headers],[Table Row]])</f>
        <v>66</v>
      </c>
      <c r="BF70" s="23" t="e" cm="1">
        <f t="array" aca="1" ref="BF70" ca="1">INDEX(Table_Process_Details[Display Name],MATCH(0,IF(Table_Process_Details[Input or Output]="Input",INDEX(COUNTIF(OFFSET(Table_Process_Details[[#Headers],[Unique Process Inputs]],0,0,Table_Process_Details[[#This Row],[Table Row]],1),Table_Process_Details[Display Name]),),""),0))</f>
        <v>#N/A</v>
      </c>
      <c r="BG70" s="23">
        <f ca="1">Table_Process_Details[[#This Row],[Physical Mass (kg)]]*Table_Process_Details[[#This Row],[Step Scale Factor for 1kg Packaged API]]</f>
        <v>6.606716828775971</v>
      </c>
      <c r="BH7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0" s="23">
        <f ca="1">MATCH(Table_Process_Details[[#This Row],[LCA Data Source Class]],INDIRECT(Table_Process_Details[[#This Row],[Input or Output]]),0)</f>
        <v>2</v>
      </c>
      <c r="BJ70" s="23">
        <f ca="1">MATCH(Table_Process_Details[[#This Row],[LCA Data Source Subclass]],INDIRECT(Table_Process_Details[[#This Row],[LCA Data Source Class]]&amp;"[Name]"),0)</f>
        <v>55</v>
      </c>
      <c r="BK70" s="23">
        <f ca="1">IFERROR(INDEX(INDIRECT(Table_Process_Details[[#This Row],[LCA Data Source Class]]&amp;"[Mass Net (kg)]"),MATCH(Table_Process_Details[[#This Row],[LCA Data Source Subclass]],INDIRECT(Table_Process_Details[[#This Row],[LCA Data Source Class]]&amp;"[Name]"),0)),0)</f>
        <v>1.2626287</v>
      </c>
      <c r="BL70" s="23">
        <f ca="1">IFERROR(INDEX(INDIRECT(Table_Process_Details[[#This Row],[LCA Data Source Class]]&amp;"[Energy (MJ)]"),MATCH(Table_Process_Details[[#This Row],[LCA Data Source Subclass]],INDIRECT(Table_Process_Details[[#This Row],[LCA Data Source Class]]&amp;"[Name]"),0)),0)</f>
        <v>63.394986000000003</v>
      </c>
      <c r="BM70" s="23">
        <f ca="1">IFERROR(INDEX(INDIRECT(Table_Process_Details[[#This Row],[LCA Data Source Class]]&amp;"[GWP (kg CO2 equiv.)]"),MATCH(Table_Process_Details[[#This Row],[LCA Data Source Subclass]],INDIRECT(Table_Process_Details[[#This Row],[LCA Data Source Class]]&amp;"[Name]"),0)),0)</f>
        <v>1.4990618</v>
      </c>
      <c r="BN70" s="23">
        <f ca="1">IFERROR(INDEX(INDIRECT(Table_Process_Details[[#This Row],[LCA Data Source Class]]&amp;"[Acidification (kg SO2 equiv.)]"),MATCH(Table_Process_Details[[#This Row],[LCA Data Source Subclass]],INDIRECT(Table_Process_Details[[#This Row],[LCA Data Source Class]]&amp;"[Name]"),0)),0)</f>
        <v>3.7884225999999998E-3</v>
      </c>
      <c r="BO70" s="23">
        <f ca="1">IFERROR(INDEX(INDIRECT(Table_Process_Details[[#This Row],[LCA Data Source Class]]&amp;"[Eutrophication (kg posphate equiv.)]"),MATCH(Table_Process_Details[[#This Row],[LCA Data Source Subclass]],INDIRECT(Table_Process_Details[[#This Row],[LCA Data Source Class]]&amp;"[Name]"),0)),0)</f>
        <v>3.1912181999999999E-4</v>
      </c>
      <c r="BP70" s="23">
        <f ca="1">IFERROR(INDEX(INDIRECT(Table_Process_Details[[#This Row],[LCA Data Source Class]]&amp;"[Water (kg)]"),MATCH(Table_Process_Details[[#This Row],[LCA Data Source Subclass]],INDIRECT(Table_Process_Details[[#This Row],[LCA Data Source Class]]&amp;"[Name]"),0)),0)</f>
        <v>1.0436776999999999</v>
      </c>
      <c r="BQ70" s="27">
        <f ca="1">(Table_Process_Details[[#This Row],[Input or Output]]="Input")*(Table_Process_Details[[#This Row],[LCA Data Source Class]]&lt;&gt;"Process_Steps")*Table_Process_Details[[#This Row],[Scaled Physical Mass per kg API for All Inputs &amp; Outputs]]</f>
        <v>6.606716828775971</v>
      </c>
      <c r="BR70" s="27">
        <f ca="1">(Table_Process_Details[[#This Row],[Material Class]]="REAGENT")*Table_Process_Details[[#This Row],[Physical Mass per kg API]]</f>
        <v>0</v>
      </c>
      <c r="BS70" s="27">
        <f ca="1">(Table_Process_Details[[#This Row],[Material Class]]="METAL")*Table_Process_Details[[#This Row],[Physical Mass per kg API]]</f>
        <v>0</v>
      </c>
      <c r="BT70" s="27">
        <f ca="1">(Table_Process_Details[[#This Row],[Material Class]]="SOLVENT")*Table_Process_Details[[#This Row],[Physical Mass per kg API]]</f>
        <v>6.606716828775971</v>
      </c>
      <c r="BU70" s="27">
        <f ca="1">(Table_Process_Details[[#This Row],[Material Class]]="WATER")*Table_Process_Details[[#This Row],[Physical Mass per kg API]]</f>
        <v>0</v>
      </c>
      <c r="BV70" s="27">
        <f ca="1">(Table_Process_Details[[#This Row],[Material Class]]="ENZ&amp;PLNT")*Table_Process_Details[[#This Row],[Physical Mass per kg API]]</f>
        <v>0</v>
      </c>
      <c r="BW70" s="27">
        <f ca="1">(Table_Process_Details[[#This Row],[Material Class]]="OTHER")*Table_Process_Details[[#This Row],[Physical Mass per kg API]]</f>
        <v>0</v>
      </c>
      <c r="BX7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6.606716828775971</v>
      </c>
      <c r="BY7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6.606716828775971</v>
      </c>
      <c r="CB7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0" s="1">
        <f ca="1">SUMIFS(Table_Process_Details[RV Physical Mass per kg API],Table_Process_Details[Display Name],Table_Process_Details[[#This Row],[Unique Process Inputs]],Table_Process_Details[Input or Output],"Input")</f>
        <v>0</v>
      </c>
      <c r="CF70" s="1">
        <f ca="1">SUMIFS(Table_Process_Details[RV Physical Mass per kg API (REAGENT)],Table_Process_Details[Display Name],Table_Process_Details[[#This Row],[Unique Process Inputs]],Table_Process_Details[Input or Output],"Input")</f>
        <v>0</v>
      </c>
      <c r="CG70" s="1">
        <f ca="1">SUMIFS(Table_Process_Details[RV Physical Mass per kg API (METAL)],Table_Process_Details[Display Name],Table_Process_Details[[#This Row],[Unique Process Inputs]],Table_Process_Details[Input or Output],"Input")</f>
        <v>0</v>
      </c>
      <c r="CH70" s="1">
        <f ca="1">SUMIFS(Table_Process_Details[RV Physical Mass per kg API (SOLVENT)],Table_Process_Details[Display Name],Table_Process_Details[[#This Row],[Unique Process Inputs]],Table_Process_Details[Input or Output],"Input")</f>
        <v>0</v>
      </c>
      <c r="CI70" s="1">
        <f ca="1">SUMIFS(Table_Process_Details[RV Physical Mass per kg API (WATER)],Table_Process_Details[Display Name],Table_Process_Details[[#This Row],[Unique Process Inputs]],Table_Process_Details[Input or Output],"Input")</f>
        <v>0</v>
      </c>
      <c r="CJ70" s="1">
        <f ca="1">SUMIFS(Table_Process_Details[RV Physical Mass per kg API (ENZ&amp;PLNT)],Table_Process_Details[Display Name],Table_Process_Details[[#This Row],[Unique Process Inputs]],Table_Process_Details[Input or Output],"Input")</f>
        <v>0</v>
      </c>
      <c r="CK70" s="1">
        <f ca="1">SUMIFS(Table_Process_Details[RV Physical Mass per kg API (OTHER)],Table_Process_Details[Display Name],Table_Process_Details[[#This Row],[Unique Process Inputs]],Table_Process_Details[Input or Output],"Input")</f>
        <v>0</v>
      </c>
      <c r="CL70" s="22" t="e">
        <f ca="1">INDEX(Table_Process_Details[Unique Process Inputs],MATCH(Table_Process_Details[[#This Row],['[Physical Mass per kg API'] of Unique Inputs Sorted by '[Physical Mass per kg API']]],Table_Process_Details[Total '[Physical Mass per kg API'] of Unique Inputs],0))</f>
        <v>#N/A</v>
      </c>
      <c r="CM70" s="22" t="e">
        <f ca="1">IF(LARGE(Table_Process_Details[Total '[Physical Mass per kg API'] of Unique Inputs],Table_Process_Details[[#This Row],[Table Row]])=0,NA(),LARGE(Table_Process_Details[Total '[Physical Mass per kg API'] of Unique Inputs],Table_Process_Details[[#This Row],[Table Row]]))</f>
        <v>#N/A</v>
      </c>
      <c r="CN70" s="22" t="e">
        <f ca="1">SUM(OFFSET(Table_Process_Details['[Physical Mass per kg API'] of Unique Inputs Sorted by '[Physical Mass per kg API']],0,0,Table_Process_Details[[#This Row],[Table Row]]))</f>
        <v>#N/A</v>
      </c>
      <c r="CO70" s="22" t="e">
        <f ca="1">"("&amp;TEXT(Table_Process_Details[[#This Row],['[Physical Mass per kg API'] of Unique Inputs Sorted by '[Physical Mass per kg API']]]/SUMIF(Table_Process_Details['[Physical Mass per kg API'] of Unique Inputs Sorted by '[Physical Mass per kg API']],"&lt;&gt;#N/A"),"0%")&amp;")"</f>
        <v>#N/A</v>
      </c>
      <c r="CP70" s="22" t="e">
        <f ca="1">INDEX(Table_Process_Details[Total '[Physical Mass per kg API'] of Unique Inputs (REAGENT)],MATCH(Table_Process_Details[[#This Row],[Unique Inputs Sorted by '[Physical Mass per kg API']]],Table_Process_Details[Unique Process Inputs],0))</f>
        <v>#N/A</v>
      </c>
      <c r="CQ70" s="22" t="e">
        <f ca="1">INDEX(Table_Process_Details[Total '[Physical Mass per kg API'] of Unique Inputs (METAL)],MATCH(Table_Process_Details[[#This Row],[Unique Inputs Sorted by '[Physical Mass per kg API']]],Table_Process_Details[Unique Process Inputs],0))</f>
        <v>#N/A</v>
      </c>
      <c r="CR70" s="22" t="e">
        <f ca="1">INDEX(Table_Process_Details[Total '[Physical Mass per kg API'] of Unique Inputs (SOLVENT)],MATCH(Table_Process_Details[[#This Row],[Unique Inputs Sorted by '[Physical Mass per kg API']]],Table_Process_Details[Unique Process Inputs],0))</f>
        <v>#N/A</v>
      </c>
      <c r="CS70" s="22" t="e">
        <f ca="1">INDEX(Table_Process_Details[Total '[Physical Mass per kg API'] of Unique Inputs (WATER)],MATCH(Table_Process_Details[[#This Row],[Unique Inputs Sorted by '[Physical Mass per kg API']]],Table_Process_Details[Unique Process Inputs],0))</f>
        <v>#N/A</v>
      </c>
      <c r="CT70" s="22" t="e">
        <f ca="1">INDEX(Table_Process_Details[Total '[Physical Mass per kg API'] of Unique Inputs (ENZ&amp;PLNT)],MATCH(Table_Process_Details[[#This Row],[Unique Inputs Sorted by '[Physical Mass per kg API']]],Table_Process_Details[Unique Process Inputs],0))</f>
        <v>#N/A</v>
      </c>
      <c r="CU70" s="22" t="e">
        <f ca="1">INDEX(Table_Process_Details[Total '[Physical Mass per kg API'] of Unique Inputs (OTHER)],MATCH(Table_Process_Details[[#This Row],[Unique Inputs Sorted by '[Physical Mass per kg API']]],Table_Process_Details[Unique Process Inputs],0))</f>
        <v>#N/A</v>
      </c>
      <c r="CV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8.341830280785528</v>
      </c>
      <c r="CW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8.341830280785528</v>
      </c>
      <c r="CZ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0" s="22">
        <f ca="1">SUMIFS(Table_Process_Details[RV Mass Net (kg) per kg API],Table_Process_Details[Display Name],Table_Process_Details[[#This Row],[Unique Process Inputs]],Table_Process_Details[Input or Output],"Input")</f>
        <v>0</v>
      </c>
      <c r="DD70" s="22">
        <f ca="1">SUMIFS(Table_Process_Details[RV Mass Net (kg) per kg API (REAGENT)],Table_Process_Details[Display Name],Table_Process_Details[[#This Row],[Unique Process Inputs]],Table_Process_Details[Input or Output],"Input")</f>
        <v>0</v>
      </c>
      <c r="DE70" s="22">
        <f ca="1">SUMIFS(Table_Process_Details[RV Mass Net (kg) per kg API (METAL)],Table_Process_Details[Display Name],Table_Process_Details[[#This Row],[Unique Process Inputs]],Table_Process_Details[Input or Output],"Input")</f>
        <v>0</v>
      </c>
      <c r="DF70" s="22">
        <f ca="1">SUMIFS(Table_Process_Details[RV Mass Net (kg) per kg API (SOLVENT)],Table_Process_Details[Display Name],Table_Process_Details[[#This Row],[Unique Process Inputs]],Table_Process_Details[Input or Output],"Input")</f>
        <v>0</v>
      </c>
      <c r="DG70" s="22">
        <f ca="1">SUMIFS(Table_Process_Details[RV Mass Net (kg) per kg API (WATER)],Table_Process_Details[Display Name],Table_Process_Details[[#This Row],[Unique Process Inputs]],Table_Process_Details[Input or Output],"Input")</f>
        <v>0</v>
      </c>
      <c r="DH70" s="22">
        <f ca="1">SUMIFS(Table_Process_Details[RV Mass Net (kg) per kg API (ENZ&amp;PLNT)],Table_Process_Details[Display Name],Table_Process_Details[[#This Row],[Unique Process Inputs]],Table_Process_Details[Input or Output],"Input")</f>
        <v>0</v>
      </c>
      <c r="DI70" s="22">
        <f ca="1">SUMIFS(Table_Process_Details[RV Mass Net (kg) per kg API (OTHER)],Table_Process_Details[Display Name],Table_Process_Details[[#This Row],[Unique Process Inputs]],Table_Process_Details[Input or Output],"Input")</f>
        <v>0</v>
      </c>
      <c r="DJ70" s="22" t="e">
        <f ca="1">INDEX(Table_Process_Details[Unique Process Inputs],MATCH(Table_Process_Details[[#This Row],['[Mass Net (kg) per kg API'] of Unique Inputs Sorted by '[Mass Net (kg) per kg API']]],Table_Process_Details[Total '[Mass Net (kg) per kg API'] of Unique Inputs],0))</f>
        <v>#N/A</v>
      </c>
      <c r="DK70" s="22" t="e">
        <f ca="1">IF(LARGE(Table_Process_Details[Total '[Mass Net (kg) per kg API'] of Unique Inputs],Table_Process_Details[[#This Row],[Table Row]])=0,NA(),LARGE(Table_Process_Details[Total '[Mass Net (kg) per kg API'] of Unique Inputs],Table_Process_Details[[#This Row],[Table Row]]))</f>
        <v>#N/A</v>
      </c>
      <c r="DL70" s="22" t="e">
        <f ca="1">SUM(OFFSET(Table_Process_Details['[Mass Net (kg) per kg API'] of Unique Inputs Sorted by '[Mass Net (kg) per kg API']],0,0,Table_Process_Details[[#This Row],[Table Row]]))</f>
        <v>#N/A</v>
      </c>
      <c r="DM70" s="22" t="e">
        <f ca="1">"("&amp;TEXT(Table_Process_Details[[#This Row],['[Mass Net (kg) per kg API'] of Unique Inputs Sorted by '[Mass Net (kg) per kg API']]]/SUMIF(Table_Process_Details['[Mass Net (kg) per kg API'] of Unique Inputs Sorted by '[Mass Net (kg) per kg API']],"&lt;&gt;#N/A"),"0%")&amp;")"</f>
        <v>#N/A</v>
      </c>
      <c r="DN70" s="22" t="e">
        <f ca="1">INDEX(Table_Process_Details[Total '[Mass Net (kg) per kg API'] of Unique Inputs (REAGENT)], MATCH(Table_Process_Details[[#This Row],[Unique Inputs Sorted by '[Mass Net (kg) per kg API']]],Table_Process_Details[Unique Process Inputs],0))</f>
        <v>#N/A</v>
      </c>
      <c r="DO70" s="22" t="e">
        <f ca="1">INDEX(Table_Process_Details[Total '[Mass Net (kg) per kg API'] of Unique Inputs (METAL)], MATCH(Table_Process_Details[[#This Row],[Unique Inputs Sorted by '[Mass Net (kg) per kg API']]],Table_Process_Details[Unique Process Inputs],0))</f>
        <v>#N/A</v>
      </c>
      <c r="DP70" s="22" t="e">
        <f ca="1">INDEX(Table_Process_Details[Total '[Mass Net (kg) per kg API'] of Unique Inputs (SOLVENT)], MATCH(Table_Process_Details[[#This Row],[Unique Inputs Sorted by '[Mass Net (kg) per kg API']]],Table_Process_Details[Unique Process Inputs],0))</f>
        <v>#N/A</v>
      </c>
      <c r="DQ70" s="22" t="e">
        <f ca="1">INDEX(Table_Process_Details[Total '[Mass Net (kg) per kg API'] of Unique Inputs (WATER)], MATCH(Table_Process_Details[[#This Row],[Unique Inputs Sorted by '[Mass Net (kg) per kg API']]],Table_Process_Details[Unique Process Inputs],0))</f>
        <v>#N/A</v>
      </c>
      <c r="DR70" s="22" t="e">
        <f ca="1">INDEX(Table_Process_Details[Total '[Mass Net (kg) per kg API'] of Unique Inputs (ENZ&amp;PLNT)], MATCH(Table_Process_Details[[#This Row],[Unique Inputs Sorted by '[Mass Net (kg) per kg API']]],Table_Process_Details[Unique Process Inputs],0))</f>
        <v>#N/A</v>
      </c>
      <c r="DS70" s="22" t="e">
        <f ca="1">INDEX(Table_Process_Details[Total '[Mass Net (kg) per kg API'] of Unique Inputs (OTHER)], MATCH(Table_Process_Details[[#This Row],[Unique Inputs Sorted by '[Mass Net (kg) per kg API']]],Table_Process_Details[Unique Process Inputs],0))</f>
        <v>#N/A</v>
      </c>
      <c r="DT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418.83272086621707</v>
      </c>
      <c r="DU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418.83272086621707</v>
      </c>
      <c r="DX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0" s="1">
        <f ca="1">SUMIFS(Table_Process_Details[RV Energy (MJ) per kg API],Table_Process_Details[Display Name],Table_Process_Details[[#This Row],[Unique Process Inputs]],Table_Process_Details[Input or Output],"Input")</f>
        <v>0</v>
      </c>
      <c r="EB70" s="1">
        <f ca="1">SUMIFS(Table_Process_Details[RV Energy (MJ) per kg API (REAGENT)],Table_Process_Details[Display Name],Table_Process_Details[[#This Row],[Unique Process Inputs]],Table_Process_Details[Input or Output],"Input")</f>
        <v>0</v>
      </c>
      <c r="EC70" s="1">
        <f ca="1">SUMIFS(Table_Process_Details[RV Energy (MJ) per kg API (METAL)],Table_Process_Details[Display Name],Table_Process_Details[[#This Row],[Unique Process Inputs]],Table_Process_Details[Input or Output],"Input")</f>
        <v>0</v>
      </c>
      <c r="ED70" s="1">
        <f ca="1">SUMIFS(Table_Process_Details[RV Energy (MJ) per kg API (SOLVENT)],Table_Process_Details[Display Name],Table_Process_Details[[#This Row],[Unique Process Inputs]],Table_Process_Details[Input or Output],"Input")</f>
        <v>0</v>
      </c>
      <c r="EE70" s="1">
        <f ca="1">SUMIFS(Table_Process_Details[RV Energy (MJ) per kg API (WATER)],Table_Process_Details[Display Name],Table_Process_Details[[#This Row],[Unique Process Inputs]],Table_Process_Details[Input or Output],"Input")</f>
        <v>0</v>
      </c>
      <c r="EF70" s="1">
        <f ca="1">SUMIFS(Table_Process_Details[RV Energy (MJ) per kg API (ENZ&amp;PLNT)],Table_Process_Details[Display Name],Table_Process_Details[[#This Row],[Unique Process Inputs]],Table_Process_Details[Input or Output],"Input")</f>
        <v>0</v>
      </c>
      <c r="EG70" s="1">
        <f ca="1">SUMIFS(Table_Process_Details[RV Energy (MJ) per kg API (OTHER)],Table_Process_Details[Display Name],Table_Process_Details[[#This Row],[Unique Process Inputs]],Table_Process_Details[Input or Output],"Input")</f>
        <v>0</v>
      </c>
      <c r="EH70" s="1" t="e">
        <f ca="1">INDEX(Table_Process_Details[Unique Process Inputs],MATCH(Table_Process_Details[[#This Row],['[Energy (MJ) per kg API'] of Unique Inputs Sorted by '[Energy (MJ) per kg API']]],Table_Process_Details[Total '[Energy (MJ) per kg API'] of Unique Inputs],0))</f>
        <v>#N/A</v>
      </c>
      <c r="EI70" s="22" t="e">
        <f ca="1">IF(LARGE(Table_Process_Details[Total '[Energy (MJ) per kg API'] of Unique Inputs],Table_Process_Details[[#This Row],[Table Row]])=0,NA(),LARGE(Table_Process_Details[Total '[Energy (MJ) per kg API'] of Unique Inputs],Table_Process_Details[[#This Row],[Table Row]]))</f>
        <v>#N/A</v>
      </c>
      <c r="EJ70" s="22" t="e">
        <f ca="1">SUM(OFFSET(Table_Process_Details['[Energy (MJ) per kg API'] of Unique Inputs Sorted by '[Energy (MJ) per kg API']],0,0,Table_Process_Details[[#This Row],[Table Row]]))</f>
        <v>#N/A</v>
      </c>
      <c r="EK70" s="22" t="e">
        <f ca="1">"("&amp;TEXT(Table_Process_Details[[#This Row],['[Energy (MJ) per kg API'] of Unique Inputs Sorted by '[Energy (MJ) per kg API']]]/SUMIF(Table_Process_Details['[Energy (MJ) per kg API'] of Unique Inputs Sorted by '[Energy (MJ) per kg API']],"&lt;&gt;#N/A"),"0%")&amp;")"</f>
        <v>#N/A</v>
      </c>
      <c r="EL70" s="22" t="e">
        <f ca="1">INDEX(Table_Process_Details[Total '[Energy (MJ) per kg API'] of Unique Inputs (REAGENT)], MATCH(Table_Process_Details[[#This Row],[Unique Inputs Sorted by '[Energy (MJ) per kg API']]],Table_Process_Details[Unique Process Inputs],0))</f>
        <v>#N/A</v>
      </c>
      <c r="EM70" s="22" t="e">
        <f ca="1">INDEX(Table_Process_Details[Total '[Energy (MJ) per kg API'] of Unique Inputs (METAL)], MATCH(Table_Process_Details[[#This Row],[Unique Inputs Sorted by '[Energy (MJ) per kg API']]],Table_Process_Details[Unique Process Inputs],0))</f>
        <v>#N/A</v>
      </c>
      <c r="EN70" s="22" t="e">
        <f ca="1">INDEX(Table_Process_Details[Total '[Energy (MJ) per kg API'] of Unique Inputs (SOLVENT)], MATCH(Table_Process_Details[[#This Row],[Unique Inputs Sorted by '[Energy (MJ) per kg API']]],Table_Process_Details[Unique Process Inputs],0))</f>
        <v>#N/A</v>
      </c>
      <c r="EO70" s="22" t="e">
        <f ca="1">INDEX(Table_Process_Details[Total '[Energy (MJ) per kg API'] of Unique Inputs (WATER)], MATCH(Table_Process_Details[[#This Row],[Unique Inputs Sorted by '[Energy (MJ) per kg API']]],Table_Process_Details[Unique Process Inputs],0))</f>
        <v>#N/A</v>
      </c>
      <c r="EP70" s="22" t="e">
        <f ca="1">INDEX(Table_Process_Details[Total '[Energy (MJ) per kg API'] of Unique Inputs (ENZ&amp;PLNT)], MATCH(Table_Process_Details[[#This Row],[Unique Inputs Sorted by '[Energy (MJ) per kg API']]],Table_Process_Details[Unique Process Inputs],0))</f>
        <v>#N/A</v>
      </c>
      <c r="EQ70" s="22" t="e">
        <f ca="1">INDEX(Table_Process_Details[Total '[Energy (MJ) per kg API'] of Unique Inputs (OTHER)], MATCH(Table_Process_Details[[#This Row],[Unique Inputs Sorted by '[Energy (MJ) per kg API']]],Table_Process_Details[Unique Process Inputs],0))</f>
        <v>#N/A</v>
      </c>
      <c r="ER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9.9038768214351993</v>
      </c>
      <c r="ES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9.9038768214351993</v>
      </c>
      <c r="EV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0" s="22">
        <f ca="1">SUMIFS(Table_Process_Details[RV GWP (kg CO2 equiv.) per kg API],Table_Process_Details[Display Name],Table_Process_Details[[#This Row],[Unique Process Inputs]],Table_Process_Details[Input or Output],"Input")</f>
        <v>0</v>
      </c>
      <c r="EZ70" s="1">
        <f ca="1">SUMIFS(Table_Process_Details[RV GWP (kg CO2 equiv.) per kg API (REAGENT)],Table_Process_Details[Display Name],Table_Process_Details[[#This Row],[Unique Process Inputs]],Table_Process_Details[Input or Output],"Input")</f>
        <v>0</v>
      </c>
      <c r="FA70" s="1">
        <f ca="1">SUMIFS(Table_Process_Details[RV GWP (kg CO2 equiv.) per kg API (METAL)],Table_Process_Details[Display Name],Table_Process_Details[[#This Row],[Unique Process Inputs]],Table_Process_Details[Input or Output],"Input")</f>
        <v>0</v>
      </c>
      <c r="FB70" s="1">
        <f ca="1">SUMIFS(Table_Process_Details[RV GWP (kg CO2 equiv.) per kg API (SOLVENT)],Table_Process_Details[Display Name],Table_Process_Details[[#This Row],[Unique Process Inputs]],Table_Process_Details[Input or Output],"Input")</f>
        <v>0</v>
      </c>
      <c r="FC70" s="1">
        <f ca="1">SUMIFS(Table_Process_Details[RV GWP (kg CO2 equiv.) per kg API (WATER)],Table_Process_Details[Display Name],Table_Process_Details[[#This Row],[Unique Process Inputs]],Table_Process_Details[Input or Output],"Input")</f>
        <v>0</v>
      </c>
      <c r="FD70" s="1">
        <f ca="1">SUMIFS(Table_Process_Details[RV GWP (kg CO2 equiv.) per kg API (ENZ&amp;PLNT)],Table_Process_Details[Display Name],Table_Process_Details[[#This Row],[Unique Process Inputs]],Table_Process_Details[Input or Output],"Input")</f>
        <v>0</v>
      </c>
      <c r="FE70" s="1">
        <f ca="1">SUMIFS(Table_Process_Details[RV GWP (kg CO2 equiv.) per kg API (OTHER)],Table_Process_Details[Display Name],Table_Process_Details[[#This Row],[Unique Process Inputs]],Table_Process_Details[Input or Output],"Input")</f>
        <v>0</v>
      </c>
      <c r="FF70" s="22" t="e">
        <f ca="1">INDEX(Table_Process_Details[Unique Process Inputs],MATCH(Table_Process_Details[[#This Row],['[GWP (kg CO2 equiv.) per kg API'] of Unique Inputs Sorted by '[GWP (kg CO2 equiv.) per kg API']]],Table_Process_Details[Total '[GWP (kg CO2 equiv.) per kg API'] of Unique Inputs],0))</f>
        <v>#N/A</v>
      </c>
      <c r="FG70" s="22" t="e">
        <f ca="1">IF(LARGE(Table_Process_Details[Total '[GWP (kg CO2 equiv.) per kg API'] of Unique Inputs],Table_Process_Details[[#This Row],[Table Row]])=0,NA(),LARGE(Table_Process_Details[Total '[GWP (kg CO2 equiv.) per kg API'] of Unique Inputs],Table_Process_Details[[#This Row],[Table Row]]))</f>
        <v>#N/A</v>
      </c>
      <c r="FH70" s="22" t="e">
        <f ca="1">SUM(OFFSET(Table_Process_Details['[GWP (kg CO2 equiv.) per kg API'] of Unique Inputs Sorted by '[GWP (kg CO2 equiv.) per kg API']],0,0,Table_Process_Details[[#This Row],[Table Row]]))</f>
        <v>#N/A</v>
      </c>
      <c r="FI70" s="22" t="e">
        <f ca="1">"("&amp;TEXT(Table_Process_Details[[#This Row],['[GWP (kg CO2 equiv.) per kg API'] of Unique Inputs Sorted by '[GWP (kg CO2 equiv.) per kg API']]]/SUMIF(Table_Process_Details['[GWP (kg CO2 equiv.) per kg API'] of Unique Inputs Sorted by '[GWP (kg CO2 equiv.) per kg API']],"&lt;&gt;#N/A"),"0%")&amp;")"</f>
        <v>#N/A</v>
      </c>
      <c r="FJ70" s="22" t="e">
        <f ca="1">INDEX(Table_Process_Details[Total '[GWP (kg CO2 equiv.) per kg API'] of Unique Inputs (REAGENT)], MATCH(Table_Process_Details[[#This Row],[Unique Inputs Sorted by '[GWP (kg CO2 equiv.) per kg API']]],Table_Process_Details[Unique Process Inputs],0))</f>
        <v>#N/A</v>
      </c>
      <c r="FK70" s="22" t="e">
        <f ca="1">INDEX(Table_Process_Details[Total '[GWP (kg CO2 equiv.) per kg API'] of Unique Inputs (METAL)], MATCH(Table_Process_Details[[#This Row],[Unique Inputs Sorted by '[GWP (kg CO2 equiv.) per kg API']]],Table_Process_Details[Unique Process Inputs],0))</f>
        <v>#N/A</v>
      </c>
      <c r="FL70" s="22" t="e">
        <f ca="1">INDEX(Table_Process_Details[Total '[GWP (kg CO2 equiv.) per kg API'] of Unique Inputs (SOLVENT)], MATCH(Table_Process_Details[[#This Row],[Unique Inputs Sorted by '[GWP (kg CO2 equiv.) per kg API']]],Table_Process_Details[Unique Process Inputs],0))</f>
        <v>#N/A</v>
      </c>
      <c r="FM70" s="22" t="e">
        <f ca="1">INDEX(Table_Process_Details[Total '[GWP (kg CO2 equiv.) per kg API'] of Unique Inputs (WATER)], MATCH(Table_Process_Details[[#This Row],[Unique Inputs Sorted by '[GWP (kg CO2 equiv.) per kg API']]],Table_Process_Details[Unique Process Inputs],0))</f>
        <v>#N/A</v>
      </c>
      <c r="FN70" s="22" t="e">
        <f ca="1">INDEX(Table_Process_Details[Total '[GWP (kg CO2 equiv.) per kg API'] of Unique Inputs (ENZ&amp;PLNT)], MATCH(Table_Process_Details[[#This Row],[Unique Inputs Sorted by '[GWP (kg CO2 equiv.) per kg API']]],Table_Process_Details[Unique Process Inputs],0))</f>
        <v>#N/A</v>
      </c>
      <c r="FO70" s="22" t="e">
        <f ca="1">INDEX(Table_Process_Details[Total '[GWP (kg CO2 equiv.) per kg API'] of Unique Inputs (OTHER)], MATCH(Table_Process_Details[[#This Row],[Unique Inputs Sorted by '[GWP (kg CO2 equiv.) per kg API']]],Table_Process_Details[Unique Process Inputs],0))</f>
        <v>#N/A</v>
      </c>
      <c r="FP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2.5029035345935216E-2</v>
      </c>
      <c r="FQ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2.5029035345935216E-2</v>
      </c>
      <c r="FT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0" s="22">
        <f ca="1">SUMIFS(Table_Process_Details[RV Acidification (kg SO2 equiv.) per kg API],Table_Process_Details[Display Name],Table_Process_Details[[#This Row],[Unique Process Inputs]],Table_Process_Details[Input or Output],"Input")</f>
        <v>0</v>
      </c>
      <c r="FX70" s="1">
        <f ca="1">SUMIFS(Table_Process_Details[RV Acidification (kg SO2 equiv.) per kg API (REAGENT)],Table_Process_Details[Display Name],Table_Process_Details[[#This Row],[Unique Process Inputs]],Table_Process_Details[Input or Output],"Input")</f>
        <v>0</v>
      </c>
      <c r="FY70" s="1">
        <f ca="1">SUMIFS(Table_Process_Details[RV Acidification (kg SO2 equiv.) per kg API (METAL)],Table_Process_Details[Display Name],Table_Process_Details[[#This Row],[Unique Process Inputs]],Table_Process_Details[Input or Output],"Input")</f>
        <v>0</v>
      </c>
      <c r="FZ70" s="1">
        <f ca="1">SUMIFS(Table_Process_Details[RV Acidification (kg SO2 equiv.) per kg API (SOLVENT)],Table_Process_Details[Display Name],Table_Process_Details[[#This Row],[Unique Process Inputs]],Table_Process_Details[Input or Output],"Input")</f>
        <v>0</v>
      </c>
      <c r="GA70" s="1">
        <f ca="1">SUMIFS(Table_Process_Details[RV Acidification (kg SO2 equiv.) per kg API (WATER)],Table_Process_Details[Display Name],Table_Process_Details[[#This Row],[Unique Process Inputs]],Table_Process_Details[Input or Output],"Input")</f>
        <v>0</v>
      </c>
      <c r="GB70" s="1">
        <f ca="1">SUMIFS(Table_Process_Details[RV Acidification (kg SO2 equiv.) per kg API (ENZ&amp;PLNT)],Table_Process_Details[Display Name],Table_Process_Details[[#This Row],[Unique Process Inputs]],Table_Process_Details[Input or Output],"Input")</f>
        <v>0</v>
      </c>
      <c r="GC70" s="1">
        <f ca="1">SUMIFS(Table_Process_Details[RV Acidification (kg SO2 equiv.) per kg API (OTHER)],Table_Process_Details[Display Name],Table_Process_Details[[#This Row],[Unique Process Inputs]],Table_Process_Details[Input or Output],"Input")</f>
        <v>0</v>
      </c>
      <c r="GD7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0" s="22" t="e">
        <f ca="1">SUM(OFFSET(Table_Process_Details['[Acidification (kg SO2 equiv.) per kg API'] of Unique Inputs Sorted by '[Acidification (kg SO2 equiv.) per kg API']],0,0,Table_Process_Details[[#This Row],[Table Row]]))</f>
        <v>#N/A</v>
      </c>
      <c r="GG7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0" s="22" t="e">
        <f ca="1">INDEX(Table_Process_Details[Total '[Acidification (kg SO2 equiv.) per kg API'] of Unique Inputs (REAGENT)], MATCH(Table_Process_Details[[#This Row],[Unique Inputs Sorted by '[Acidification (kg SO2 equiv.) per kg API']]],Table_Process_Details[Unique Process Inputs],0))</f>
        <v>#N/A</v>
      </c>
      <c r="GI70" s="22" t="e">
        <f ca="1">INDEX(Table_Process_Details[Total '[Acidification (kg SO2 equiv.) per kg API'] of Unique Inputs (METAL)], MATCH(Table_Process_Details[[#This Row],[Unique Inputs Sorted by '[Acidification (kg SO2 equiv.) per kg API']]],Table_Process_Details[Unique Process Inputs],0))</f>
        <v>#N/A</v>
      </c>
      <c r="GJ70" s="22" t="e">
        <f ca="1">INDEX(Table_Process_Details[Total '[Acidification (kg SO2 equiv.) per kg API'] of Unique Inputs (SOLVENT)], MATCH(Table_Process_Details[[#This Row],[Unique Inputs Sorted by '[Acidification (kg SO2 equiv.) per kg API']]],Table_Process_Details[Unique Process Inputs],0))</f>
        <v>#N/A</v>
      </c>
      <c r="GK70" s="22" t="e">
        <f ca="1">INDEX(Table_Process_Details[Total '[Acidification (kg SO2 equiv.) per kg API'] of Unique Inputs (WATER)], MATCH(Table_Process_Details[[#This Row],[Unique Inputs Sorted by '[Acidification (kg SO2 equiv.) per kg API']]],Table_Process_Details[Unique Process Inputs],0))</f>
        <v>#N/A</v>
      </c>
      <c r="GL70" s="22" t="e">
        <f ca="1">INDEX(Table_Process_Details[Total '[Acidification (kg SO2 equiv.) per kg API'] of Unique Inputs (ENZ&amp;PLNT)], MATCH(Table_Process_Details[[#This Row],[Unique Inputs Sorted by '[Acidification (kg SO2 equiv.) per kg API']]],Table_Process_Details[Unique Process Inputs],0))</f>
        <v>#N/A</v>
      </c>
      <c r="GM70" s="22" t="e">
        <f ca="1">INDEX(Table_Process_Details[Total '[Acidification (kg SO2 equiv.) per kg API'] of Unique Inputs (OTHER)], MATCH(Table_Process_Details[[#This Row],[Unique Inputs Sorted by '[Acidification (kg SO2 equiv.) per kg API']]],Table_Process_Details[Unique Process Inputs],0))</f>
        <v>#N/A</v>
      </c>
      <c r="GN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2.1083474986236164E-3</v>
      </c>
      <c r="GO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2.1083474986236164E-3</v>
      </c>
      <c r="GR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0" s="22">
        <f ca="1">SUMIFS(Table_Process_Details[RV Eutrophication (kg phosphate equiv.) per kg API],Table_Process_Details[Display Name],Table_Process_Details[[#This Row],[Unique Process Inputs]],Table_Process_Details[Input or Output],"Input")</f>
        <v>0</v>
      </c>
      <c r="GV70" s="1">
        <f ca="1">SUMIFS(Table_Process_Details[RV Eutrophication (kg phosphate equiv.) per kg API (REAGENT)],Table_Process_Details[Display Name],Table_Process_Details[[#This Row],[Unique Process Inputs]],Table_Process_Details[Input or Output],"Input")</f>
        <v>0</v>
      </c>
      <c r="GW70" s="1">
        <f ca="1">SUMIFS(Table_Process_Details[RV Eutrophication (kg phosphate equiv.) per kg API (METAL)],Table_Process_Details[Display Name],Table_Process_Details[[#This Row],[Unique Process Inputs]],Table_Process_Details[Input or Output],"Input")</f>
        <v>0</v>
      </c>
      <c r="GX70" s="1">
        <f ca="1">SUMIFS(Table_Process_Details[RV Eutrophication (kg phosphate equiv.) per kg API (SOLVENT)],Table_Process_Details[Display Name],Table_Process_Details[[#This Row],[Unique Process Inputs]],Table_Process_Details[Input or Output],"Input")</f>
        <v>0</v>
      </c>
      <c r="GY70" s="1">
        <f ca="1">SUMIFS(Table_Process_Details[RV Eutrophication (kg phosphate equiv.) per kg API (WATER)],Table_Process_Details[Display Name],Table_Process_Details[[#This Row],[Unique Process Inputs]],Table_Process_Details[Input or Output],"Input")</f>
        <v>0</v>
      </c>
      <c r="GZ70" s="1">
        <f ca="1">SUMIFS(Table_Process_Details[RV Eutrophication (kg phosphate equiv.) per kg API (ENZ&amp;PLNT)],Table_Process_Details[Display Name],Table_Process_Details[[#This Row],[Unique Process Inputs]],Table_Process_Details[Input or Output],"Input")</f>
        <v>0</v>
      </c>
      <c r="HA70" s="1">
        <f ca="1">SUMIFS(Table_Process_Details[RV Eutrophication (kg phosphate equiv.) per kg API (OTHER)],Table_Process_Details[Display Name],Table_Process_Details[[#This Row],[Unique Process Inputs]],Table_Process_Details[Input or Output],"Input")</f>
        <v>0</v>
      </c>
      <c r="HB7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0" s="22" t="e">
        <f ca="1">SUM(OFFSET(Table_Process_Details['[Eutrophication (kg posphate equiv.) per kg API'] of Unique Inputs Sorted by '[Eutrophication (kg posphate equiv.) per kg API']],0,0,Table_Process_Details[[#This Row],[Table Row]]))</f>
        <v>#N/A</v>
      </c>
      <c r="HE7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0" s="1" t="e">
        <f ca="1">INDEX(Table_Process_Details[Total '[Eutrophication (kg posphate equiv.) per kg API'] of Unique Inputs (REAGENT)], MATCH(Table_Process_Details[[#This Row],[Unique Inputs Sorted by '[Eutrophication (kg posphate equiv.) per kg API']]],Table_Process_Details[Unique Process Inputs],0))</f>
        <v>#N/A</v>
      </c>
      <c r="HG70" s="1" t="e">
        <f ca="1">INDEX(Table_Process_Details[Total '[Eutrophication (kg posphate equiv.) per kg API'] of Unique Inputs (METAL)], MATCH(Table_Process_Details[[#This Row],[Unique Inputs Sorted by '[Eutrophication (kg posphate equiv.) per kg API']]],Table_Process_Details[Unique Process Inputs],0))</f>
        <v>#N/A</v>
      </c>
      <c r="HH70" s="1" t="e">
        <f ca="1">INDEX(Table_Process_Details[Total '[Eutrophication (kg posphate equiv.) per kg API'] of Unique Inputs (SOLVENT)], MATCH(Table_Process_Details[[#This Row],[Unique Inputs Sorted by '[Eutrophication (kg posphate equiv.) per kg API']]],Table_Process_Details[Unique Process Inputs],0))</f>
        <v>#N/A</v>
      </c>
      <c r="HI70" s="1" t="e">
        <f ca="1">INDEX(Table_Process_Details[Total '[Eutrophication (kg posphate equiv.) per kg API'] of Unique Inputs (WATER)], MATCH(Table_Process_Details[[#This Row],[Unique Inputs Sorted by '[Eutrophication (kg posphate equiv.) per kg API']]],Table_Process_Details[Unique Process Inputs],0))</f>
        <v>#N/A</v>
      </c>
      <c r="HJ70" s="1" t="e">
        <f ca="1">INDEX(Table_Process_Details[Total '[Eutrophication (kg posphate equiv.) per kg API'] of Unique Inputs (ENZ&amp;PLNT)], MATCH(Table_Process_Details[[#This Row],[Unique Inputs Sorted by '[Eutrophication (kg posphate equiv.) per kg API']]],Table_Process_Details[Unique Process Inputs],0))</f>
        <v>#N/A</v>
      </c>
      <c r="HK70" s="1" t="e">
        <f ca="1">INDEX(Table_Process_Details[Total '[Eutrophication (kg posphate equiv.) per kg API'] of Unique Inputs (OTHER)], MATCH(Table_Process_Details[[#This Row],[Unique Inputs Sorted by '[Eutrophication (kg posphate equiv.) per kg API']]],Table_Process_Details[Unique Process Inputs],0))</f>
        <v>#N/A</v>
      </c>
      <c r="HL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6.8952830244081991</v>
      </c>
      <c r="HM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6.8952830244081991</v>
      </c>
      <c r="HP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0" s="1">
        <f ca="1">SUMIFS(Table_Process_Details[RV Water (kg) per kg API],Table_Process_Details[Display Name],Table_Process_Details[[#This Row],[Unique Process Inputs]],Table_Process_Details[Input or Output],"Input")</f>
        <v>0</v>
      </c>
      <c r="HT70" s="1">
        <f ca="1">SUMIFS(Table_Process_Details[RV Water (kg) per kg API (REAGENT)],Table_Process_Details[Display Name],Table_Process_Details[[#This Row],[Unique Process Inputs]],Table_Process_Details[Input or Output],"Input")</f>
        <v>0</v>
      </c>
      <c r="HU70" s="1">
        <f ca="1">SUMIFS(Table_Process_Details[RV Water (kg) per kg API (METAL)],Table_Process_Details[Display Name],Table_Process_Details[[#This Row],[Unique Process Inputs]],Table_Process_Details[Input or Output],"Input")</f>
        <v>0</v>
      </c>
      <c r="HV70" s="1">
        <f ca="1">SUMIFS(Table_Process_Details[RV Water (kg) per kg API (SOLVENT)],Table_Process_Details[Display Name],Table_Process_Details[[#This Row],[Unique Process Inputs]],Table_Process_Details[Input or Output],"Input")</f>
        <v>0</v>
      </c>
      <c r="HW70" s="1">
        <f ca="1">SUMIFS(Table_Process_Details[RV Water (kg) per kg API (WATER)],Table_Process_Details[Display Name],Table_Process_Details[[#This Row],[Unique Process Inputs]],Table_Process_Details[Input or Output],"Input")</f>
        <v>0</v>
      </c>
      <c r="HX70" s="1">
        <f ca="1">SUMIFS(Table_Process_Details[RV Water (kg) per kg API (ENZ&amp;PLNT)],Table_Process_Details[Display Name],Table_Process_Details[[#This Row],[Unique Process Inputs]],Table_Process_Details[Input or Output],"Input")</f>
        <v>0</v>
      </c>
      <c r="HY70" s="1">
        <f ca="1">SUMIFS(Table_Process_Details[RV Water (kg) per kg API (OTHER)],Table_Process_Details[Display Name],Table_Process_Details[[#This Row],[Unique Process Inputs]],Table_Process_Details[Input or Output],"Input")</f>
        <v>0</v>
      </c>
      <c r="HZ70" s="22" t="e">
        <f ca="1">INDEX(Table_Process_Details[Unique Process Inputs],MATCH(Table_Process_Details[[#This Row],['[Water (kg) per kg API'] of Unique Inputs Sorted by '[Water (kg) per kg API']]],Table_Process_Details[Total '[Water (kg) per kg API'] of Unique Inputs],0))</f>
        <v>#N/A</v>
      </c>
      <c r="IA70" s="22" t="e">
        <f ca="1">IF(LARGE(Table_Process_Details[Total '[Water (kg) per kg API'] of Unique Inputs],Table_Process_Details[[#This Row],[Table Row]])=0,NA(),LARGE(Table_Process_Details[Total '[Water (kg) per kg API'] of Unique Inputs],Table_Process_Details[[#This Row],[Table Row]]))</f>
        <v>#N/A</v>
      </c>
      <c r="IB70" s="1" t="e">
        <f ca="1">SUM(OFFSET(Table_Process_Details['[Water (kg) per kg API'] of Unique Inputs Sorted by '[Water (kg) per kg API']],0,0,Table_Process_Details[[#This Row],[Table Row]]))</f>
        <v>#N/A</v>
      </c>
      <c r="IC70" s="1" t="e">
        <f ca="1">"("&amp;TEXT(Table_Process_Details[[#This Row],['[Water (kg) per kg API'] of Unique Inputs Sorted by '[Water (kg) per kg API']]]/SUMIF(Table_Process_Details['[Water (kg) per kg API'] of Unique Inputs Sorted by '[Water (kg) per kg API']],"&lt;&gt;#N/A"),"0%")&amp;")"</f>
        <v>#N/A</v>
      </c>
      <c r="ID70" s="1" t="e">
        <f ca="1">INDEX(Table_Process_Details[Total '[Water (kg) per kg API'] of Unique Inputs (REAGENT)], MATCH(Table_Process_Details[[#This Row],[Unique Inputs Sorted by '[Water (kg) per kg API']]],Table_Process_Details[Unique Process Inputs],0))</f>
        <v>#N/A</v>
      </c>
      <c r="IE70" s="1" t="e">
        <f ca="1">INDEX(Table_Process_Details[Total '[Water (kg) per kg API'] of Unique Inputs (METAL)], MATCH(Table_Process_Details[[#This Row],[Unique Inputs Sorted by '[Water (kg) per kg API']]],Table_Process_Details[Unique Process Inputs],0))</f>
        <v>#N/A</v>
      </c>
      <c r="IF70" s="1" t="e">
        <f ca="1">INDEX(Table_Process_Details[Total '[Water (kg) per kg API'] of Unique Inputs (SOLVENT)], MATCH(Table_Process_Details[[#This Row],[Unique Inputs Sorted by '[Water (kg) per kg API']]],Table_Process_Details[Unique Process Inputs],0))</f>
        <v>#N/A</v>
      </c>
      <c r="IG70" s="1" t="e">
        <f ca="1">INDEX(Table_Process_Details[Total '[Water (kg) per kg API'] of Unique Inputs (WATER)], MATCH(Table_Process_Details[[#This Row],[Unique Inputs Sorted by '[Water (kg) per kg API']]],Table_Process_Details[Unique Process Inputs],0))</f>
        <v>#N/A</v>
      </c>
      <c r="IH70" s="1" t="e">
        <f ca="1">INDEX(Table_Process_Details[Total '[Water (kg) per kg API'] of Unique Inputs (ENZ&amp;PLNT)], MATCH(Table_Process_Details[[#This Row],[Unique Inputs Sorted by '[Water (kg) per kg API']]],Table_Process_Details[Unique Process Inputs],0))</f>
        <v>#N/A</v>
      </c>
      <c r="II70" s="1" t="e">
        <f ca="1">INDEX(Table_Process_Details[Total '[Water (kg) per kg API'] of Unique Inputs (OTHER)], MATCH(Table_Process_Details[[#This Row],[Unique Inputs Sorted by '[Water (kg) per kg API']]],Table_Process_Details[Unique Process Inputs],0))</f>
        <v>#N/A</v>
      </c>
    </row>
    <row r="71" spans="1:243" customFormat="1" x14ac:dyDescent="0.25">
      <c r="A71" s="22" t="str">
        <f>A70</f>
        <v>3) Synthesis of Intermediate (3)</v>
      </c>
      <c r="B71" s="21" t="s">
        <v>4</v>
      </c>
      <c r="C71" s="21" t="s">
        <v>6</v>
      </c>
      <c r="D71" s="22" t="s">
        <v>122</v>
      </c>
      <c r="E71" s="22" t="s">
        <v>820</v>
      </c>
      <c r="F71" s="26">
        <v>0.3</v>
      </c>
      <c r="G71" s="26"/>
      <c r="H71" s="26"/>
      <c r="I71" s="26"/>
      <c r="J71" s="26" t="str">
        <f>INDEX(Process_Steps[Reference],MATCH(Table_Process_Details[[#This Row],[Step Name]],Process_Steps[Name],0))</f>
        <v>Another Reference Document!</v>
      </c>
      <c r="K71" s="27" t="str">
        <f>INDEX(Process_Steps[Real or Virtual?],MATCH(Table_Process_Details[[#This Row],[Step Name]],Process_Steps[Name],0))</f>
        <v>Real</v>
      </c>
      <c r="L7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68-12-2</v>
      </c>
      <c r="M7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71" s="26">
        <f>INDEX(Table_Process_Details[Physical Mass (kg)],MATCH(1,INDEX(((Table_Process_Details[Step Name]=Table_Process_Details[[#This Row],[Step Name]])*(Table_Process_Details[Input or Output]="Output")),0),0))</f>
        <v>0.09</v>
      </c>
      <c r="O71" s="29">
        <f ca="1">INDEX(Process_Steps[Step Scale Factor for 1kg Packaged API],MATCH(Table_Process_Details[[#This Row],[Step Name]],Process_Steps[Name],0))</f>
        <v>11.011194714626619</v>
      </c>
      <c r="P7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13.666666666666666</v>
      </c>
      <c r="Q7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6.6666666666666661</v>
      </c>
      <c r="R71" s="26">
        <f ca="1">_xlfn.SWITCH(Run_Reset_PNG,"Reset",Table_Process_Details[[#This Row],[X Init]],"Run",Table_Process_Details[[#This Row],[X Moved]],"Freeze",Table_Process_Details[[#This Row],[X Mover]])</f>
        <v>19.289627143601709</v>
      </c>
      <c r="S71" s="26">
        <f ca="1">_xlfn.SWITCH(Run_Reset_PNG,"Reset",Table_Process_Details[[#This Row],[Y Init]],"Run",Table_Process_Details[[#This Row],[Y Moved]],"Freeze",Table_Process_Details[[#This Row],[Y Mover]])</f>
        <v>8.8042496952735227</v>
      </c>
      <c r="T71" s="26" cm="1">
        <f t="array" aca="1" ref="T7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7.2656376129953895</v>
      </c>
      <c r="U71" s="26" cm="1">
        <f t="array" aca="1" ref="U7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-2.7608693930688899</v>
      </c>
      <c r="V71" s="26" cm="1">
        <f t="array" aca="1" ref="V71" ca="1">SUM(--(SQRT((Table_Process_Details[[#This Row],[X Mover]]-Table_Process_Details[X Mover])^2+(Table_Process_Details[[#This Row],[Y Mover]]-Table_Process_Details[Y Mover])^2)&lt;Collision_Distance))</f>
        <v>17</v>
      </c>
      <c r="W71" s="26" cm="1">
        <f t="array" aca="1" ref="W7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-0.41376278134667444</v>
      </c>
      <c r="X71" s="26" cm="1">
        <f t="array" aca="1" ref="X7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0.1784159024482134</v>
      </c>
      <c r="Y71" s="26" cm="1">
        <f t="array" aca="1" ref="Y7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1" s="26">
        <f>0</f>
        <v>0</v>
      </c>
      <c r="AA71" s="26">
        <f>0</f>
        <v>0</v>
      </c>
      <c r="AB7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-9.6448135718008547</v>
      </c>
      <c r="AC71" s="26" cm="1">
        <f t="array" aca="1" ref="AC7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-4.4021248476367614</v>
      </c>
      <c r="AD71" s="26">
        <f>MIN(1,COUNTA(Table_Process_Details[[#This Row],[target x]]),COUNTA(Table_Process_Details[[#This Row],[target y]]))*COUNTA(Table_Process_Details[Step Name])</f>
        <v>98</v>
      </c>
      <c r="AE7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19.204838345059919</v>
      </c>
      <c r="AF7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8.7753418744740905</v>
      </c>
      <c r="AG7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1" s="26" cm="1">
        <f t="array" aca="1" ref="AH71" ca="1">INDEX(Table_Process_Details[X Mover],MATCH(1,INDEX((Table_Process_Details[Input or Output]="Output")*(Table_Process_Details[Step Name]=Table_Process_Details[[#This Row],[Step Name]])*(Table_Process_Details[[#This Row],[Input or Output]]="Input"),0),0))</f>
        <v>15.707298460481789</v>
      </c>
      <c r="AI71" s="26" cm="1">
        <f t="array" aca="1" ref="AI71" ca="1">INDEX(Table_Process_Details[Y Mover],MATCH(1,INDEX((Table_Process_Details[Input or Output]="Output")*(Table_Process_Details[Step Name]=Table_Process_Details[[#This Row],[Step Name]])*(Table_Process_Details[[#This Row],[Input or Output]]="Input"),0),0))</f>
        <v>10.348961867752488</v>
      </c>
      <c r="AJ71" s="26">
        <f ca="1">SQRT((Table_Process_Details[[#This Row],[X End (To Node Center)]]-Table_Process_Details[[#This Row],[X Guide]])^2+(Table_Process_Details[[#This Row],[Y End (to Node Center)]]-Table_Process_Details[[#This Row],[Y Guide]])^2)</f>
        <v>3.9011811659686333</v>
      </c>
      <c r="AK71" s="26" t="e" cm="1">
        <f t="array" ref="AK71">INDEX(Table_Process_Details[X Mover],MATCH(1,INDEX((Table_Process_Details[Step Name]=Table_Process_Details[[#This Row],[LCA Data Source Subclass]])*(Table_Process_Details[Input or Output]="Output"),0)*(Table_Process_Details[[#This Row],[Input or Output]]="Input"),0))</f>
        <v>#N/A</v>
      </c>
      <c r="AL71" s="26" cm="1">
        <f t="array" aca="1" ref="AL71" ca="1">INDEX(Table_Process_Details[X Mover],MATCH(1,INDEX(((Table_Process_Details[Table Row]=Table_Process_Details[[#This Row],[Table Row]])*(1)),0)*(Table_Process_Details[[#This Row],[Input or Output]]="Input"),0))</f>
        <v>19.289627143601709</v>
      </c>
      <c r="AM71" s="26" cm="1">
        <f t="array" aca="1" ref="AM71" ca="1">(Table_Process_Details[[#This Row],[X End (To Node Center)]]*Table_Process_Details[[#This Row],[r0]]-Table_Process_Details[[#This Row],[X End (To Node Center)]]*Arrow_Offset+Table_Process_Details[[#This Row],[X Guide]]*Arrow_Offset)/Table_Process_Details[[#This Row],[r0]]</f>
        <v>16.441912625928872</v>
      </c>
      <c r="AN71" s="26" t="e">
        <f>IF(NOT(Table_Process_Details[[#This Row],[Display As]]="None"),Table_Process_Details[[#This Row],[X Start Prefilter]],NA())</f>
        <v>#N/A</v>
      </c>
      <c r="AO71" s="26">
        <f ca="1">IF(NOT(Table_Process_Details[[#This Row],[Display As]]="None"),Table_Process_Details[[#This Row],[X Guide Prefilter]],NA())</f>
        <v>19.289627143601709</v>
      </c>
      <c r="AP71" s="26">
        <f ca="1">IF(NOT(Table_Process_Details[[#This Row],[Display As]]="None"),Table_Process_Details[[#This Row],[X End (to Stop Radius) Prefilter]],NA())</f>
        <v>16.441912625928872</v>
      </c>
      <c r="AQ71" s="26" t="e">
        <f>NA()</f>
        <v>#N/A</v>
      </c>
      <c r="AR71" s="26" t="e" cm="1">
        <f t="array" ref="AR71">INDEX(Table_Process_Details[Y Mover],MATCH(1,INDEX((Table_Process_Details[Step Name]=Table_Process_Details[[#This Row],[LCA Data Source Subclass]])*(Table_Process_Details[Input or Output]="Output"),0)*(Table_Process_Details[[#This Row],[Input or Output]]="Input"),0))</f>
        <v>#N/A</v>
      </c>
      <c r="AS71" s="26" cm="1">
        <f t="array" aca="1" ref="AS71" ca="1">INDEX(Table_Process_Details[Y Mover],MATCH(1,INDEX(((Table_Process_Details[Table Row]=Table_Process_Details[[#This Row],[Table Row]])*(1)),0)*(Table_Process_Details[[#This Row],[Input or Output]]="Input"),0))</f>
        <v>8.8042496952735227</v>
      </c>
      <c r="AT71" s="26" cm="1">
        <f t="array" aca="1" ref="AT71" ca="1">(Table_Process_Details[[#This Row],[Y Guide]]*Arrow_Offset-Table_Process_Details[[#This Row],[Y End (to Node Center)]]*Arrow_Offset+Table_Process_Details[[#This Row],[Y End (to Node Center)]]*Table_Process_Details[[#This Row],[r0]])/Table_Process_Details[[#This Row],[r0]]</f>
        <v>10.03219376973048</v>
      </c>
      <c r="AU71" s="26" t="e">
        <f>IF(NOT(Table_Process_Details[[#This Row],[Display As]]="None"),Table_Process_Details[[#This Row],[Y Start Prefilter]],NA())</f>
        <v>#N/A</v>
      </c>
      <c r="AV71" s="26">
        <f ca="1">IF(NOT(Table_Process_Details[[#This Row],[Display As]]="None"),Table_Process_Details[[#This Row],[Y Guide Prefilter]],NA())</f>
        <v>8.8042496952735227</v>
      </c>
      <c r="AW71" s="26">
        <f ca="1">IF(NOT(Table_Process_Details[[#This Row],[Display As]]="None"),Table_Process_Details[[#This Row],[Y End (to Stop Radius) Prefilter]],NA())</f>
        <v>10.03219376973048</v>
      </c>
      <c r="AX71" s="26" t="e">
        <f>NA()</f>
        <v>#N/A</v>
      </c>
      <c r="AY71" s="26" t="e">
        <f>IF(Table_Process_Details[[#This Row],[Display As]]="Real Step",Table_Process_Details[[#This Row],[X Mover]],NA())</f>
        <v>#N/A</v>
      </c>
      <c r="AZ71" s="26" t="e">
        <f>IF(Table_Process_Details[[#This Row],[Display As]]="Real Step",Table_Process_Details[[#This Row],[Y Mover]],NA())</f>
        <v>#N/A</v>
      </c>
      <c r="BA71" s="26">
        <f ca="1">IF(Table_Process_Details[[#This Row],[Display As]]="Raw Material",Table_Process_Details[[#This Row],[X Mover]],NA())</f>
        <v>19.289627143601709</v>
      </c>
      <c r="BB71" s="26">
        <f ca="1">IF(Table_Process_Details[[#This Row],[Display As]]="Raw Material",Table_Process_Details[[#This Row],[Y Mover]],NA())</f>
        <v>8.8042496952735227</v>
      </c>
      <c r="BC71" s="26">
        <f ca="1">IF(OR(Table_Process_Details[[#This Row],[Display As]]="Real Step",Table_Process_Details[[#This Row],[Display As]]="Raw Material"),Table_Process_Details[[#This Row],[X Mover]],NA())</f>
        <v>19.289627143601709</v>
      </c>
      <c r="BD71" s="26">
        <f ca="1">IF(OR(Table_Process_Details[[#This Row],[Display As]]="Real Step",Table_Process_Details[[#This Row],[Display As]]="Raw Material"),Table_Process_Details[[#This Row],[Y Mover]],NA())</f>
        <v>8.8042496952735227</v>
      </c>
      <c r="BE71" s="22">
        <f>ROW()-ROW(Table_Process_Details[[#Headers],[Table Row]])</f>
        <v>67</v>
      </c>
      <c r="BF71" s="23" t="e" cm="1">
        <f t="array" aca="1" ref="BF71" ca="1">INDEX(Table_Process_Details[Display Name],MATCH(0,IF(Table_Process_Details[Input or Output]="Input",INDEX(COUNTIF(OFFSET(Table_Process_Details[[#Headers],[Unique Process Inputs]],0,0,Table_Process_Details[[#This Row],[Table Row]],1),Table_Process_Details[Display Name]),),""),0))</f>
        <v>#N/A</v>
      </c>
      <c r="BG71" s="23">
        <f ca="1">Table_Process_Details[[#This Row],[Physical Mass (kg)]]*Table_Process_Details[[#This Row],[Step Scale Factor for 1kg Packaged API]]</f>
        <v>3.3033584143879855</v>
      </c>
      <c r="BH7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1" s="23">
        <f ca="1">MATCH(Table_Process_Details[[#This Row],[LCA Data Source Class]],INDIRECT(Table_Process_Details[[#This Row],[Input or Output]]),0)</f>
        <v>2</v>
      </c>
      <c r="BJ71" s="23">
        <f ca="1">MATCH(Table_Process_Details[[#This Row],[LCA Data Source Subclass]],INDIRECT(Table_Process_Details[[#This Row],[LCA Data Source Class]]&amp;"[Name]"),0)</f>
        <v>51</v>
      </c>
      <c r="BK71" s="23">
        <f ca="1">IFERROR(INDEX(INDIRECT(Table_Process_Details[[#This Row],[LCA Data Source Class]]&amp;"[Mass Net (kg)]"),MATCH(Table_Process_Details[[#This Row],[LCA Data Source Subclass]],INDIRECT(Table_Process_Details[[#This Row],[LCA Data Source Class]]&amp;"[Name]"),0)),0)</f>
        <v>1.6613169000000001</v>
      </c>
      <c r="BL71" s="23">
        <f ca="1">IFERROR(INDEX(INDIRECT(Table_Process_Details[[#This Row],[LCA Data Source Class]]&amp;"[Energy (MJ)]"),MATCH(Table_Process_Details[[#This Row],[LCA Data Source Subclass]],INDIRECT(Table_Process_Details[[#This Row],[LCA Data Source Class]]&amp;"[Name]"),0)),0)</f>
        <v>57.590679999999999</v>
      </c>
      <c r="BM71" s="23">
        <f ca="1">IFERROR(INDEX(INDIRECT(Table_Process_Details[[#This Row],[LCA Data Source Class]]&amp;"[GWP (kg CO2 equiv.)]"),MATCH(Table_Process_Details[[#This Row],[LCA Data Source Subclass]],INDIRECT(Table_Process_Details[[#This Row],[LCA Data Source Class]]&amp;"[Name]"),0)),0)</f>
        <v>1.8856040999999999</v>
      </c>
      <c r="BN71" s="23">
        <f ca="1">IFERROR(INDEX(INDIRECT(Table_Process_Details[[#This Row],[LCA Data Source Class]]&amp;"[Acidification (kg SO2 equiv.)]"),MATCH(Table_Process_Details[[#This Row],[LCA Data Source Subclass]],INDIRECT(Table_Process_Details[[#This Row],[LCA Data Source Class]]&amp;"[Name]"),0)),0)</f>
        <v>8.3330487999999994E-3</v>
      </c>
      <c r="BO71" s="23">
        <f ca="1">IFERROR(INDEX(INDIRECT(Table_Process_Details[[#This Row],[LCA Data Source Class]]&amp;"[Eutrophication (kg posphate equiv.)]"),MATCH(Table_Process_Details[[#This Row],[LCA Data Source Subclass]],INDIRECT(Table_Process_Details[[#This Row],[LCA Data Source Class]]&amp;"[Name]"),0)),0)</f>
        <v>8.8847363999999998E-2</v>
      </c>
      <c r="BP71" s="23">
        <f ca="1">IFERROR(INDEX(INDIRECT(Table_Process_Details[[#This Row],[LCA Data Source Class]]&amp;"[Water (kg)]"),MATCH(Table_Process_Details[[#This Row],[LCA Data Source Subclass]],INDIRECT(Table_Process_Details[[#This Row],[LCA Data Source Class]]&amp;"[Name]"),0)),0)</f>
        <v>9.6611399999999996</v>
      </c>
      <c r="BQ71" s="27">
        <f ca="1">(Table_Process_Details[[#This Row],[Input or Output]]="Input")*(Table_Process_Details[[#This Row],[LCA Data Source Class]]&lt;&gt;"Process_Steps")*Table_Process_Details[[#This Row],[Scaled Physical Mass per kg API for All Inputs &amp; Outputs]]</f>
        <v>3.3033584143879855</v>
      </c>
      <c r="BR71" s="27">
        <f ca="1">(Table_Process_Details[[#This Row],[Material Class]]="REAGENT")*Table_Process_Details[[#This Row],[Physical Mass per kg API]]</f>
        <v>0</v>
      </c>
      <c r="BS71" s="27">
        <f ca="1">(Table_Process_Details[[#This Row],[Material Class]]="METAL")*Table_Process_Details[[#This Row],[Physical Mass per kg API]]</f>
        <v>0</v>
      </c>
      <c r="BT71" s="27">
        <f ca="1">(Table_Process_Details[[#This Row],[Material Class]]="SOLVENT")*Table_Process_Details[[#This Row],[Physical Mass per kg API]]</f>
        <v>3.3033584143879855</v>
      </c>
      <c r="BU71" s="27">
        <f ca="1">(Table_Process_Details[[#This Row],[Material Class]]="WATER")*Table_Process_Details[[#This Row],[Physical Mass per kg API]]</f>
        <v>0</v>
      </c>
      <c r="BV71" s="27">
        <f ca="1">(Table_Process_Details[[#This Row],[Material Class]]="ENZ&amp;PLNT")*Table_Process_Details[[#This Row],[Physical Mass per kg API]]</f>
        <v>0</v>
      </c>
      <c r="BW71" s="27">
        <f ca="1">(Table_Process_Details[[#This Row],[Material Class]]="OTHER")*Table_Process_Details[[#This Row],[Physical Mass per kg API]]</f>
        <v>0</v>
      </c>
      <c r="BX7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3.3033584143879855</v>
      </c>
      <c r="BY7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3.3033584143879855</v>
      </c>
      <c r="CB7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1" s="1">
        <f ca="1">SUMIFS(Table_Process_Details[RV Physical Mass per kg API],Table_Process_Details[Display Name],Table_Process_Details[[#This Row],[Unique Process Inputs]],Table_Process_Details[Input or Output],"Input")</f>
        <v>0</v>
      </c>
      <c r="CF71" s="1">
        <f ca="1">SUMIFS(Table_Process_Details[RV Physical Mass per kg API (REAGENT)],Table_Process_Details[Display Name],Table_Process_Details[[#This Row],[Unique Process Inputs]],Table_Process_Details[Input or Output],"Input")</f>
        <v>0</v>
      </c>
      <c r="CG71" s="1">
        <f ca="1">SUMIFS(Table_Process_Details[RV Physical Mass per kg API (METAL)],Table_Process_Details[Display Name],Table_Process_Details[[#This Row],[Unique Process Inputs]],Table_Process_Details[Input or Output],"Input")</f>
        <v>0</v>
      </c>
      <c r="CH71" s="1">
        <f ca="1">SUMIFS(Table_Process_Details[RV Physical Mass per kg API (SOLVENT)],Table_Process_Details[Display Name],Table_Process_Details[[#This Row],[Unique Process Inputs]],Table_Process_Details[Input or Output],"Input")</f>
        <v>0</v>
      </c>
      <c r="CI71" s="1">
        <f ca="1">SUMIFS(Table_Process_Details[RV Physical Mass per kg API (WATER)],Table_Process_Details[Display Name],Table_Process_Details[[#This Row],[Unique Process Inputs]],Table_Process_Details[Input or Output],"Input")</f>
        <v>0</v>
      </c>
      <c r="CJ71" s="1">
        <f ca="1">SUMIFS(Table_Process_Details[RV Physical Mass per kg API (ENZ&amp;PLNT)],Table_Process_Details[Display Name],Table_Process_Details[[#This Row],[Unique Process Inputs]],Table_Process_Details[Input or Output],"Input")</f>
        <v>0</v>
      </c>
      <c r="CK71" s="1">
        <f ca="1">SUMIFS(Table_Process_Details[RV Physical Mass per kg API (OTHER)],Table_Process_Details[Display Name],Table_Process_Details[[#This Row],[Unique Process Inputs]],Table_Process_Details[Input or Output],"Input")</f>
        <v>0</v>
      </c>
      <c r="CL71" s="22" t="e">
        <f ca="1">INDEX(Table_Process_Details[Unique Process Inputs],MATCH(Table_Process_Details[[#This Row],['[Physical Mass per kg API'] of Unique Inputs Sorted by '[Physical Mass per kg API']]],Table_Process_Details[Total '[Physical Mass per kg API'] of Unique Inputs],0))</f>
        <v>#N/A</v>
      </c>
      <c r="CM71" s="22" t="e">
        <f ca="1">IF(LARGE(Table_Process_Details[Total '[Physical Mass per kg API'] of Unique Inputs],Table_Process_Details[[#This Row],[Table Row]])=0,NA(),LARGE(Table_Process_Details[Total '[Physical Mass per kg API'] of Unique Inputs],Table_Process_Details[[#This Row],[Table Row]]))</f>
        <v>#N/A</v>
      </c>
      <c r="CN71" s="22" t="e">
        <f ca="1">SUM(OFFSET(Table_Process_Details['[Physical Mass per kg API'] of Unique Inputs Sorted by '[Physical Mass per kg API']],0,0,Table_Process_Details[[#This Row],[Table Row]]))</f>
        <v>#N/A</v>
      </c>
      <c r="CO71" s="22" t="e">
        <f ca="1">"("&amp;TEXT(Table_Process_Details[[#This Row],['[Physical Mass per kg API'] of Unique Inputs Sorted by '[Physical Mass per kg API']]]/SUMIF(Table_Process_Details['[Physical Mass per kg API'] of Unique Inputs Sorted by '[Physical Mass per kg API']],"&lt;&gt;#N/A"),"0%")&amp;")"</f>
        <v>#N/A</v>
      </c>
      <c r="CP71" s="22" t="e">
        <f ca="1">INDEX(Table_Process_Details[Total '[Physical Mass per kg API'] of Unique Inputs (REAGENT)],MATCH(Table_Process_Details[[#This Row],[Unique Inputs Sorted by '[Physical Mass per kg API']]],Table_Process_Details[Unique Process Inputs],0))</f>
        <v>#N/A</v>
      </c>
      <c r="CQ71" s="22" t="e">
        <f ca="1">INDEX(Table_Process_Details[Total '[Physical Mass per kg API'] of Unique Inputs (METAL)],MATCH(Table_Process_Details[[#This Row],[Unique Inputs Sorted by '[Physical Mass per kg API']]],Table_Process_Details[Unique Process Inputs],0))</f>
        <v>#N/A</v>
      </c>
      <c r="CR71" s="22" t="e">
        <f ca="1">INDEX(Table_Process_Details[Total '[Physical Mass per kg API'] of Unique Inputs (SOLVENT)],MATCH(Table_Process_Details[[#This Row],[Unique Inputs Sorted by '[Physical Mass per kg API']]],Table_Process_Details[Unique Process Inputs],0))</f>
        <v>#N/A</v>
      </c>
      <c r="CS71" s="22" t="e">
        <f ca="1">INDEX(Table_Process_Details[Total '[Physical Mass per kg API'] of Unique Inputs (WATER)],MATCH(Table_Process_Details[[#This Row],[Unique Inputs Sorted by '[Physical Mass per kg API']]],Table_Process_Details[Unique Process Inputs],0))</f>
        <v>#N/A</v>
      </c>
      <c r="CT71" s="22" t="e">
        <f ca="1">INDEX(Table_Process_Details[Total '[Physical Mass per kg API'] of Unique Inputs (ENZ&amp;PLNT)],MATCH(Table_Process_Details[[#This Row],[Unique Inputs Sorted by '[Physical Mass per kg API']]],Table_Process_Details[Unique Process Inputs],0))</f>
        <v>#N/A</v>
      </c>
      <c r="CU71" s="22" t="e">
        <f ca="1">INDEX(Table_Process_Details[Total '[Physical Mass per kg API'] of Unique Inputs (OTHER)],MATCH(Table_Process_Details[[#This Row],[Unique Inputs Sorted by '[Physical Mass per kg API']]],Table_Process_Details[Unique Process Inputs],0))</f>
        <v>#N/A</v>
      </c>
      <c r="CV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5.4879251605799642</v>
      </c>
      <c r="CW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5.4879251605799642</v>
      </c>
      <c r="CZ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1" s="22">
        <f ca="1">SUMIFS(Table_Process_Details[RV Mass Net (kg) per kg API],Table_Process_Details[Display Name],Table_Process_Details[[#This Row],[Unique Process Inputs]],Table_Process_Details[Input or Output],"Input")</f>
        <v>0</v>
      </c>
      <c r="DD71" s="22">
        <f ca="1">SUMIFS(Table_Process_Details[RV Mass Net (kg) per kg API (REAGENT)],Table_Process_Details[Display Name],Table_Process_Details[[#This Row],[Unique Process Inputs]],Table_Process_Details[Input or Output],"Input")</f>
        <v>0</v>
      </c>
      <c r="DE71" s="22">
        <f ca="1">SUMIFS(Table_Process_Details[RV Mass Net (kg) per kg API (METAL)],Table_Process_Details[Display Name],Table_Process_Details[[#This Row],[Unique Process Inputs]],Table_Process_Details[Input or Output],"Input")</f>
        <v>0</v>
      </c>
      <c r="DF71" s="22">
        <f ca="1">SUMIFS(Table_Process_Details[RV Mass Net (kg) per kg API (SOLVENT)],Table_Process_Details[Display Name],Table_Process_Details[[#This Row],[Unique Process Inputs]],Table_Process_Details[Input or Output],"Input")</f>
        <v>0</v>
      </c>
      <c r="DG71" s="22">
        <f ca="1">SUMIFS(Table_Process_Details[RV Mass Net (kg) per kg API (WATER)],Table_Process_Details[Display Name],Table_Process_Details[[#This Row],[Unique Process Inputs]],Table_Process_Details[Input or Output],"Input")</f>
        <v>0</v>
      </c>
      <c r="DH71" s="22">
        <f ca="1">SUMIFS(Table_Process_Details[RV Mass Net (kg) per kg API (ENZ&amp;PLNT)],Table_Process_Details[Display Name],Table_Process_Details[[#This Row],[Unique Process Inputs]],Table_Process_Details[Input or Output],"Input")</f>
        <v>0</v>
      </c>
      <c r="DI71" s="22">
        <f ca="1">SUMIFS(Table_Process_Details[RV Mass Net (kg) per kg API (OTHER)],Table_Process_Details[Display Name],Table_Process_Details[[#This Row],[Unique Process Inputs]],Table_Process_Details[Input or Output],"Input")</f>
        <v>0</v>
      </c>
      <c r="DJ71" s="22" t="e">
        <f ca="1">INDEX(Table_Process_Details[Unique Process Inputs],MATCH(Table_Process_Details[[#This Row],['[Mass Net (kg) per kg API'] of Unique Inputs Sorted by '[Mass Net (kg) per kg API']]],Table_Process_Details[Total '[Mass Net (kg) per kg API'] of Unique Inputs],0))</f>
        <v>#N/A</v>
      </c>
      <c r="DK71" s="22" t="e">
        <f ca="1">IF(LARGE(Table_Process_Details[Total '[Mass Net (kg) per kg API'] of Unique Inputs],Table_Process_Details[[#This Row],[Table Row]])=0,NA(),LARGE(Table_Process_Details[Total '[Mass Net (kg) per kg API'] of Unique Inputs],Table_Process_Details[[#This Row],[Table Row]]))</f>
        <v>#N/A</v>
      </c>
      <c r="DL71" s="22" t="e">
        <f ca="1">SUM(OFFSET(Table_Process_Details['[Mass Net (kg) per kg API'] of Unique Inputs Sorted by '[Mass Net (kg) per kg API']],0,0,Table_Process_Details[[#This Row],[Table Row]]))</f>
        <v>#N/A</v>
      </c>
      <c r="DM71" s="22" t="e">
        <f ca="1">"("&amp;TEXT(Table_Process_Details[[#This Row],['[Mass Net (kg) per kg API'] of Unique Inputs Sorted by '[Mass Net (kg) per kg API']]]/SUMIF(Table_Process_Details['[Mass Net (kg) per kg API'] of Unique Inputs Sorted by '[Mass Net (kg) per kg API']],"&lt;&gt;#N/A"),"0%")&amp;")"</f>
        <v>#N/A</v>
      </c>
      <c r="DN71" s="22" t="e">
        <f ca="1">INDEX(Table_Process_Details[Total '[Mass Net (kg) per kg API'] of Unique Inputs (REAGENT)], MATCH(Table_Process_Details[[#This Row],[Unique Inputs Sorted by '[Mass Net (kg) per kg API']]],Table_Process_Details[Unique Process Inputs],0))</f>
        <v>#N/A</v>
      </c>
      <c r="DO71" s="22" t="e">
        <f ca="1">INDEX(Table_Process_Details[Total '[Mass Net (kg) per kg API'] of Unique Inputs (METAL)], MATCH(Table_Process_Details[[#This Row],[Unique Inputs Sorted by '[Mass Net (kg) per kg API']]],Table_Process_Details[Unique Process Inputs],0))</f>
        <v>#N/A</v>
      </c>
      <c r="DP71" s="22" t="e">
        <f ca="1">INDEX(Table_Process_Details[Total '[Mass Net (kg) per kg API'] of Unique Inputs (SOLVENT)], MATCH(Table_Process_Details[[#This Row],[Unique Inputs Sorted by '[Mass Net (kg) per kg API']]],Table_Process_Details[Unique Process Inputs],0))</f>
        <v>#N/A</v>
      </c>
      <c r="DQ71" s="22" t="e">
        <f ca="1">INDEX(Table_Process_Details[Total '[Mass Net (kg) per kg API'] of Unique Inputs (WATER)], MATCH(Table_Process_Details[[#This Row],[Unique Inputs Sorted by '[Mass Net (kg) per kg API']]],Table_Process_Details[Unique Process Inputs],0))</f>
        <v>#N/A</v>
      </c>
      <c r="DR71" s="22" t="e">
        <f ca="1">INDEX(Table_Process_Details[Total '[Mass Net (kg) per kg API'] of Unique Inputs (ENZ&amp;PLNT)], MATCH(Table_Process_Details[[#This Row],[Unique Inputs Sorted by '[Mass Net (kg) per kg API']]],Table_Process_Details[Unique Process Inputs],0))</f>
        <v>#N/A</v>
      </c>
      <c r="DS71" s="22" t="e">
        <f ca="1">INDEX(Table_Process_Details[Total '[Mass Net (kg) per kg API'] of Unique Inputs (OTHER)], MATCH(Table_Process_Details[[#This Row],[Unique Inputs Sorted by '[Mass Net (kg) per kg API']]],Table_Process_Details[Unique Process Inputs],0))</f>
        <v>#N/A</v>
      </c>
      <c r="DT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190.24265736832587</v>
      </c>
      <c r="DU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190.24265736832587</v>
      </c>
      <c r="DX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1" s="1">
        <f ca="1">SUMIFS(Table_Process_Details[RV Energy (MJ) per kg API],Table_Process_Details[Display Name],Table_Process_Details[[#This Row],[Unique Process Inputs]],Table_Process_Details[Input or Output],"Input")</f>
        <v>0</v>
      </c>
      <c r="EB71" s="1">
        <f ca="1">SUMIFS(Table_Process_Details[RV Energy (MJ) per kg API (REAGENT)],Table_Process_Details[Display Name],Table_Process_Details[[#This Row],[Unique Process Inputs]],Table_Process_Details[Input or Output],"Input")</f>
        <v>0</v>
      </c>
      <c r="EC71" s="1">
        <f ca="1">SUMIFS(Table_Process_Details[RV Energy (MJ) per kg API (METAL)],Table_Process_Details[Display Name],Table_Process_Details[[#This Row],[Unique Process Inputs]],Table_Process_Details[Input or Output],"Input")</f>
        <v>0</v>
      </c>
      <c r="ED71" s="1">
        <f ca="1">SUMIFS(Table_Process_Details[RV Energy (MJ) per kg API (SOLVENT)],Table_Process_Details[Display Name],Table_Process_Details[[#This Row],[Unique Process Inputs]],Table_Process_Details[Input or Output],"Input")</f>
        <v>0</v>
      </c>
      <c r="EE71" s="1">
        <f ca="1">SUMIFS(Table_Process_Details[RV Energy (MJ) per kg API (WATER)],Table_Process_Details[Display Name],Table_Process_Details[[#This Row],[Unique Process Inputs]],Table_Process_Details[Input or Output],"Input")</f>
        <v>0</v>
      </c>
      <c r="EF71" s="1">
        <f ca="1">SUMIFS(Table_Process_Details[RV Energy (MJ) per kg API (ENZ&amp;PLNT)],Table_Process_Details[Display Name],Table_Process_Details[[#This Row],[Unique Process Inputs]],Table_Process_Details[Input or Output],"Input")</f>
        <v>0</v>
      </c>
      <c r="EG71" s="1">
        <f ca="1">SUMIFS(Table_Process_Details[RV Energy (MJ) per kg API (OTHER)],Table_Process_Details[Display Name],Table_Process_Details[[#This Row],[Unique Process Inputs]],Table_Process_Details[Input or Output],"Input")</f>
        <v>0</v>
      </c>
      <c r="EH71" s="1" t="e">
        <f ca="1">INDEX(Table_Process_Details[Unique Process Inputs],MATCH(Table_Process_Details[[#This Row],['[Energy (MJ) per kg API'] of Unique Inputs Sorted by '[Energy (MJ) per kg API']]],Table_Process_Details[Total '[Energy (MJ) per kg API'] of Unique Inputs],0))</f>
        <v>#N/A</v>
      </c>
      <c r="EI71" s="22" t="e">
        <f ca="1">IF(LARGE(Table_Process_Details[Total '[Energy (MJ) per kg API'] of Unique Inputs],Table_Process_Details[[#This Row],[Table Row]])=0,NA(),LARGE(Table_Process_Details[Total '[Energy (MJ) per kg API'] of Unique Inputs],Table_Process_Details[[#This Row],[Table Row]]))</f>
        <v>#N/A</v>
      </c>
      <c r="EJ71" s="22" t="e">
        <f ca="1">SUM(OFFSET(Table_Process_Details['[Energy (MJ) per kg API'] of Unique Inputs Sorted by '[Energy (MJ) per kg API']],0,0,Table_Process_Details[[#This Row],[Table Row]]))</f>
        <v>#N/A</v>
      </c>
      <c r="EK71" s="22" t="e">
        <f ca="1">"("&amp;TEXT(Table_Process_Details[[#This Row],['[Energy (MJ) per kg API'] of Unique Inputs Sorted by '[Energy (MJ) per kg API']]]/SUMIF(Table_Process_Details['[Energy (MJ) per kg API'] of Unique Inputs Sorted by '[Energy (MJ) per kg API']],"&lt;&gt;#N/A"),"0%")&amp;")"</f>
        <v>#N/A</v>
      </c>
      <c r="EL71" s="22" t="e">
        <f ca="1">INDEX(Table_Process_Details[Total '[Energy (MJ) per kg API'] of Unique Inputs (REAGENT)], MATCH(Table_Process_Details[[#This Row],[Unique Inputs Sorted by '[Energy (MJ) per kg API']]],Table_Process_Details[Unique Process Inputs],0))</f>
        <v>#N/A</v>
      </c>
      <c r="EM71" s="22" t="e">
        <f ca="1">INDEX(Table_Process_Details[Total '[Energy (MJ) per kg API'] of Unique Inputs (METAL)], MATCH(Table_Process_Details[[#This Row],[Unique Inputs Sorted by '[Energy (MJ) per kg API']]],Table_Process_Details[Unique Process Inputs],0))</f>
        <v>#N/A</v>
      </c>
      <c r="EN71" s="22" t="e">
        <f ca="1">INDEX(Table_Process_Details[Total '[Energy (MJ) per kg API'] of Unique Inputs (SOLVENT)], MATCH(Table_Process_Details[[#This Row],[Unique Inputs Sorted by '[Energy (MJ) per kg API']]],Table_Process_Details[Unique Process Inputs],0))</f>
        <v>#N/A</v>
      </c>
      <c r="EO71" s="22" t="e">
        <f ca="1">INDEX(Table_Process_Details[Total '[Energy (MJ) per kg API'] of Unique Inputs (WATER)], MATCH(Table_Process_Details[[#This Row],[Unique Inputs Sorted by '[Energy (MJ) per kg API']]],Table_Process_Details[Unique Process Inputs],0))</f>
        <v>#N/A</v>
      </c>
      <c r="EP71" s="22" t="e">
        <f ca="1">INDEX(Table_Process_Details[Total '[Energy (MJ) per kg API'] of Unique Inputs (ENZ&amp;PLNT)], MATCH(Table_Process_Details[[#This Row],[Unique Inputs Sorted by '[Energy (MJ) per kg API']]],Table_Process_Details[Unique Process Inputs],0))</f>
        <v>#N/A</v>
      </c>
      <c r="EQ71" s="22" t="e">
        <f ca="1">INDEX(Table_Process_Details[Total '[Energy (MJ) per kg API'] of Unique Inputs (OTHER)], MATCH(Table_Process_Details[[#This Row],[Unique Inputs Sorted by '[Energy (MJ) per kg API']]],Table_Process_Details[Unique Process Inputs],0))</f>
        <v>#N/A</v>
      </c>
      <c r="ER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6.2288261699394845</v>
      </c>
      <c r="ES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6.2288261699394845</v>
      </c>
      <c r="EV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1" s="22">
        <f ca="1">SUMIFS(Table_Process_Details[RV GWP (kg CO2 equiv.) per kg API],Table_Process_Details[Display Name],Table_Process_Details[[#This Row],[Unique Process Inputs]],Table_Process_Details[Input or Output],"Input")</f>
        <v>0</v>
      </c>
      <c r="EZ71" s="1">
        <f ca="1">SUMIFS(Table_Process_Details[RV GWP (kg CO2 equiv.) per kg API (REAGENT)],Table_Process_Details[Display Name],Table_Process_Details[[#This Row],[Unique Process Inputs]],Table_Process_Details[Input or Output],"Input")</f>
        <v>0</v>
      </c>
      <c r="FA71" s="1">
        <f ca="1">SUMIFS(Table_Process_Details[RV GWP (kg CO2 equiv.) per kg API (METAL)],Table_Process_Details[Display Name],Table_Process_Details[[#This Row],[Unique Process Inputs]],Table_Process_Details[Input or Output],"Input")</f>
        <v>0</v>
      </c>
      <c r="FB71" s="1">
        <f ca="1">SUMIFS(Table_Process_Details[RV GWP (kg CO2 equiv.) per kg API (SOLVENT)],Table_Process_Details[Display Name],Table_Process_Details[[#This Row],[Unique Process Inputs]],Table_Process_Details[Input or Output],"Input")</f>
        <v>0</v>
      </c>
      <c r="FC71" s="1">
        <f ca="1">SUMIFS(Table_Process_Details[RV GWP (kg CO2 equiv.) per kg API (WATER)],Table_Process_Details[Display Name],Table_Process_Details[[#This Row],[Unique Process Inputs]],Table_Process_Details[Input or Output],"Input")</f>
        <v>0</v>
      </c>
      <c r="FD71" s="1">
        <f ca="1">SUMIFS(Table_Process_Details[RV GWP (kg CO2 equiv.) per kg API (ENZ&amp;PLNT)],Table_Process_Details[Display Name],Table_Process_Details[[#This Row],[Unique Process Inputs]],Table_Process_Details[Input or Output],"Input")</f>
        <v>0</v>
      </c>
      <c r="FE71" s="1">
        <f ca="1">SUMIFS(Table_Process_Details[RV GWP (kg CO2 equiv.) per kg API (OTHER)],Table_Process_Details[Display Name],Table_Process_Details[[#This Row],[Unique Process Inputs]],Table_Process_Details[Input or Output],"Input")</f>
        <v>0</v>
      </c>
      <c r="FF71" s="22" t="e">
        <f ca="1">INDEX(Table_Process_Details[Unique Process Inputs],MATCH(Table_Process_Details[[#This Row],['[GWP (kg CO2 equiv.) per kg API'] of Unique Inputs Sorted by '[GWP (kg CO2 equiv.) per kg API']]],Table_Process_Details[Total '[GWP (kg CO2 equiv.) per kg API'] of Unique Inputs],0))</f>
        <v>#N/A</v>
      </c>
      <c r="FG71" s="22" t="e">
        <f ca="1">IF(LARGE(Table_Process_Details[Total '[GWP (kg CO2 equiv.) per kg API'] of Unique Inputs],Table_Process_Details[[#This Row],[Table Row]])=0,NA(),LARGE(Table_Process_Details[Total '[GWP (kg CO2 equiv.) per kg API'] of Unique Inputs],Table_Process_Details[[#This Row],[Table Row]]))</f>
        <v>#N/A</v>
      </c>
      <c r="FH71" s="22" t="e">
        <f ca="1">SUM(OFFSET(Table_Process_Details['[GWP (kg CO2 equiv.) per kg API'] of Unique Inputs Sorted by '[GWP (kg CO2 equiv.) per kg API']],0,0,Table_Process_Details[[#This Row],[Table Row]]))</f>
        <v>#N/A</v>
      </c>
      <c r="FI71" s="22" t="e">
        <f ca="1">"("&amp;TEXT(Table_Process_Details[[#This Row],['[GWP (kg CO2 equiv.) per kg API'] of Unique Inputs Sorted by '[GWP (kg CO2 equiv.) per kg API']]]/SUMIF(Table_Process_Details['[GWP (kg CO2 equiv.) per kg API'] of Unique Inputs Sorted by '[GWP (kg CO2 equiv.) per kg API']],"&lt;&gt;#N/A"),"0%")&amp;")"</f>
        <v>#N/A</v>
      </c>
      <c r="FJ71" s="22" t="e">
        <f ca="1">INDEX(Table_Process_Details[Total '[GWP (kg CO2 equiv.) per kg API'] of Unique Inputs (REAGENT)], MATCH(Table_Process_Details[[#This Row],[Unique Inputs Sorted by '[GWP (kg CO2 equiv.) per kg API']]],Table_Process_Details[Unique Process Inputs],0))</f>
        <v>#N/A</v>
      </c>
      <c r="FK71" s="22" t="e">
        <f ca="1">INDEX(Table_Process_Details[Total '[GWP (kg CO2 equiv.) per kg API'] of Unique Inputs (METAL)], MATCH(Table_Process_Details[[#This Row],[Unique Inputs Sorted by '[GWP (kg CO2 equiv.) per kg API']]],Table_Process_Details[Unique Process Inputs],0))</f>
        <v>#N/A</v>
      </c>
      <c r="FL71" s="22" t="e">
        <f ca="1">INDEX(Table_Process_Details[Total '[GWP (kg CO2 equiv.) per kg API'] of Unique Inputs (SOLVENT)], MATCH(Table_Process_Details[[#This Row],[Unique Inputs Sorted by '[GWP (kg CO2 equiv.) per kg API']]],Table_Process_Details[Unique Process Inputs],0))</f>
        <v>#N/A</v>
      </c>
      <c r="FM71" s="22" t="e">
        <f ca="1">INDEX(Table_Process_Details[Total '[GWP (kg CO2 equiv.) per kg API'] of Unique Inputs (WATER)], MATCH(Table_Process_Details[[#This Row],[Unique Inputs Sorted by '[GWP (kg CO2 equiv.) per kg API']]],Table_Process_Details[Unique Process Inputs],0))</f>
        <v>#N/A</v>
      </c>
      <c r="FN71" s="22" t="e">
        <f ca="1">INDEX(Table_Process_Details[Total '[GWP (kg CO2 equiv.) per kg API'] of Unique Inputs (ENZ&amp;PLNT)], MATCH(Table_Process_Details[[#This Row],[Unique Inputs Sorted by '[GWP (kg CO2 equiv.) per kg API']]],Table_Process_Details[Unique Process Inputs],0))</f>
        <v>#N/A</v>
      </c>
      <c r="FO71" s="22" t="e">
        <f ca="1">INDEX(Table_Process_Details[Total '[GWP (kg CO2 equiv.) per kg API'] of Unique Inputs (OTHER)], MATCH(Table_Process_Details[[#This Row],[Unique Inputs Sorted by '[GWP (kg CO2 equiv.) per kg API']]],Table_Process_Details[Unique Process Inputs],0))</f>
        <v>#N/A</v>
      </c>
      <c r="FP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2.7527046870985703E-2</v>
      </c>
      <c r="FQ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2.7527046870985703E-2</v>
      </c>
      <c r="FT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1" s="22">
        <f ca="1">SUMIFS(Table_Process_Details[RV Acidification (kg SO2 equiv.) per kg API],Table_Process_Details[Display Name],Table_Process_Details[[#This Row],[Unique Process Inputs]],Table_Process_Details[Input or Output],"Input")</f>
        <v>0</v>
      </c>
      <c r="FX71" s="1">
        <f ca="1">SUMIFS(Table_Process_Details[RV Acidification (kg SO2 equiv.) per kg API (REAGENT)],Table_Process_Details[Display Name],Table_Process_Details[[#This Row],[Unique Process Inputs]],Table_Process_Details[Input or Output],"Input")</f>
        <v>0</v>
      </c>
      <c r="FY71" s="1">
        <f ca="1">SUMIFS(Table_Process_Details[RV Acidification (kg SO2 equiv.) per kg API (METAL)],Table_Process_Details[Display Name],Table_Process_Details[[#This Row],[Unique Process Inputs]],Table_Process_Details[Input or Output],"Input")</f>
        <v>0</v>
      </c>
      <c r="FZ71" s="1">
        <f ca="1">SUMIFS(Table_Process_Details[RV Acidification (kg SO2 equiv.) per kg API (SOLVENT)],Table_Process_Details[Display Name],Table_Process_Details[[#This Row],[Unique Process Inputs]],Table_Process_Details[Input or Output],"Input")</f>
        <v>0</v>
      </c>
      <c r="GA71" s="1">
        <f ca="1">SUMIFS(Table_Process_Details[RV Acidification (kg SO2 equiv.) per kg API (WATER)],Table_Process_Details[Display Name],Table_Process_Details[[#This Row],[Unique Process Inputs]],Table_Process_Details[Input or Output],"Input")</f>
        <v>0</v>
      </c>
      <c r="GB71" s="1">
        <f ca="1">SUMIFS(Table_Process_Details[RV Acidification (kg SO2 equiv.) per kg API (ENZ&amp;PLNT)],Table_Process_Details[Display Name],Table_Process_Details[[#This Row],[Unique Process Inputs]],Table_Process_Details[Input or Output],"Input")</f>
        <v>0</v>
      </c>
      <c r="GC71" s="1">
        <f ca="1">SUMIFS(Table_Process_Details[RV Acidification (kg SO2 equiv.) per kg API (OTHER)],Table_Process_Details[Display Name],Table_Process_Details[[#This Row],[Unique Process Inputs]],Table_Process_Details[Input or Output],"Input")</f>
        <v>0</v>
      </c>
      <c r="GD71"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1"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1" s="22" t="e">
        <f ca="1">SUM(OFFSET(Table_Process_Details['[Acidification (kg SO2 equiv.) per kg API'] of Unique Inputs Sorted by '[Acidification (kg SO2 equiv.) per kg API']],0,0,Table_Process_Details[[#This Row],[Table Row]]))</f>
        <v>#N/A</v>
      </c>
      <c r="GG71"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1" s="22" t="e">
        <f ca="1">INDEX(Table_Process_Details[Total '[Acidification (kg SO2 equiv.) per kg API'] of Unique Inputs (REAGENT)], MATCH(Table_Process_Details[[#This Row],[Unique Inputs Sorted by '[Acidification (kg SO2 equiv.) per kg API']]],Table_Process_Details[Unique Process Inputs],0))</f>
        <v>#N/A</v>
      </c>
      <c r="GI71" s="22" t="e">
        <f ca="1">INDEX(Table_Process_Details[Total '[Acidification (kg SO2 equiv.) per kg API'] of Unique Inputs (METAL)], MATCH(Table_Process_Details[[#This Row],[Unique Inputs Sorted by '[Acidification (kg SO2 equiv.) per kg API']]],Table_Process_Details[Unique Process Inputs],0))</f>
        <v>#N/A</v>
      </c>
      <c r="GJ71" s="22" t="e">
        <f ca="1">INDEX(Table_Process_Details[Total '[Acidification (kg SO2 equiv.) per kg API'] of Unique Inputs (SOLVENT)], MATCH(Table_Process_Details[[#This Row],[Unique Inputs Sorted by '[Acidification (kg SO2 equiv.) per kg API']]],Table_Process_Details[Unique Process Inputs],0))</f>
        <v>#N/A</v>
      </c>
      <c r="GK71" s="22" t="e">
        <f ca="1">INDEX(Table_Process_Details[Total '[Acidification (kg SO2 equiv.) per kg API'] of Unique Inputs (WATER)], MATCH(Table_Process_Details[[#This Row],[Unique Inputs Sorted by '[Acidification (kg SO2 equiv.) per kg API']]],Table_Process_Details[Unique Process Inputs],0))</f>
        <v>#N/A</v>
      </c>
      <c r="GL71" s="22" t="e">
        <f ca="1">INDEX(Table_Process_Details[Total '[Acidification (kg SO2 equiv.) per kg API'] of Unique Inputs (ENZ&amp;PLNT)], MATCH(Table_Process_Details[[#This Row],[Unique Inputs Sorted by '[Acidification (kg SO2 equiv.) per kg API']]],Table_Process_Details[Unique Process Inputs],0))</f>
        <v>#N/A</v>
      </c>
      <c r="GM71" s="22" t="e">
        <f ca="1">INDEX(Table_Process_Details[Total '[Acidification (kg SO2 equiv.) per kg API'] of Unique Inputs (OTHER)], MATCH(Table_Process_Details[[#This Row],[Unique Inputs Sorted by '[Acidification (kg SO2 equiv.) per kg API']]],Table_Process_Details[Unique Process Inputs],0))</f>
        <v>#N/A</v>
      </c>
      <c r="GN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0.29349468746559215</v>
      </c>
      <c r="GO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0.29349468746559215</v>
      </c>
      <c r="GR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1" s="22">
        <f ca="1">SUMIFS(Table_Process_Details[RV Eutrophication (kg phosphate equiv.) per kg API],Table_Process_Details[Display Name],Table_Process_Details[[#This Row],[Unique Process Inputs]],Table_Process_Details[Input or Output],"Input")</f>
        <v>0</v>
      </c>
      <c r="GV71" s="1">
        <f ca="1">SUMIFS(Table_Process_Details[RV Eutrophication (kg phosphate equiv.) per kg API (REAGENT)],Table_Process_Details[Display Name],Table_Process_Details[[#This Row],[Unique Process Inputs]],Table_Process_Details[Input or Output],"Input")</f>
        <v>0</v>
      </c>
      <c r="GW71" s="1">
        <f ca="1">SUMIFS(Table_Process_Details[RV Eutrophication (kg phosphate equiv.) per kg API (METAL)],Table_Process_Details[Display Name],Table_Process_Details[[#This Row],[Unique Process Inputs]],Table_Process_Details[Input or Output],"Input")</f>
        <v>0</v>
      </c>
      <c r="GX71" s="1">
        <f ca="1">SUMIFS(Table_Process_Details[RV Eutrophication (kg phosphate equiv.) per kg API (SOLVENT)],Table_Process_Details[Display Name],Table_Process_Details[[#This Row],[Unique Process Inputs]],Table_Process_Details[Input or Output],"Input")</f>
        <v>0</v>
      </c>
      <c r="GY71" s="1">
        <f ca="1">SUMIFS(Table_Process_Details[RV Eutrophication (kg phosphate equiv.) per kg API (WATER)],Table_Process_Details[Display Name],Table_Process_Details[[#This Row],[Unique Process Inputs]],Table_Process_Details[Input or Output],"Input")</f>
        <v>0</v>
      </c>
      <c r="GZ71" s="1">
        <f ca="1">SUMIFS(Table_Process_Details[RV Eutrophication (kg phosphate equiv.) per kg API (ENZ&amp;PLNT)],Table_Process_Details[Display Name],Table_Process_Details[[#This Row],[Unique Process Inputs]],Table_Process_Details[Input or Output],"Input")</f>
        <v>0</v>
      </c>
      <c r="HA71" s="1">
        <f ca="1">SUMIFS(Table_Process_Details[RV Eutrophication (kg phosphate equiv.) per kg API (OTHER)],Table_Process_Details[Display Name],Table_Process_Details[[#This Row],[Unique Process Inputs]],Table_Process_Details[Input or Output],"Input")</f>
        <v>0</v>
      </c>
      <c r="HB71"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1"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1" s="22" t="e">
        <f ca="1">SUM(OFFSET(Table_Process_Details['[Eutrophication (kg posphate equiv.) per kg API'] of Unique Inputs Sorted by '[Eutrophication (kg posphate equiv.) per kg API']],0,0,Table_Process_Details[[#This Row],[Table Row]]))</f>
        <v>#N/A</v>
      </c>
      <c r="HE71"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1" s="1" t="e">
        <f ca="1">INDEX(Table_Process_Details[Total '[Eutrophication (kg posphate equiv.) per kg API'] of Unique Inputs (REAGENT)], MATCH(Table_Process_Details[[#This Row],[Unique Inputs Sorted by '[Eutrophication (kg posphate equiv.) per kg API']]],Table_Process_Details[Unique Process Inputs],0))</f>
        <v>#N/A</v>
      </c>
      <c r="HG71" s="1" t="e">
        <f ca="1">INDEX(Table_Process_Details[Total '[Eutrophication (kg posphate equiv.) per kg API'] of Unique Inputs (METAL)], MATCH(Table_Process_Details[[#This Row],[Unique Inputs Sorted by '[Eutrophication (kg posphate equiv.) per kg API']]],Table_Process_Details[Unique Process Inputs],0))</f>
        <v>#N/A</v>
      </c>
      <c r="HH71" s="1" t="e">
        <f ca="1">INDEX(Table_Process_Details[Total '[Eutrophication (kg posphate equiv.) per kg API'] of Unique Inputs (SOLVENT)], MATCH(Table_Process_Details[[#This Row],[Unique Inputs Sorted by '[Eutrophication (kg posphate equiv.) per kg API']]],Table_Process_Details[Unique Process Inputs],0))</f>
        <v>#N/A</v>
      </c>
      <c r="HI71" s="1" t="e">
        <f ca="1">INDEX(Table_Process_Details[Total '[Eutrophication (kg posphate equiv.) per kg API'] of Unique Inputs (WATER)], MATCH(Table_Process_Details[[#This Row],[Unique Inputs Sorted by '[Eutrophication (kg posphate equiv.) per kg API']]],Table_Process_Details[Unique Process Inputs],0))</f>
        <v>#N/A</v>
      </c>
      <c r="HJ71" s="1" t="e">
        <f ca="1">INDEX(Table_Process_Details[Total '[Eutrophication (kg posphate equiv.) per kg API'] of Unique Inputs (ENZ&amp;PLNT)], MATCH(Table_Process_Details[[#This Row],[Unique Inputs Sorted by '[Eutrophication (kg posphate equiv.) per kg API']]],Table_Process_Details[Unique Process Inputs],0))</f>
        <v>#N/A</v>
      </c>
      <c r="HK71" s="1" t="e">
        <f ca="1">INDEX(Table_Process_Details[Total '[Eutrophication (kg posphate equiv.) per kg API'] of Unique Inputs (OTHER)], MATCH(Table_Process_Details[[#This Row],[Unique Inputs Sorted by '[Eutrophication (kg posphate equiv.) per kg API']]],Table_Process_Details[Unique Process Inputs],0))</f>
        <v>#N/A</v>
      </c>
      <c r="HL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31.91420811158034</v>
      </c>
      <c r="HM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31.91420811158034</v>
      </c>
      <c r="HP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1" s="1">
        <f ca="1">SUMIFS(Table_Process_Details[RV Water (kg) per kg API],Table_Process_Details[Display Name],Table_Process_Details[[#This Row],[Unique Process Inputs]],Table_Process_Details[Input or Output],"Input")</f>
        <v>0</v>
      </c>
      <c r="HT71" s="1">
        <f ca="1">SUMIFS(Table_Process_Details[RV Water (kg) per kg API (REAGENT)],Table_Process_Details[Display Name],Table_Process_Details[[#This Row],[Unique Process Inputs]],Table_Process_Details[Input or Output],"Input")</f>
        <v>0</v>
      </c>
      <c r="HU71" s="1">
        <f ca="1">SUMIFS(Table_Process_Details[RV Water (kg) per kg API (METAL)],Table_Process_Details[Display Name],Table_Process_Details[[#This Row],[Unique Process Inputs]],Table_Process_Details[Input or Output],"Input")</f>
        <v>0</v>
      </c>
      <c r="HV71" s="1">
        <f ca="1">SUMIFS(Table_Process_Details[RV Water (kg) per kg API (SOLVENT)],Table_Process_Details[Display Name],Table_Process_Details[[#This Row],[Unique Process Inputs]],Table_Process_Details[Input or Output],"Input")</f>
        <v>0</v>
      </c>
      <c r="HW71" s="1">
        <f ca="1">SUMIFS(Table_Process_Details[RV Water (kg) per kg API (WATER)],Table_Process_Details[Display Name],Table_Process_Details[[#This Row],[Unique Process Inputs]],Table_Process_Details[Input or Output],"Input")</f>
        <v>0</v>
      </c>
      <c r="HX71" s="1">
        <f ca="1">SUMIFS(Table_Process_Details[RV Water (kg) per kg API (ENZ&amp;PLNT)],Table_Process_Details[Display Name],Table_Process_Details[[#This Row],[Unique Process Inputs]],Table_Process_Details[Input or Output],"Input")</f>
        <v>0</v>
      </c>
      <c r="HY71" s="1">
        <f ca="1">SUMIFS(Table_Process_Details[RV Water (kg) per kg API (OTHER)],Table_Process_Details[Display Name],Table_Process_Details[[#This Row],[Unique Process Inputs]],Table_Process_Details[Input or Output],"Input")</f>
        <v>0</v>
      </c>
      <c r="HZ71" s="22" t="e">
        <f ca="1">INDEX(Table_Process_Details[Unique Process Inputs],MATCH(Table_Process_Details[[#This Row],['[Water (kg) per kg API'] of Unique Inputs Sorted by '[Water (kg) per kg API']]],Table_Process_Details[Total '[Water (kg) per kg API'] of Unique Inputs],0))</f>
        <v>#N/A</v>
      </c>
      <c r="IA71" s="22" t="e">
        <f ca="1">IF(LARGE(Table_Process_Details[Total '[Water (kg) per kg API'] of Unique Inputs],Table_Process_Details[[#This Row],[Table Row]])=0,NA(),LARGE(Table_Process_Details[Total '[Water (kg) per kg API'] of Unique Inputs],Table_Process_Details[[#This Row],[Table Row]]))</f>
        <v>#N/A</v>
      </c>
      <c r="IB71" s="1" t="e">
        <f ca="1">SUM(OFFSET(Table_Process_Details['[Water (kg) per kg API'] of Unique Inputs Sorted by '[Water (kg) per kg API']],0,0,Table_Process_Details[[#This Row],[Table Row]]))</f>
        <v>#N/A</v>
      </c>
      <c r="IC71" s="1" t="e">
        <f ca="1">"("&amp;TEXT(Table_Process_Details[[#This Row],['[Water (kg) per kg API'] of Unique Inputs Sorted by '[Water (kg) per kg API']]]/SUMIF(Table_Process_Details['[Water (kg) per kg API'] of Unique Inputs Sorted by '[Water (kg) per kg API']],"&lt;&gt;#N/A"),"0%")&amp;")"</f>
        <v>#N/A</v>
      </c>
      <c r="ID71" s="1" t="e">
        <f ca="1">INDEX(Table_Process_Details[Total '[Water (kg) per kg API'] of Unique Inputs (REAGENT)], MATCH(Table_Process_Details[[#This Row],[Unique Inputs Sorted by '[Water (kg) per kg API']]],Table_Process_Details[Unique Process Inputs],0))</f>
        <v>#N/A</v>
      </c>
      <c r="IE71" s="1" t="e">
        <f ca="1">INDEX(Table_Process_Details[Total '[Water (kg) per kg API'] of Unique Inputs (METAL)], MATCH(Table_Process_Details[[#This Row],[Unique Inputs Sorted by '[Water (kg) per kg API']]],Table_Process_Details[Unique Process Inputs],0))</f>
        <v>#N/A</v>
      </c>
      <c r="IF71" s="1" t="e">
        <f ca="1">INDEX(Table_Process_Details[Total '[Water (kg) per kg API'] of Unique Inputs (SOLVENT)], MATCH(Table_Process_Details[[#This Row],[Unique Inputs Sorted by '[Water (kg) per kg API']]],Table_Process_Details[Unique Process Inputs],0))</f>
        <v>#N/A</v>
      </c>
      <c r="IG71" s="1" t="e">
        <f ca="1">INDEX(Table_Process_Details[Total '[Water (kg) per kg API'] of Unique Inputs (WATER)], MATCH(Table_Process_Details[[#This Row],[Unique Inputs Sorted by '[Water (kg) per kg API']]],Table_Process_Details[Unique Process Inputs],0))</f>
        <v>#N/A</v>
      </c>
      <c r="IH71" s="1" t="e">
        <f ca="1">INDEX(Table_Process_Details[Total '[Water (kg) per kg API'] of Unique Inputs (ENZ&amp;PLNT)], MATCH(Table_Process_Details[[#This Row],[Unique Inputs Sorted by '[Water (kg) per kg API']]],Table_Process_Details[Unique Process Inputs],0))</f>
        <v>#N/A</v>
      </c>
      <c r="II71" s="1" t="e">
        <f ca="1">INDEX(Table_Process_Details[Total '[Water (kg) per kg API'] of Unique Inputs (OTHER)], MATCH(Table_Process_Details[[#This Row],[Unique Inputs Sorted by '[Water (kg) per kg API']]],Table_Process_Details[Unique Process Inputs],0))</f>
        <v>#N/A</v>
      </c>
    </row>
    <row r="72" spans="1:243" customFormat="1" x14ac:dyDescent="0.25">
      <c r="A72" s="22" t="str">
        <f>A71</f>
        <v>3) Synthesis of Intermediate (3)</v>
      </c>
      <c r="B72" s="21" t="s">
        <v>4</v>
      </c>
      <c r="C72" s="21" t="s">
        <v>6</v>
      </c>
      <c r="D72" s="22" t="s">
        <v>146</v>
      </c>
      <c r="E72" s="22" t="s">
        <v>814</v>
      </c>
      <c r="F72" s="26">
        <v>1</v>
      </c>
      <c r="G72" s="26"/>
      <c r="H72" s="26"/>
      <c r="I72" s="26"/>
      <c r="J72" s="26" t="str">
        <f>INDEX(Process_Steps[Reference],MATCH(Table_Process_Details[[#This Row],[Step Name]],Process_Steps[Name],0))</f>
        <v>Another Reference Document!</v>
      </c>
      <c r="K72" s="27" t="str">
        <f>INDEX(Process_Steps[Real or Virtual?],MATCH(Table_Process_Details[[#This Row],[Step Name]],Process_Steps[Name],0))</f>
        <v>Real</v>
      </c>
      <c r="L7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7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72" s="26">
        <f>INDEX(Table_Process_Details[Physical Mass (kg)],MATCH(1,INDEX(((Table_Process_Details[Step Name]=Table_Process_Details[[#This Row],[Step Name]])*(Table_Process_Details[Input or Output]="Output")),0),0))</f>
        <v>0.09</v>
      </c>
      <c r="O72" s="29">
        <f ca="1">INDEX(Process_Steps[Step Scale Factor for 1kg Packaged API],MATCH(Table_Process_Details[[#This Row],[Step Name]],Process_Steps[Name],0))</f>
        <v>11.011194714626619</v>
      </c>
      <c r="P7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13.833333333333334</v>
      </c>
      <c r="Q7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6.8333333333333339</v>
      </c>
      <c r="R72" s="26">
        <f ca="1">_xlfn.SWITCH(Run_Reset_PNG,"Reset",Table_Process_Details[[#This Row],[X Init]],"Run",Table_Process_Details[[#This Row],[X Moved]],"Freeze",Table_Process_Details[[#This Row],[X Mover]])</f>
        <v>19.033056665541746</v>
      </c>
      <c r="S72" s="26">
        <f ca="1">_xlfn.SWITCH(Run_Reset_PNG,"Reset",Table_Process_Details[[#This Row],[Y Init]],"Run",Table_Process_Details[[#This Row],[Y Moved]],"Freeze",Table_Process_Details[[#This Row],[Y Mover]])</f>
        <v>12.355561868808731</v>
      </c>
      <c r="T72" s="26" cm="1">
        <f t="array" aca="1" ref="T7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5.4554595179717555</v>
      </c>
      <c r="U72" s="26" cm="1">
        <f t="array" aca="1" ref="U7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2.9462221236642945</v>
      </c>
      <c r="V72" s="26" cm="1">
        <f t="array" aca="1" ref="V72" ca="1">SUM(--(SQRT((Table_Process_Details[[#This Row],[X Mover]]-Table_Process_Details[X Mover])^2+(Table_Process_Details[[#This Row],[Y Mover]]-Table_Process_Details[Y Mover])^2)&lt;Collision_Distance))</f>
        <v>13</v>
      </c>
      <c r="W72" s="26" cm="1">
        <f t="array" aca="1" ref="W7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-0.37854242665971832</v>
      </c>
      <c r="X72" s="26" cm="1">
        <f t="array" aca="1" ref="X7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-0.22839400428436438</v>
      </c>
      <c r="Y72" s="26" cm="1">
        <f t="array" aca="1" ref="Y7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2" s="26">
        <f>0</f>
        <v>0</v>
      </c>
      <c r="AA72" s="26">
        <f>0</f>
        <v>0</v>
      </c>
      <c r="AB7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-9.5165283327708732</v>
      </c>
      <c r="AC72" s="26" cm="1">
        <f t="array" aca="1" ref="AC7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-6.1777809344043657</v>
      </c>
      <c r="AD72" s="26">
        <f>MIN(1,COUNTA(Table_Process_Details[[#This Row],[target x]]),COUNTA(Table_Process_Details[[#This Row],[target y]]))*COUNTA(Table_Process_Details[Step Name])</f>
        <v>98</v>
      </c>
      <c r="AE7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18.977057539066653</v>
      </c>
      <c r="AF7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12.290761754612156</v>
      </c>
      <c r="AG7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2" s="26" cm="1">
        <f t="array" aca="1" ref="AH72" ca="1">INDEX(Table_Process_Details[X Mover],MATCH(1,INDEX((Table_Process_Details[Input or Output]="Output")*(Table_Process_Details[Step Name]=Table_Process_Details[[#This Row],[Step Name]])*(Table_Process_Details[[#This Row],[Input or Output]]="Input"),0),0))</f>
        <v>15.707298460481789</v>
      </c>
      <c r="AI72" s="26" cm="1">
        <f t="array" aca="1" ref="AI72" ca="1">INDEX(Table_Process_Details[Y Mover],MATCH(1,INDEX((Table_Process_Details[Input or Output]="Output")*(Table_Process_Details[Step Name]=Table_Process_Details[[#This Row],[Step Name]])*(Table_Process_Details[[#This Row],[Input or Output]]="Input"),0),0))</f>
        <v>10.348961867752488</v>
      </c>
      <c r="AJ72" s="26">
        <f ca="1">SQRT((Table_Process_Details[[#This Row],[X End (To Node Center)]]-Table_Process_Details[[#This Row],[X Guide]])^2+(Table_Process_Details[[#This Row],[Y End (to Node Center)]]-Table_Process_Details[[#This Row],[Y Guide]])^2)</f>
        <v>3.8842130738107743</v>
      </c>
      <c r="AK72" s="26" t="e" cm="1">
        <f t="array" ref="AK72">INDEX(Table_Process_Details[X Mover],MATCH(1,INDEX((Table_Process_Details[Step Name]=Table_Process_Details[[#This Row],[LCA Data Source Subclass]])*(Table_Process_Details[Input or Output]="Output"),0)*(Table_Process_Details[[#This Row],[Input or Output]]="Input"),0))</f>
        <v>#N/A</v>
      </c>
      <c r="AL72" s="26" cm="1">
        <f t="array" aca="1" ref="AL72" ca="1">INDEX(Table_Process_Details[X Mover],MATCH(1,INDEX(((Table_Process_Details[Table Row]=Table_Process_Details[[#This Row],[Table Row]])*(1)),0)*(Table_Process_Details[[#This Row],[Input or Output]]="Input"),0))</f>
        <v>19.033056665541746</v>
      </c>
      <c r="AM72" s="26" cm="1">
        <f t="array" aca="1" ref="AM72" ca="1">(Table_Process_Details[[#This Row],[X End (To Node Center)]]*Table_Process_Details[[#This Row],[r0]]-Table_Process_Details[[#This Row],[X End (To Node Center)]]*Arrow_Offset+Table_Process_Details[[#This Row],[X Guide]]*Arrow_Offset)/Table_Process_Details[[#This Row],[r0]]</f>
        <v>16.392278020945927</v>
      </c>
      <c r="AN72" s="26" t="e">
        <f>IF(NOT(Table_Process_Details[[#This Row],[Display As]]="None"),Table_Process_Details[[#This Row],[X Start Prefilter]],NA())</f>
        <v>#N/A</v>
      </c>
      <c r="AO72" s="26">
        <f ca="1">IF(NOT(Table_Process_Details[[#This Row],[Display As]]="None"),Table_Process_Details[[#This Row],[X Guide Prefilter]],NA())</f>
        <v>19.033056665541746</v>
      </c>
      <c r="AP72" s="26">
        <f ca="1">IF(NOT(Table_Process_Details[[#This Row],[Display As]]="None"),Table_Process_Details[[#This Row],[X End (to Stop Radius) Prefilter]],NA())</f>
        <v>16.392278020945927</v>
      </c>
      <c r="AQ72" s="26" t="e">
        <f>NA()</f>
        <v>#N/A</v>
      </c>
      <c r="AR72" s="26" t="e" cm="1">
        <f t="array" ref="AR72">INDEX(Table_Process_Details[Y Mover],MATCH(1,INDEX((Table_Process_Details[Step Name]=Table_Process_Details[[#This Row],[LCA Data Source Subclass]])*(Table_Process_Details[Input or Output]="Output"),0)*(Table_Process_Details[[#This Row],[Input or Output]]="Input"),0))</f>
        <v>#N/A</v>
      </c>
      <c r="AS72" s="26" cm="1">
        <f t="array" aca="1" ref="AS72" ca="1">INDEX(Table_Process_Details[Y Mover],MATCH(1,INDEX(((Table_Process_Details[Table Row]=Table_Process_Details[[#This Row],[Table Row]])*(1)),0)*(Table_Process_Details[[#This Row],[Input or Output]]="Input"),0))</f>
        <v>12.355561868808731</v>
      </c>
      <c r="AT72" s="26" cm="1">
        <f t="array" aca="1" ref="AT72" ca="1">(Table_Process_Details[[#This Row],[Y Guide]]*Arrow_Offset-Table_Process_Details[[#This Row],[Y End (to Node Center)]]*Arrow_Offset+Table_Process_Details[[#This Row],[Y End (to Node Center)]]*Table_Process_Details[[#This Row],[r0]])/Table_Process_Details[[#This Row],[r0]]</f>
        <v>10.762245065749159</v>
      </c>
      <c r="AU72" s="26" t="e">
        <f>IF(NOT(Table_Process_Details[[#This Row],[Display As]]="None"),Table_Process_Details[[#This Row],[Y Start Prefilter]],NA())</f>
        <v>#N/A</v>
      </c>
      <c r="AV72" s="26">
        <f ca="1">IF(NOT(Table_Process_Details[[#This Row],[Display As]]="None"),Table_Process_Details[[#This Row],[Y Guide Prefilter]],NA())</f>
        <v>12.355561868808731</v>
      </c>
      <c r="AW72" s="26">
        <f ca="1">IF(NOT(Table_Process_Details[[#This Row],[Display As]]="None"),Table_Process_Details[[#This Row],[Y End (to Stop Radius) Prefilter]],NA())</f>
        <v>10.762245065749159</v>
      </c>
      <c r="AX72" s="26" t="e">
        <f>NA()</f>
        <v>#N/A</v>
      </c>
      <c r="AY72" s="26" t="e">
        <f>IF(Table_Process_Details[[#This Row],[Display As]]="Real Step",Table_Process_Details[[#This Row],[X Mover]],NA())</f>
        <v>#N/A</v>
      </c>
      <c r="AZ72" s="26" t="e">
        <f>IF(Table_Process_Details[[#This Row],[Display As]]="Real Step",Table_Process_Details[[#This Row],[Y Mover]],NA())</f>
        <v>#N/A</v>
      </c>
      <c r="BA72" s="26">
        <f ca="1">IF(Table_Process_Details[[#This Row],[Display As]]="Raw Material",Table_Process_Details[[#This Row],[X Mover]],NA())</f>
        <v>19.033056665541746</v>
      </c>
      <c r="BB72" s="26">
        <f ca="1">IF(Table_Process_Details[[#This Row],[Display As]]="Raw Material",Table_Process_Details[[#This Row],[Y Mover]],NA())</f>
        <v>12.355561868808731</v>
      </c>
      <c r="BC72" s="26">
        <f ca="1">IF(OR(Table_Process_Details[[#This Row],[Display As]]="Real Step",Table_Process_Details[[#This Row],[Display As]]="Raw Material"),Table_Process_Details[[#This Row],[X Mover]],NA())</f>
        <v>19.033056665541746</v>
      </c>
      <c r="BD72" s="26">
        <f ca="1">IF(OR(Table_Process_Details[[#This Row],[Display As]]="Real Step",Table_Process_Details[[#This Row],[Display As]]="Raw Material"),Table_Process_Details[[#This Row],[Y Mover]],NA())</f>
        <v>12.355561868808731</v>
      </c>
      <c r="BE72" s="22">
        <f>ROW()-ROW(Table_Process_Details[[#Headers],[Table Row]])</f>
        <v>68</v>
      </c>
      <c r="BF72" s="23" t="e" cm="1">
        <f t="array" aca="1" ref="BF72" ca="1">INDEX(Table_Process_Details[Display Name],MATCH(0,IF(Table_Process_Details[Input or Output]="Input",INDEX(COUNTIF(OFFSET(Table_Process_Details[[#Headers],[Unique Process Inputs]],0,0,Table_Process_Details[[#This Row],[Table Row]],1),Table_Process_Details[Display Name]),),""),0))</f>
        <v>#N/A</v>
      </c>
      <c r="BG72" s="23">
        <f ca="1">Table_Process_Details[[#This Row],[Physical Mass (kg)]]*Table_Process_Details[[#This Row],[Step Scale Factor for 1kg Packaged API]]</f>
        <v>11.011194714626619</v>
      </c>
      <c r="BH7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2" s="23">
        <f ca="1">MATCH(Table_Process_Details[[#This Row],[LCA Data Source Class]],INDIRECT(Table_Process_Details[[#This Row],[Input or Output]]),0)</f>
        <v>2</v>
      </c>
      <c r="BJ72" s="23">
        <f ca="1">MATCH(Table_Process_Details[[#This Row],[LCA Data Source Subclass]],INDIRECT(Table_Process_Details[[#This Row],[LCA Data Source Class]]&amp;"[Name]"),0)</f>
        <v>64</v>
      </c>
      <c r="BK72" s="23">
        <f ca="1">IFERROR(INDEX(INDIRECT(Table_Process_Details[[#This Row],[LCA Data Source Class]]&amp;"[Mass Net (kg)]"),MATCH(Table_Process_Details[[#This Row],[LCA Data Source Subclass]],INDIRECT(Table_Process_Details[[#This Row],[LCA Data Source Class]]&amp;"[Name]"),0)),0)</f>
        <v>1.5302652999999999E-3</v>
      </c>
      <c r="BL72" s="23">
        <f ca="1">IFERROR(INDEX(INDIRECT(Table_Process_Details[[#This Row],[LCA Data Source Class]]&amp;"[Energy (MJ)]"),MATCH(Table_Process_Details[[#This Row],[LCA Data Source Subclass]],INDIRECT(Table_Process_Details[[#This Row],[LCA Data Source Class]]&amp;"[Name]"),0)),0)</f>
        <v>1.9058192000000002E-2</v>
      </c>
      <c r="BM72" s="23">
        <f ca="1">IFERROR(INDEX(INDIRECT(Table_Process_Details[[#This Row],[LCA Data Source Class]]&amp;"[GWP (kg CO2 equiv.)]"),MATCH(Table_Process_Details[[#This Row],[LCA Data Source Subclass]],INDIRECT(Table_Process_Details[[#This Row],[LCA Data Source Class]]&amp;"[Name]"),0)),0)</f>
        <v>1.015742E-3</v>
      </c>
      <c r="BN72" s="23">
        <f ca="1">IFERROR(INDEX(INDIRECT(Table_Process_Details[[#This Row],[LCA Data Source Class]]&amp;"[Acidification (kg SO2 equiv.)]"),MATCH(Table_Process_Details[[#This Row],[LCA Data Source Subclass]],INDIRECT(Table_Process_Details[[#This Row],[LCA Data Source Class]]&amp;"[Name]"),0)),0)</f>
        <v>3.8914349999999996E-6</v>
      </c>
      <c r="BO72" s="23">
        <f ca="1">IFERROR(INDEX(INDIRECT(Table_Process_Details[[#This Row],[LCA Data Source Class]]&amp;"[Eutrophication (kg posphate equiv.)]"),MATCH(Table_Process_Details[[#This Row],[LCA Data Source Subclass]],INDIRECT(Table_Process_Details[[#This Row],[LCA Data Source Class]]&amp;"[Name]"),0)),0)</f>
        <v>2.3181694000000001E-6</v>
      </c>
      <c r="BP72" s="23">
        <f ca="1">IFERROR(INDEX(INDIRECT(Table_Process_Details[[#This Row],[LCA Data Source Class]]&amp;"[Water (kg)]"),MATCH(Table_Process_Details[[#This Row],[LCA Data Source Subclass]],INDIRECT(Table_Process_Details[[#This Row],[LCA Data Source Class]]&amp;"[Name]"),0)),0)</f>
        <v>1.2633490999999999</v>
      </c>
      <c r="BQ72" s="27">
        <f ca="1">(Table_Process_Details[[#This Row],[Input or Output]]="Input")*(Table_Process_Details[[#This Row],[LCA Data Source Class]]&lt;&gt;"Process_Steps")*Table_Process_Details[[#This Row],[Scaled Physical Mass per kg API for All Inputs &amp; Outputs]]</f>
        <v>11.011194714626619</v>
      </c>
      <c r="BR72" s="27">
        <f ca="1">(Table_Process_Details[[#This Row],[Material Class]]="REAGENT")*Table_Process_Details[[#This Row],[Physical Mass per kg API]]</f>
        <v>0</v>
      </c>
      <c r="BS72" s="27">
        <f ca="1">(Table_Process_Details[[#This Row],[Material Class]]="METAL")*Table_Process_Details[[#This Row],[Physical Mass per kg API]]</f>
        <v>0</v>
      </c>
      <c r="BT72" s="27">
        <f ca="1">(Table_Process_Details[[#This Row],[Material Class]]="SOLVENT")*Table_Process_Details[[#This Row],[Physical Mass per kg API]]</f>
        <v>0</v>
      </c>
      <c r="BU72" s="27">
        <f ca="1">(Table_Process_Details[[#This Row],[Material Class]]="WATER")*Table_Process_Details[[#This Row],[Physical Mass per kg API]]</f>
        <v>11.011194714626619</v>
      </c>
      <c r="BV72" s="27">
        <f ca="1">(Table_Process_Details[[#This Row],[Material Class]]="ENZ&amp;PLNT")*Table_Process_Details[[#This Row],[Physical Mass per kg API]]</f>
        <v>0</v>
      </c>
      <c r="BW72" s="27">
        <f ca="1">(Table_Process_Details[[#This Row],[Material Class]]="OTHER")*Table_Process_Details[[#This Row],[Physical Mass per kg API]]</f>
        <v>0</v>
      </c>
      <c r="BX7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11.011194714626619</v>
      </c>
      <c r="BY7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11.011194714626619</v>
      </c>
      <c r="CC7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2" s="1">
        <f ca="1">SUMIFS(Table_Process_Details[RV Physical Mass per kg API],Table_Process_Details[Display Name],Table_Process_Details[[#This Row],[Unique Process Inputs]],Table_Process_Details[Input or Output],"Input")</f>
        <v>0</v>
      </c>
      <c r="CF72" s="1">
        <f ca="1">SUMIFS(Table_Process_Details[RV Physical Mass per kg API (REAGENT)],Table_Process_Details[Display Name],Table_Process_Details[[#This Row],[Unique Process Inputs]],Table_Process_Details[Input or Output],"Input")</f>
        <v>0</v>
      </c>
      <c r="CG72" s="1">
        <f ca="1">SUMIFS(Table_Process_Details[RV Physical Mass per kg API (METAL)],Table_Process_Details[Display Name],Table_Process_Details[[#This Row],[Unique Process Inputs]],Table_Process_Details[Input or Output],"Input")</f>
        <v>0</v>
      </c>
      <c r="CH72" s="1">
        <f ca="1">SUMIFS(Table_Process_Details[RV Physical Mass per kg API (SOLVENT)],Table_Process_Details[Display Name],Table_Process_Details[[#This Row],[Unique Process Inputs]],Table_Process_Details[Input or Output],"Input")</f>
        <v>0</v>
      </c>
      <c r="CI72" s="1">
        <f ca="1">SUMIFS(Table_Process_Details[RV Physical Mass per kg API (WATER)],Table_Process_Details[Display Name],Table_Process_Details[[#This Row],[Unique Process Inputs]],Table_Process_Details[Input or Output],"Input")</f>
        <v>0</v>
      </c>
      <c r="CJ72" s="1">
        <f ca="1">SUMIFS(Table_Process_Details[RV Physical Mass per kg API (ENZ&amp;PLNT)],Table_Process_Details[Display Name],Table_Process_Details[[#This Row],[Unique Process Inputs]],Table_Process_Details[Input or Output],"Input")</f>
        <v>0</v>
      </c>
      <c r="CK72" s="1">
        <f ca="1">SUMIFS(Table_Process_Details[RV Physical Mass per kg API (OTHER)],Table_Process_Details[Display Name],Table_Process_Details[[#This Row],[Unique Process Inputs]],Table_Process_Details[Input or Output],"Input")</f>
        <v>0</v>
      </c>
      <c r="CL72" s="22" t="e">
        <f ca="1">INDEX(Table_Process_Details[Unique Process Inputs],MATCH(Table_Process_Details[[#This Row],['[Physical Mass per kg API'] of Unique Inputs Sorted by '[Physical Mass per kg API']]],Table_Process_Details[Total '[Physical Mass per kg API'] of Unique Inputs],0))</f>
        <v>#N/A</v>
      </c>
      <c r="CM72" s="22" t="e">
        <f ca="1">IF(LARGE(Table_Process_Details[Total '[Physical Mass per kg API'] of Unique Inputs],Table_Process_Details[[#This Row],[Table Row]])=0,NA(),LARGE(Table_Process_Details[Total '[Physical Mass per kg API'] of Unique Inputs],Table_Process_Details[[#This Row],[Table Row]]))</f>
        <v>#N/A</v>
      </c>
      <c r="CN72" s="22" t="e">
        <f ca="1">SUM(OFFSET(Table_Process_Details['[Physical Mass per kg API'] of Unique Inputs Sorted by '[Physical Mass per kg API']],0,0,Table_Process_Details[[#This Row],[Table Row]]))</f>
        <v>#N/A</v>
      </c>
      <c r="CO72" s="22" t="e">
        <f ca="1">"("&amp;TEXT(Table_Process_Details[[#This Row],['[Physical Mass per kg API'] of Unique Inputs Sorted by '[Physical Mass per kg API']]]/SUMIF(Table_Process_Details['[Physical Mass per kg API'] of Unique Inputs Sorted by '[Physical Mass per kg API']],"&lt;&gt;#N/A"),"0%")&amp;")"</f>
        <v>#N/A</v>
      </c>
      <c r="CP72" s="22" t="e">
        <f ca="1">INDEX(Table_Process_Details[Total '[Physical Mass per kg API'] of Unique Inputs (REAGENT)],MATCH(Table_Process_Details[[#This Row],[Unique Inputs Sorted by '[Physical Mass per kg API']]],Table_Process_Details[Unique Process Inputs],0))</f>
        <v>#N/A</v>
      </c>
      <c r="CQ72" s="22" t="e">
        <f ca="1">INDEX(Table_Process_Details[Total '[Physical Mass per kg API'] of Unique Inputs (METAL)],MATCH(Table_Process_Details[[#This Row],[Unique Inputs Sorted by '[Physical Mass per kg API']]],Table_Process_Details[Unique Process Inputs],0))</f>
        <v>#N/A</v>
      </c>
      <c r="CR72" s="22" t="e">
        <f ca="1">INDEX(Table_Process_Details[Total '[Physical Mass per kg API'] of Unique Inputs (SOLVENT)],MATCH(Table_Process_Details[[#This Row],[Unique Inputs Sorted by '[Physical Mass per kg API']]],Table_Process_Details[Unique Process Inputs],0))</f>
        <v>#N/A</v>
      </c>
      <c r="CS72" s="22" t="e">
        <f ca="1">INDEX(Table_Process_Details[Total '[Physical Mass per kg API'] of Unique Inputs (WATER)],MATCH(Table_Process_Details[[#This Row],[Unique Inputs Sorted by '[Physical Mass per kg API']]],Table_Process_Details[Unique Process Inputs],0))</f>
        <v>#N/A</v>
      </c>
      <c r="CT72" s="22" t="e">
        <f ca="1">INDEX(Table_Process_Details[Total '[Physical Mass per kg API'] of Unique Inputs (ENZ&amp;PLNT)],MATCH(Table_Process_Details[[#This Row],[Unique Inputs Sorted by '[Physical Mass per kg API']]],Table_Process_Details[Unique Process Inputs],0))</f>
        <v>#N/A</v>
      </c>
      <c r="CU72" s="22" t="e">
        <f ca="1">INDEX(Table_Process_Details[Total '[Physical Mass per kg API'] of Unique Inputs (OTHER)],MATCH(Table_Process_Details[[#This Row],[Unique Inputs Sorted by '[Physical Mass per kg API']]],Table_Process_Details[Unique Process Inputs],0))</f>
        <v>#N/A</v>
      </c>
      <c r="CV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1.6850049183336515E-2</v>
      </c>
      <c r="CW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1.6850049183336515E-2</v>
      </c>
      <c r="DA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2" s="22">
        <f ca="1">SUMIFS(Table_Process_Details[RV Mass Net (kg) per kg API],Table_Process_Details[Display Name],Table_Process_Details[[#This Row],[Unique Process Inputs]],Table_Process_Details[Input or Output],"Input")</f>
        <v>0</v>
      </c>
      <c r="DD72" s="22">
        <f ca="1">SUMIFS(Table_Process_Details[RV Mass Net (kg) per kg API (REAGENT)],Table_Process_Details[Display Name],Table_Process_Details[[#This Row],[Unique Process Inputs]],Table_Process_Details[Input or Output],"Input")</f>
        <v>0</v>
      </c>
      <c r="DE72" s="22">
        <f ca="1">SUMIFS(Table_Process_Details[RV Mass Net (kg) per kg API (METAL)],Table_Process_Details[Display Name],Table_Process_Details[[#This Row],[Unique Process Inputs]],Table_Process_Details[Input or Output],"Input")</f>
        <v>0</v>
      </c>
      <c r="DF72" s="22">
        <f ca="1">SUMIFS(Table_Process_Details[RV Mass Net (kg) per kg API (SOLVENT)],Table_Process_Details[Display Name],Table_Process_Details[[#This Row],[Unique Process Inputs]],Table_Process_Details[Input or Output],"Input")</f>
        <v>0</v>
      </c>
      <c r="DG72" s="22">
        <f ca="1">SUMIFS(Table_Process_Details[RV Mass Net (kg) per kg API (WATER)],Table_Process_Details[Display Name],Table_Process_Details[[#This Row],[Unique Process Inputs]],Table_Process_Details[Input or Output],"Input")</f>
        <v>0</v>
      </c>
      <c r="DH72" s="22">
        <f ca="1">SUMIFS(Table_Process_Details[RV Mass Net (kg) per kg API (ENZ&amp;PLNT)],Table_Process_Details[Display Name],Table_Process_Details[[#This Row],[Unique Process Inputs]],Table_Process_Details[Input or Output],"Input")</f>
        <v>0</v>
      </c>
      <c r="DI72" s="22">
        <f ca="1">SUMIFS(Table_Process_Details[RV Mass Net (kg) per kg API (OTHER)],Table_Process_Details[Display Name],Table_Process_Details[[#This Row],[Unique Process Inputs]],Table_Process_Details[Input or Output],"Input")</f>
        <v>0</v>
      </c>
      <c r="DJ72" s="22" t="e">
        <f ca="1">INDEX(Table_Process_Details[Unique Process Inputs],MATCH(Table_Process_Details[[#This Row],['[Mass Net (kg) per kg API'] of Unique Inputs Sorted by '[Mass Net (kg) per kg API']]],Table_Process_Details[Total '[Mass Net (kg) per kg API'] of Unique Inputs],0))</f>
        <v>#N/A</v>
      </c>
      <c r="DK72" s="22" t="e">
        <f ca="1">IF(LARGE(Table_Process_Details[Total '[Mass Net (kg) per kg API'] of Unique Inputs],Table_Process_Details[[#This Row],[Table Row]])=0,NA(),LARGE(Table_Process_Details[Total '[Mass Net (kg) per kg API'] of Unique Inputs],Table_Process_Details[[#This Row],[Table Row]]))</f>
        <v>#N/A</v>
      </c>
      <c r="DL72" s="22" t="e">
        <f ca="1">SUM(OFFSET(Table_Process_Details['[Mass Net (kg) per kg API'] of Unique Inputs Sorted by '[Mass Net (kg) per kg API']],0,0,Table_Process_Details[[#This Row],[Table Row]]))</f>
        <v>#N/A</v>
      </c>
      <c r="DM72" s="22" t="e">
        <f ca="1">"("&amp;TEXT(Table_Process_Details[[#This Row],['[Mass Net (kg) per kg API'] of Unique Inputs Sorted by '[Mass Net (kg) per kg API']]]/SUMIF(Table_Process_Details['[Mass Net (kg) per kg API'] of Unique Inputs Sorted by '[Mass Net (kg) per kg API']],"&lt;&gt;#N/A"),"0%")&amp;")"</f>
        <v>#N/A</v>
      </c>
      <c r="DN72" s="22" t="e">
        <f ca="1">INDEX(Table_Process_Details[Total '[Mass Net (kg) per kg API'] of Unique Inputs (REAGENT)], MATCH(Table_Process_Details[[#This Row],[Unique Inputs Sorted by '[Mass Net (kg) per kg API']]],Table_Process_Details[Unique Process Inputs],0))</f>
        <v>#N/A</v>
      </c>
      <c r="DO72" s="22" t="e">
        <f ca="1">INDEX(Table_Process_Details[Total '[Mass Net (kg) per kg API'] of Unique Inputs (METAL)], MATCH(Table_Process_Details[[#This Row],[Unique Inputs Sorted by '[Mass Net (kg) per kg API']]],Table_Process_Details[Unique Process Inputs],0))</f>
        <v>#N/A</v>
      </c>
      <c r="DP72" s="22" t="e">
        <f ca="1">INDEX(Table_Process_Details[Total '[Mass Net (kg) per kg API'] of Unique Inputs (SOLVENT)], MATCH(Table_Process_Details[[#This Row],[Unique Inputs Sorted by '[Mass Net (kg) per kg API']]],Table_Process_Details[Unique Process Inputs],0))</f>
        <v>#N/A</v>
      </c>
      <c r="DQ72" s="22" t="e">
        <f ca="1">INDEX(Table_Process_Details[Total '[Mass Net (kg) per kg API'] of Unique Inputs (WATER)], MATCH(Table_Process_Details[[#This Row],[Unique Inputs Sorted by '[Mass Net (kg) per kg API']]],Table_Process_Details[Unique Process Inputs],0))</f>
        <v>#N/A</v>
      </c>
      <c r="DR72" s="22" t="e">
        <f ca="1">INDEX(Table_Process_Details[Total '[Mass Net (kg) per kg API'] of Unique Inputs (ENZ&amp;PLNT)], MATCH(Table_Process_Details[[#This Row],[Unique Inputs Sorted by '[Mass Net (kg) per kg API']]],Table_Process_Details[Unique Process Inputs],0))</f>
        <v>#N/A</v>
      </c>
      <c r="DS72" s="22" t="e">
        <f ca="1">INDEX(Table_Process_Details[Total '[Mass Net (kg) per kg API'] of Unique Inputs (OTHER)], MATCH(Table_Process_Details[[#This Row],[Unique Inputs Sorted by '[Mass Net (kg) per kg API']]],Table_Process_Details[Unique Process Inputs],0))</f>
        <v>#N/A</v>
      </c>
      <c r="DT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0.20985346302073932</v>
      </c>
      <c r="DU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0.20985346302073932</v>
      </c>
      <c r="DY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2" s="1">
        <f ca="1">SUMIFS(Table_Process_Details[RV Energy (MJ) per kg API],Table_Process_Details[Display Name],Table_Process_Details[[#This Row],[Unique Process Inputs]],Table_Process_Details[Input or Output],"Input")</f>
        <v>0</v>
      </c>
      <c r="EB72" s="1">
        <f ca="1">SUMIFS(Table_Process_Details[RV Energy (MJ) per kg API (REAGENT)],Table_Process_Details[Display Name],Table_Process_Details[[#This Row],[Unique Process Inputs]],Table_Process_Details[Input or Output],"Input")</f>
        <v>0</v>
      </c>
      <c r="EC72" s="1">
        <f ca="1">SUMIFS(Table_Process_Details[RV Energy (MJ) per kg API (METAL)],Table_Process_Details[Display Name],Table_Process_Details[[#This Row],[Unique Process Inputs]],Table_Process_Details[Input or Output],"Input")</f>
        <v>0</v>
      </c>
      <c r="ED72" s="1">
        <f ca="1">SUMIFS(Table_Process_Details[RV Energy (MJ) per kg API (SOLVENT)],Table_Process_Details[Display Name],Table_Process_Details[[#This Row],[Unique Process Inputs]],Table_Process_Details[Input or Output],"Input")</f>
        <v>0</v>
      </c>
      <c r="EE72" s="1">
        <f ca="1">SUMIFS(Table_Process_Details[RV Energy (MJ) per kg API (WATER)],Table_Process_Details[Display Name],Table_Process_Details[[#This Row],[Unique Process Inputs]],Table_Process_Details[Input or Output],"Input")</f>
        <v>0</v>
      </c>
      <c r="EF72" s="1">
        <f ca="1">SUMIFS(Table_Process_Details[RV Energy (MJ) per kg API (ENZ&amp;PLNT)],Table_Process_Details[Display Name],Table_Process_Details[[#This Row],[Unique Process Inputs]],Table_Process_Details[Input or Output],"Input")</f>
        <v>0</v>
      </c>
      <c r="EG72" s="1">
        <f ca="1">SUMIFS(Table_Process_Details[RV Energy (MJ) per kg API (OTHER)],Table_Process_Details[Display Name],Table_Process_Details[[#This Row],[Unique Process Inputs]],Table_Process_Details[Input or Output],"Input")</f>
        <v>0</v>
      </c>
      <c r="EH72" s="1" t="e">
        <f ca="1">INDEX(Table_Process_Details[Unique Process Inputs],MATCH(Table_Process_Details[[#This Row],['[Energy (MJ) per kg API'] of Unique Inputs Sorted by '[Energy (MJ) per kg API']]],Table_Process_Details[Total '[Energy (MJ) per kg API'] of Unique Inputs],0))</f>
        <v>#N/A</v>
      </c>
      <c r="EI72" s="22" t="e">
        <f ca="1">IF(LARGE(Table_Process_Details[Total '[Energy (MJ) per kg API'] of Unique Inputs],Table_Process_Details[[#This Row],[Table Row]])=0,NA(),LARGE(Table_Process_Details[Total '[Energy (MJ) per kg API'] of Unique Inputs],Table_Process_Details[[#This Row],[Table Row]]))</f>
        <v>#N/A</v>
      </c>
      <c r="EJ72" s="22" t="e">
        <f ca="1">SUM(OFFSET(Table_Process_Details['[Energy (MJ) per kg API'] of Unique Inputs Sorted by '[Energy (MJ) per kg API']],0,0,Table_Process_Details[[#This Row],[Table Row]]))</f>
        <v>#N/A</v>
      </c>
      <c r="EK72" s="22" t="e">
        <f ca="1">"("&amp;TEXT(Table_Process_Details[[#This Row],['[Energy (MJ) per kg API'] of Unique Inputs Sorted by '[Energy (MJ) per kg API']]]/SUMIF(Table_Process_Details['[Energy (MJ) per kg API'] of Unique Inputs Sorted by '[Energy (MJ) per kg API']],"&lt;&gt;#N/A"),"0%")&amp;")"</f>
        <v>#N/A</v>
      </c>
      <c r="EL72" s="22" t="e">
        <f ca="1">INDEX(Table_Process_Details[Total '[Energy (MJ) per kg API'] of Unique Inputs (REAGENT)], MATCH(Table_Process_Details[[#This Row],[Unique Inputs Sorted by '[Energy (MJ) per kg API']]],Table_Process_Details[Unique Process Inputs],0))</f>
        <v>#N/A</v>
      </c>
      <c r="EM72" s="22" t="e">
        <f ca="1">INDEX(Table_Process_Details[Total '[Energy (MJ) per kg API'] of Unique Inputs (METAL)], MATCH(Table_Process_Details[[#This Row],[Unique Inputs Sorted by '[Energy (MJ) per kg API']]],Table_Process_Details[Unique Process Inputs],0))</f>
        <v>#N/A</v>
      </c>
      <c r="EN72" s="22" t="e">
        <f ca="1">INDEX(Table_Process_Details[Total '[Energy (MJ) per kg API'] of Unique Inputs (SOLVENT)], MATCH(Table_Process_Details[[#This Row],[Unique Inputs Sorted by '[Energy (MJ) per kg API']]],Table_Process_Details[Unique Process Inputs],0))</f>
        <v>#N/A</v>
      </c>
      <c r="EO72" s="22" t="e">
        <f ca="1">INDEX(Table_Process_Details[Total '[Energy (MJ) per kg API'] of Unique Inputs (WATER)], MATCH(Table_Process_Details[[#This Row],[Unique Inputs Sorted by '[Energy (MJ) per kg API']]],Table_Process_Details[Unique Process Inputs],0))</f>
        <v>#N/A</v>
      </c>
      <c r="EP72" s="22" t="e">
        <f ca="1">INDEX(Table_Process_Details[Total '[Energy (MJ) per kg API'] of Unique Inputs (ENZ&amp;PLNT)], MATCH(Table_Process_Details[[#This Row],[Unique Inputs Sorted by '[Energy (MJ) per kg API']]],Table_Process_Details[Unique Process Inputs],0))</f>
        <v>#N/A</v>
      </c>
      <c r="EQ72" s="22" t="e">
        <f ca="1">INDEX(Table_Process_Details[Total '[Energy (MJ) per kg API'] of Unique Inputs (OTHER)], MATCH(Table_Process_Details[[#This Row],[Unique Inputs Sorted by '[Energy (MJ) per kg API']]],Table_Process_Details[Unique Process Inputs],0))</f>
        <v>#N/A</v>
      </c>
      <c r="ER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1.1184532941824272E-2</v>
      </c>
      <c r="ES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1.1184532941824272E-2</v>
      </c>
      <c r="EW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2" s="22">
        <f ca="1">SUMIFS(Table_Process_Details[RV GWP (kg CO2 equiv.) per kg API],Table_Process_Details[Display Name],Table_Process_Details[[#This Row],[Unique Process Inputs]],Table_Process_Details[Input or Output],"Input")</f>
        <v>0</v>
      </c>
      <c r="EZ72" s="1">
        <f ca="1">SUMIFS(Table_Process_Details[RV GWP (kg CO2 equiv.) per kg API (REAGENT)],Table_Process_Details[Display Name],Table_Process_Details[[#This Row],[Unique Process Inputs]],Table_Process_Details[Input or Output],"Input")</f>
        <v>0</v>
      </c>
      <c r="FA72" s="1">
        <f ca="1">SUMIFS(Table_Process_Details[RV GWP (kg CO2 equiv.) per kg API (METAL)],Table_Process_Details[Display Name],Table_Process_Details[[#This Row],[Unique Process Inputs]],Table_Process_Details[Input or Output],"Input")</f>
        <v>0</v>
      </c>
      <c r="FB72" s="1">
        <f ca="1">SUMIFS(Table_Process_Details[RV GWP (kg CO2 equiv.) per kg API (SOLVENT)],Table_Process_Details[Display Name],Table_Process_Details[[#This Row],[Unique Process Inputs]],Table_Process_Details[Input or Output],"Input")</f>
        <v>0</v>
      </c>
      <c r="FC72" s="1">
        <f ca="1">SUMIFS(Table_Process_Details[RV GWP (kg CO2 equiv.) per kg API (WATER)],Table_Process_Details[Display Name],Table_Process_Details[[#This Row],[Unique Process Inputs]],Table_Process_Details[Input or Output],"Input")</f>
        <v>0</v>
      </c>
      <c r="FD72" s="1">
        <f ca="1">SUMIFS(Table_Process_Details[RV GWP (kg CO2 equiv.) per kg API (ENZ&amp;PLNT)],Table_Process_Details[Display Name],Table_Process_Details[[#This Row],[Unique Process Inputs]],Table_Process_Details[Input or Output],"Input")</f>
        <v>0</v>
      </c>
      <c r="FE72" s="1">
        <f ca="1">SUMIFS(Table_Process_Details[RV GWP (kg CO2 equiv.) per kg API (OTHER)],Table_Process_Details[Display Name],Table_Process_Details[[#This Row],[Unique Process Inputs]],Table_Process_Details[Input or Output],"Input")</f>
        <v>0</v>
      </c>
      <c r="FF72" s="22" t="e">
        <f ca="1">INDEX(Table_Process_Details[Unique Process Inputs],MATCH(Table_Process_Details[[#This Row],['[GWP (kg CO2 equiv.) per kg API'] of Unique Inputs Sorted by '[GWP (kg CO2 equiv.) per kg API']]],Table_Process_Details[Total '[GWP (kg CO2 equiv.) per kg API'] of Unique Inputs],0))</f>
        <v>#N/A</v>
      </c>
      <c r="FG72" s="22" t="e">
        <f ca="1">IF(LARGE(Table_Process_Details[Total '[GWP (kg CO2 equiv.) per kg API'] of Unique Inputs],Table_Process_Details[[#This Row],[Table Row]])=0,NA(),LARGE(Table_Process_Details[Total '[GWP (kg CO2 equiv.) per kg API'] of Unique Inputs],Table_Process_Details[[#This Row],[Table Row]]))</f>
        <v>#N/A</v>
      </c>
      <c r="FH72" s="22" t="e">
        <f ca="1">SUM(OFFSET(Table_Process_Details['[GWP (kg CO2 equiv.) per kg API'] of Unique Inputs Sorted by '[GWP (kg CO2 equiv.) per kg API']],0,0,Table_Process_Details[[#This Row],[Table Row]]))</f>
        <v>#N/A</v>
      </c>
      <c r="FI72" s="22" t="e">
        <f ca="1">"("&amp;TEXT(Table_Process_Details[[#This Row],['[GWP (kg CO2 equiv.) per kg API'] of Unique Inputs Sorted by '[GWP (kg CO2 equiv.) per kg API']]]/SUMIF(Table_Process_Details['[GWP (kg CO2 equiv.) per kg API'] of Unique Inputs Sorted by '[GWP (kg CO2 equiv.) per kg API']],"&lt;&gt;#N/A"),"0%")&amp;")"</f>
        <v>#N/A</v>
      </c>
      <c r="FJ72" s="22" t="e">
        <f ca="1">INDEX(Table_Process_Details[Total '[GWP (kg CO2 equiv.) per kg API'] of Unique Inputs (REAGENT)], MATCH(Table_Process_Details[[#This Row],[Unique Inputs Sorted by '[GWP (kg CO2 equiv.) per kg API']]],Table_Process_Details[Unique Process Inputs],0))</f>
        <v>#N/A</v>
      </c>
      <c r="FK72" s="22" t="e">
        <f ca="1">INDEX(Table_Process_Details[Total '[GWP (kg CO2 equiv.) per kg API'] of Unique Inputs (METAL)], MATCH(Table_Process_Details[[#This Row],[Unique Inputs Sorted by '[GWP (kg CO2 equiv.) per kg API']]],Table_Process_Details[Unique Process Inputs],0))</f>
        <v>#N/A</v>
      </c>
      <c r="FL72" s="22" t="e">
        <f ca="1">INDEX(Table_Process_Details[Total '[GWP (kg CO2 equiv.) per kg API'] of Unique Inputs (SOLVENT)], MATCH(Table_Process_Details[[#This Row],[Unique Inputs Sorted by '[GWP (kg CO2 equiv.) per kg API']]],Table_Process_Details[Unique Process Inputs],0))</f>
        <v>#N/A</v>
      </c>
      <c r="FM72" s="22" t="e">
        <f ca="1">INDEX(Table_Process_Details[Total '[GWP (kg CO2 equiv.) per kg API'] of Unique Inputs (WATER)], MATCH(Table_Process_Details[[#This Row],[Unique Inputs Sorted by '[GWP (kg CO2 equiv.) per kg API']]],Table_Process_Details[Unique Process Inputs],0))</f>
        <v>#N/A</v>
      </c>
      <c r="FN72" s="22" t="e">
        <f ca="1">INDEX(Table_Process_Details[Total '[GWP (kg CO2 equiv.) per kg API'] of Unique Inputs (ENZ&amp;PLNT)], MATCH(Table_Process_Details[[#This Row],[Unique Inputs Sorted by '[GWP (kg CO2 equiv.) per kg API']]],Table_Process_Details[Unique Process Inputs],0))</f>
        <v>#N/A</v>
      </c>
      <c r="FO72" s="22" t="e">
        <f ca="1">INDEX(Table_Process_Details[Total '[GWP (kg CO2 equiv.) per kg API'] of Unique Inputs (OTHER)], MATCH(Table_Process_Details[[#This Row],[Unique Inputs Sorted by '[GWP (kg CO2 equiv.) per kg API']]],Table_Process_Details[Unique Process Inputs],0))</f>
        <v>#N/A</v>
      </c>
      <c r="FP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4.284934850431303E-5</v>
      </c>
      <c r="FQ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4.284934850431303E-5</v>
      </c>
      <c r="FU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2" s="22">
        <f ca="1">SUMIFS(Table_Process_Details[RV Acidification (kg SO2 equiv.) per kg API],Table_Process_Details[Display Name],Table_Process_Details[[#This Row],[Unique Process Inputs]],Table_Process_Details[Input or Output],"Input")</f>
        <v>0</v>
      </c>
      <c r="FX72" s="1">
        <f ca="1">SUMIFS(Table_Process_Details[RV Acidification (kg SO2 equiv.) per kg API (REAGENT)],Table_Process_Details[Display Name],Table_Process_Details[[#This Row],[Unique Process Inputs]],Table_Process_Details[Input or Output],"Input")</f>
        <v>0</v>
      </c>
      <c r="FY72" s="1">
        <f ca="1">SUMIFS(Table_Process_Details[RV Acidification (kg SO2 equiv.) per kg API (METAL)],Table_Process_Details[Display Name],Table_Process_Details[[#This Row],[Unique Process Inputs]],Table_Process_Details[Input or Output],"Input")</f>
        <v>0</v>
      </c>
      <c r="FZ72" s="1">
        <f ca="1">SUMIFS(Table_Process_Details[RV Acidification (kg SO2 equiv.) per kg API (SOLVENT)],Table_Process_Details[Display Name],Table_Process_Details[[#This Row],[Unique Process Inputs]],Table_Process_Details[Input or Output],"Input")</f>
        <v>0</v>
      </c>
      <c r="GA72" s="1">
        <f ca="1">SUMIFS(Table_Process_Details[RV Acidification (kg SO2 equiv.) per kg API (WATER)],Table_Process_Details[Display Name],Table_Process_Details[[#This Row],[Unique Process Inputs]],Table_Process_Details[Input or Output],"Input")</f>
        <v>0</v>
      </c>
      <c r="GB72" s="1">
        <f ca="1">SUMIFS(Table_Process_Details[RV Acidification (kg SO2 equiv.) per kg API (ENZ&amp;PLNT)],Table_Process_Details[Display Name],Table_Process_Details[[#This Row],[Unique Process Inputs]],Table_Process_Details[Input or Output],"Input")</f>
        <v>0</v>
      </c>
      <c r="GC72" s="1">
        <f ca="1">SUMIFS(Table_Process_Details[RV Acidification (kg SO2 equiv.) per kg API (OTHER)],Table_Process_Details[Display Name],Table_Process_Details[[#This Row],[Unique Process Inputs]],Table_Process_Details[Input or Output],"Input")</f>
        <v>0</v>
      </c>
      <c r="GD72"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2"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2" s="22" t="e">
        <f ca="1">SUM(OFFSET(Table_Process_Details['[Acidification (kg SO2 equiv.) per kg API'] of Unique Inputs Sorted by '[Acidification (kg SO2 equiv.) per kg API']],0,0,Table_Process_Details[[#This Row],[Table Row]]))</f>
        <v>#N/A</v>
      </c>
      <c r="GG72"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2" s="22" t="e">
        <f ca="1">INDEX(Table_Process_Details[Total '[Acidification (kg SO2 equiv.) per kg API'] of Unique Inputs (REAGENT)], MATCH(Table_Process_Details[[#This Row],[Unique Inputs Sorted by '[Acidification (kg SO2 equiv.) per kg API']]],Table_Process_Details[Unique Process Inputs],0))</f>
        <v>#N/A</v>
      </c>
      <c r="GI72" s="22" t="e">
        <f ca="1">INDEX(Table_Process_Details[Total '[Acidification (kg SO2 equiv.) per kg API'] of Unique Inputs (METAL)], MATCH(Table_Process_Details[[#This Row],[Unique Inputs Sorted by '[Acidification (kg SO2 equiv.) per kg API']]],Table_Process_Details[Unique Process Inputs],0))</f>
        <v>#N/A</v>
      </c>
      <c r="GJ72" s="22" t="e">
        <f ca="1">INDEX(Table_Process_Details[Total '[Acidification (kg SO2 equiv.) per kg API'] of Unique Inputs (SOLVENT)], MATCH(Table_Process_Details[[#This Row],[Unique Inputs Sorted by '[Acidification (kg SO2 equiv.) per kg API']]],Table_Process_Details[Unique Process Inputs],0))</f>
        <v>#N/A</v>
      </c>
      <c r="GK72" s="22" t="e">
        <f ca="1">INDEX(Table_Process_Details[Total '[Acidification (kg SO2 equiv.) per kg API'] of Unique Inputs (WATER)], MATCH(Table_Process_Details[[#This Row],[Unique Inputs Sorted by '[Acidification (kg SO2 equiv.) per kg API']]],Table_Process_Details[Unique Process Inputs],0))</f>
        <v>#N/A</v>
      </c>
      <c r="GL72" s="22" t="e">
        <f ca="1">INDEX(Table_Process_Details[Total '[Acidification (kg SO2 equiv.) per kg API'] of Unique Inputs (ENZ&amp;PLNT)], MATCH(Table_Process_Details[[#This Row],[Unique Inputs Sorted by '[Acidification (kg SO2 equiv.) per kg API']]],Table_Process_Details[Unique Process Inputs],0))</f>
        <v>#N/A</v>
      </c>
      <c r="GM72" s="22" t="e">
        <f ca="1">INDEX(Table_Process_Details[Total '[Acidification (kg SO2 equiv.) per kg API'] of Unique Inputs (OTHER)], MATCH(Table_Process_Details[[#This Row],[Unique Inputs Sorted by '[Acidification (kg SO2 equiv.) per kg API']]],Table_Process_Details[Unique Process Inputs],0))</f>
        <v>#N/A</v>
      </c>
      <c r="GN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2.5525814644889162E-5</v>
      </c>
      <c r="GO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2.5525814644889162E-5</v>
      </c>
      <c r="GS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2" s="22">
        <f ca="1">SUMIFS(Table_Process_Details[RV Eutrophication (kg phosphate equiv.) per kg API],Table_Process_Details[Display Name],Table_Process_Details[[#This Row],[Unique Process Inputs]],Table_Process_Details[Input or Output],"Input")</f>
        <v>0</v>
      </c>
      <c r="GV72" s="1">
        <f ca="1">SUMIFS(Table_Process_Details[RV Eutrophication (kg phosphate equiv.) per kg API (REAGENT)],Table_Process_Details[Display Name],Table_Process_Details[[#This Row],[Unique Process Inputs]],Table_Process_Details[Input or Output],"Input")</f>
        <v>0</v>
      </c>
      <c r="GW72" s="1">
        <f ca="1">SUMIFS(Table_Process_Details[RV Eutrophication (kg phosphate equiv.) per kg API (METAL)],Table_Process_Details[Display Name],Table_Process_Details[[#This Row],[Unique Process Inputs]],Table_Process_Details[Input or Output],"Input")</f>
        <v>0</v>
      </c>
      <c r="GX72" s="1">
        <f ca="1">SUMIFS(Table_Process_Details[RV Eutrophication (kg phosphate equiv.) per kg API (SOLVENT)],Table_Process_Details[Display Name],Table_Process_Details[[#This Row],[Unique Process Inputs]],Table_Process_Details[Input or Output],"Input")</f>
        <v>0</v>
      </c>
      <c r="GY72" s="1">
        <f ca="1">SUMIFS(Table_Process_Details[RV Eutrophication (kg phosphate equiv.) per kg API (WATER)],Table_Process_Details[Display Name],Table_Process_Details[[#This Row],[Unique Process Inputs]],Table_Process_Details[Input or Output],"Input")</f>
        <v>0</v>
      </c>
      <c r="GZ72" s="1">
        <f ca="1">SUMIFS(Table_Process_Details[RV Eutrophication (kg phosphate equiv.) per kg API (ENZ&amp;PLNT)],Table_Process_Details[Display Name],Table_Process_Details[[#This Row],[Unique Process Inputs]],Table_Process_Details[Input or Output],"Input")</f>
        <v>0</v>
      </c>
      <c r="HA72" s="1">
        <f ca="1">SUMIFS(Table_Process_Details[RV Eutrophication (kg phosphate equiv.) per kg API (OTHER)],Table_Process_Details[Display Name],Table_Process_Details[[#This Row],[Unique Process Inputs]],Table_Process_Details[Input or Output],"Input")</f>
        <v>0</v>
      </c>
      <c r="HB72"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2"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2" s="22" t="e">
        <f ca="1">SUM(OFFSET(Table_Process_Details['[Eutrophication (kg posphate equiv.) per kg API'] of Unique Inputs Sorted by '[Eutrophication (kg posphate equiv.) per kg API']],0,0,Table_Process_Details[[#This Row],[Table Row]]))</f>
        <v>#N/A</v>
      </c>
      <c r="HE72"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2" s="1" t="e">
        <f ca="1">INDEX(Table_Process_Details[Total '[Eutrophication (kg posphate equiv.) per kg API'] of Unique Inputs (REAGENT)], MATCH(Table_Process_Details[[#This Row],[Unique Inputs Sorted by '[Eutrophication (kg posphate equiv.) per kg API']]],Table_Process_Details[Unique Process Inputs],0))</f>
        <v>#N/A</v>
      </c>
      <c r="HG72" s="1" t="e">
        <f ca="1">INDEX(Table_Process_Details[Total '[Eutrophication (kg posphate equiv.) per kg API'] of Unique Inputs (METAL)], MATCH(Table_Process_Details[[#This Row],[Unique Inputs Sorted by '[Eutrophication (kg posphate equiv.) per kg API']]],Table_Process_Details[Unique Process Inputs],0))</f>
        <v>#N/A</v>
      </c>
      <c r="HH72" s="1" t="e">
        <f ca="1">INDEX(Table_Process_Details[Total '[Eutrophication (kg posphate equiv.) per kg API'] of Unique Inputs (SOLVENT)], MATCH(Table_Process_Details[[#This Row],[Unique Inputs Sorted by '[Eutrophication (kg posphate equiv.) per kg API']]],Table_Process_Details[Unique Process Inputs],0))</f>
        <v>#N/A</v>
      </c>
      <c r="HI72" s="1" t="e">
        <f ca="1">INDEX(Table_Process_Details[Total '[Eutrophication (kg posphate equiv.) per kg API'] of Unique Inputs (WATER)], MATCH(Table_Process_Details[[#This Row],[Unique Inputs Sorted by '[Eutrophication (kg posphate equiv.) per kg API']]],Table_Process_Details[Unique Process Inputs],0))</f>
        <v>#N/A</v>
      </c>
      <c r="HJ72" s="1" t="e">
        <f ca="1">INDEX(Table_Process_Details[Total '[Eutrophication (kg posphate equiv.) per kg API'] of Unique Inputs (ENZ&amp;PLNT)], MATCH(Table_Process_Details[[#This Row],[Unique Inputs Sorted by '[Eutrophication (kg posphate equiv.) per kg API']]],Table_Process_Details[Unique Process Inputs],0))</f>
        <v>#N/A</v>
      </c>
      <c r="HK72" s="1" t="e">
        <f ca="1">INDEX(Table_Process_Details[Total '[Eutrophication (kg posphate equiv.) per kg API'] of Unique Inputs (OTHER)], MATCH(Table_Process_Details[[#This Row],[Unique Inputs Sorted by '[Eutrophication (kg posphate equiv.) per kg API']]],Table_Process_Details[Unique Process Inputs],0))</f>
        <v>#N/A</v>
      </c>
      <c r="HL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13.910982932648295</v>
      </c>
      <c r="HM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13.910982932648295</v>
      </c>
      <c r="HQ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2" s="1">
        <f ca="1">SUMIFS(Table_Process_Details[RV Water (kg) per kg API],Table_Process_Details[Display Name],Table_Process_Details[[#This Row],[Unique Process Inputs]],Table_Process_Details[Input or Output],"Input")</f>
        <v>0</v>
      </c>
      <c r="HT72" s="1">
        <f ca="1">SUMIFS(Table_Process_Details[RV Water (kg) per kg API (REAGENT)],Table_Process_Details[Display Name],Table_Process_Details[[#This Row],[Unique Process Inputs]],Table_Process_Details[Input or Output],"Input")</f>
        <v>0</v>
      </c>
      <c r="HU72" s="1">
        <f ca="1">SUMIFS(Table_Process_Details[RV Water (kg) per kg API (METAL)],Table_Process_Details[Display Name],Table_Process_Details[[#This Row],[Unique Process Inputs]],Table_Process_Details[Input or Output],"Input")</f>
        <v>0</v>
      </c>
      <c r="HV72" s="1">
        <f ca="1">SUMIFS(Table_Process_Details[RV Water (kg) per kg API (SOLVENT)],Table_Process_Details[Display Name],Table_Process_Details[[#This Row],[Unique Process Inputs]],Table_Process_Details[Input or Output],"Input")</f>
        <v>0</v>
      </c>
      <c r="HW72" s="1">
        <f ca="1">SUMIFS(Table_Process_Details[RV Water (kg) per kg API (WATER)],Table_Process_Details[Display Name],Table_Process_Details[[#This Row],[Unique Process Inputs]],Table_Process_Details[Input or Output],"Input")</f>
        <v>0</v>
      </c>
      <c r="HX72" s="1">
        <f ca="1">SUMIFS(Table_Process_Details[RV Water (kg) per kg API (ENZ&amp;PLNT)],Table_Process_Details[Display Name],Table_Process_Details[[#This Row],[Unique Process Inputs]],Table_Process_Details[Input or Output],"Input")</f>
        <v>0</v>
      </c>
      <c r="HY72" s="1">
        <f ca="1">SUMIFS(Table_Process_Details[RV Water (kg) per kg API (OTHER)],Table_Process_Details[Display Name],Table_Process_Details[[#This Row],[Unique Process Inputs]],Table_Process_Details[Input or Output],"Input")</f>
        <v>0</v>
      </c>
      <c r="HZ72" s="22" t="e">
        <f ca="1">INDEX(Table_Process_Details[Unique Process Inputs],MATCH(Table_Process_Details[[#This Row],['[Water (kg) per kg API'] of Unique Inputs Sorted by '[Water (kg) per kg API']]],Table_Process_Details[Total '[Water (kg) per kg API'] of Unique Inputs],0))</f>
        <v>#N/A</v>
      </c>
      <c r="IA72" s="22" t="e">
        <f ca="1">IF(LARGE(Table_Process_Details[Total '[Water (kg) per kg API'] of Unique Inputs],Table_Process_Details[[#This Row],[Table Row]])=0,NA(),LARGE(Table_Process_Details[Total '[Water (kg) per kg API'] of Unique Inputs],Table_Process_Details[[#This Row],[Table Row]]))</f>
        <v>#N/A</v>
      </c>
      <c r="IB72" s="1" t="e">
        <f ca="1">SUM(OFFSET(Table_Process_Details['[Water (kg) per kg API'] of Unique Inputs Sorted by '[Water (kg) per kg API']],0,0,Table_Process_Details[[#This Row],[Table Row]]))</f>
        <v>#N/A</v>
      </c>
      <c r="IC72" s="1" t="e">
        <f ca="1">"("&amp;TEXT(Table_Process_Details[[#This Row],['[Water (kg) per kg API'] of Unique Inputs Sorted by '[Water (kg) per kg API']]]/SUMIF(Table_Process_Details['[Water (kg) per kg API'] of Unique Inputs Sorted by '[Water (kg) per kg API']],"&lt;&gt;#N/A"),"0%")&amp;")"</f>
        <v>#N/A</v>
      </c>
      <c r="ID72" s="1" t="e">
        <f ca="1">INDEX(Table_Process_Details[Total '[Water (kg) per kg API'] of Unique Inputs (REAGENT)], MATCH(Table_Process_Details[[#This Row],[Unique Inputs Sorted by '[Water (kg) per kg API']]],Table_Process_Details[Unique Process Inputs],0))</f>
        <v>#N/A</v>
      </c>
      <c r="IE72" s="1" t="e">
        <f ca="1">INDEX(Table_Process_Details[Total '[Water (kg) per kg API'] of Unique Inputs (METAL)], MATCH(Table_Process_Details[[#This Row],[Unique Inputs Sorted by '[Water (kg) per kg API']]],Table_Process_Details[Unique Process Inputs],0))</f>
        <v>#N/A</v>
      </c>
      <c r="IF72" s="1" t="e">
        <f ca="1">INDEX(Table_Process_Details[Total '[Water (kg) per kg API'] of Unique Inputs (SOLVENT)], MATCH(Table_Process_Details[[#This Row],[Unique Inputs Sorted by '[Water (kg) per kg API']]],Table_Process_Details[Unique Process Inputs],0))</f>
        <v>#N/A</v>
      </c>
      <c r="IG72" s="1" t="e">
        <f ca="1">INDEX(Table_Process_Details[Total '[Water (kg) per kg API'] of Unique Inputs (WATER)], MATCH(Table_Process_Details[[#This Row],[Unique Inputs Sorted by '[Water (kg) per kg API']]],Table_Process_Details[Unique Process Inputs],0))</f>
        <v>#N/A</v>
      </c>
      <c r="IH72" s="1" t="e">
        <f ca="1">INDEX(Table_Process_Details[Total '[Water (kg) per kg API'] of Unique Inputs (ENZ&amp;PLNT)], MATCH(Table_Process_Details[[#This Row],[Unique Inputs Sorted by '[Water (kg) per kg API']]],Table_Process_Details[Unique Process Inputs],0))</f>
        <v>#N/A</v>
      </c>
      <c r="II72" s="1" t="e">
        <f ca="1">INDEX(Table_Process_Details[Total '[Water (kg) per kg API'] of Unique Inputs (OTHER)], MATCH(Table_Process_Details[[#This Row],[Unique Inputs Sorted by '[Water (kg) per kg API']]],Table_Process_Details[Unique Process Inputs],0))</f>
        <v>#N/A</v>
      </c>
    </row>
    <row r="73" spans="1:243" s="139" customFormat="1" ht="15.75" thickBot="1" x14ac:dyDescent="0.3">
      <c r="A73" s="132" t="str">
        <f>A72</f>
        <v>3) Synthesis of Intermediate (3)</v>
      </c>
      <c r="B73" s="133" t="s">
        <v>5</v>
      </c>
      <c r="C73" s="133" t="s">
        <v>155</v>
      </c>
      <c r="D73" s="132" t="s">
        <v>155</v>
      </c>
      <c r="E73" s="132" t="str">
        <f>'1. Define Process Steps'!C20</f>
        <v>Intermediate (3)</v>
      </c>
      <c r="F73" s="134">
        <v>0.09</v>
      </c>
      <c r="G73" s="134"/>
      <c r="H73" s="134" t="s">
        <v>861</v>
      </c>
      <c r="I73" s="134"/>
      <c r="J73" s="134" t="str">
        <f>INDEX(Process_Steps[Reference],MATCH(Table_Process_Details[[#This Row],[Step Name]],Process_Steps[Name],0))</f>
        <v>Another Reference Document!</v>
      </c>
      <c r="K73" s="135" t="str">
        <f>INDEX(Process_Steps[Real or Virtual?],MATCH(Table_Process_Details[[#This Row],[Step Name]],Process_Steps[Name],0))</f>
        <v>Real</v>
      </c>
      <c r="L73" s="134"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73" s="134"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73" s="134">
        <f>INDEX(Table_Process_Details[Physical Mass (kg)],MATCH(1,INDEX(((Table_Process_Details[Step Name]=Table_Process_Details[[#This Row],[Step Name]])*(Table_Process_Details[Input or Output]="Output")),0),0))</f>
        <v>0.09</v>
      </c>
      <c r="O73" s="136">
        <f ca="1">INDEX(Process_Steps[Step Scale Factor for 1kg Packaged API],MATCH(Table_Process_Details[[#This Row],[Step Name]],Process_Steps[Name],0))</f>
        <v>11.011194714626619</v>
      </c>
      <c r="P73" s="134">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v>
      </c>
      <c r="Q73" s="134">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7</v>
      </c>
      <c r="R73" s="134">
        <f ca="1">_xlfn.SWITCH(Run_Reset_PNG,"Reset",Table_Process_Details[[#This Row],[X Init]],"Run",Table_Process_Details[[#This Row],[X Moved]],"Freeze",Table_Process_Details[[#This Row],[X Mover]])</f>
        <v>15.707298460481789</v>
      </c>
      <c r="S73" s="134">
        <f ca="1">_xlfn.SWITCH(Run_Reset_PNG,"Reset",Table_Process_Details[[#This Row],[Y Init]],"Run",Table_Process_Details[[#This Row],[Y Moved]],"Freeze",Table_Process_Details[[#This Row],[Y Mover]])</f>
        <v>10.348961867752488</v>
      </c>
      <c r="T73" s="134" cm="1">
        <f t="array" aca="1" ref="T7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-1.1626218474932981</v>
      </c>
      <c r="U73" s="134" cm="1">
        <f t="array" aca="1" ref="U7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6.0963921342032656E-2</v>
      </c>
      <c r="V73" s="134" cm="1">
        <f t="array" aca="1" ref="V73" ca="1">SUM(--(SQRT((Table_Process_Details[[#This Row],[X Mover]]-Table_Process_Details[X Mover])^2+(Table_Process_Details[[#This Row],[Y Mover]]-Table_Process_Details[Y Mover])^2)&lt;Collision_Distance))</f>
        <v>16</v>
      </c>
      <c r="W73" s="134" cm="1">
        <f t="array" aca="1" ref="W7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0.88501597674613275</v>
      </c>
      <c r="X73" s="134" cm="1">
        <f t="array" aca="1" ref="X7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0.15704129895509866</v>
      </c>
      <c r="Y73" s="134" cm="1">
        <f t="array" aca="1" ref="Y7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v>
      </c>
      <c r="Z73" s="134">
        <f>0</f>
        <v>0</v>
      </c>
      <c r="AA73" s="134">
        <f>0</f>
        <v>0</v>
      </c>
      <c r="AB73" s="134">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-7.8536492302408947</v>
      </c>
      <c r="AC73" s="134" cm="1">
        <f t="array" aca="1" ref="AC7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-5.1744809338762439</v>
      </c>
      <c r="AD73" s="134">
        <f>MIN(1,COUNTA(Table_Process_Details[[#This Row],[target x]]),COUNTA(Table_Process_Details[[#This Row],[target y]]))*COUNTA(Table_Process_Details[Step Name])</f>
        <v>98</v>
      </c>
      <c r="AE73" s="134">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15.652830425681206</v>
      </c>
      <c r="AF73" s="134">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10.317420320197717</v>
      </c>
      <c r="AG73" s="134"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73" s="134" t="e" cm="1">
        <f t="array" ref="AH73">INDEX(Table_Process_Details[X Mover],MATCH(1,INDEX((Table_Process_Details[Input or Output]="Output")*(Table_Process_Details[Step Name]=Table_Process_Details[[#This Row],[Step Name]])*(Table_Process_Details[[#This Row],[Input or Output]]="Input"),0),0))</f>
        <v>#N/A</v>
      </c>
      <c r="AI73" s="134" t="e" cm="1">
        <f t="array" ref="AI73">INDEX(Table_Process_Details[Y Mover],MATCH(1,INDEX((Table_Process_Details[Input or Output]="Output")*(Table_Process_Details[Step Name]=Table_Process_Details[[#This Row],[Step Name]])*(Table_Process_Details[[#This Row],[Input or Output]]="Input"),0),0))</f>
        <v>#N/A</v>
      </c>
      <c r="AJ73" s="134" t="e">
        <f>SQRT((Table_Process_Details[[#This Row],[X End (To Node Center)]]-Table_Process_Details[[#This Row],[X Guide]])^2+(Table_Process_Details[[#This Row],[Y End (to Node Center)]]-Table_Process_Details[[#This Row],[Y Guide]])^2)</f>
        <v>#N/A</v>
      </c>
      <c r="AK73" s="134" t="e" cm="1">
        <f t="array" ref="AK73">INDEX(Table_Process_Details[X Mover],MATCH(1,INDEX((Table_Process_Details[Step Name]=Table_Process_Details[[#This Row],[LCA Data Source Subclass]])*(Table_Process_Details[Input or Output]="Output"),0)*(Table_Process_Details[[#This Row],[Input or Output]]="Input"),0))</f>
        <v>#N/A</v>
      </c>
      <c r="AL73" s="134" t="e" cm="1">
        <f t="array" ref="AL73">INDEX(Table_Process_Details[X Mover],MATCH(1,INDEX(((Table_Process_Details[Table Row]=Table_Process_Details[[#This Row],[Table Row]])*(1)),0)*(Table_Process_Details[[#This Row],[Input or Output]]="Input"),0))</f>
        <v>#N/A</v>
      </c>
      <c r="AM73" s="134" t="e" cm="1">
        <f t="array" ref="AM73">(Table_Process_Details[[#This Row],[X End (To Node Center)]]*Table_Process_Details[[#This Row],[r0]]-Table_Process_Details[[#This Row],[X End (To Node Center)]]*Arrow_Offset+Table_Process_Details[[#This Row],[X Guide]]*Arrow_Offset)/Table_Process_Details[[#This Row],[r0]]</f>
        <v>#N/A</v>
      </c>
      <c r="AN73" s="134" t="e">
        <f>IF(NOT(Table_Process_Details[[#This Row],[Display As]]="None"),Table_Process_Details[[#This Row],[X Start Prefilter]],NA())</f>
        <v>#N/A</v>
      </c>
      <c r="AO73" s="134" t="e">
        <f>IF(NOT(Table_Process_Details[[#This Row],[Display As]]="None"),Table_Process_Details[[#This Row],[X Guide Prefilter]],NA())</f>
        <v>#N/A</v>
      </c>
      <c r="AP73" s="134" t="e">
        <f>IF(NOT(Table_Process_Details[[#This Row],[Display As]]="None"),Table_Process_Details[[#This Row],[X End (to Stop Radius) Prefilter]],NA())</f>
        <v>#N/A</v>
      </c>
      <c r="AQ73" s="134" t="e">
        <f>NA()</f>
        <v>#N/A</v>
      </c>
      <c r="AR73" s="134" t="e" cm="1">
        <f t="array" ref="AR73">INDEX(Table_Process_Details[Y Mover],MATCH(1,INDEX((Table_Process_Details[Step Name]=Table_Process_Details[[#This Row],[LCA Data Source Subclass]])*(Table_Process_Details[Input or Output]="Output"),0)*(Table_Process_Details[[#This Row],[Input or Output]]="Input"),0))</f>
        <v>#N/A</v>
      </c>
      <c r="AS73" s="134" t="e" cm="1">
        <f t="array" ref="AS73">INDEX(Table_Process_Details[Y Mover],MATCH(1,INDEX(((Table_Process_Details[Table Row]=Table_Process_Details[[#This Row],[Table Row]])*(1)),0)*(Table_Process_Details[[#This Row],[Input or Output]]="Input"),0))</f>
        <v>#N/A</v>
      </c>
      <c r="AT73" s="134" t="e" cm="1">
        <f t="array" ref="AT73">(Table_Process_Details[[#This Row],[Y Guide]]*Arrow_Offset-Table_Process_Details[[#This Row],[Y End (to Node Center)]]*Arrow_Offset+Table_Process_Details[[#This Row],[Y End (to Node Center)]]*Table_Process_Details[[#This Row],[r0]])/Table_Process_Details[[#This Row],[r0]]</f>
        <v>#N/A</v>
      </c>
      <c r="AU73" s="134" t="e">
        <f>IF(NOT(Table_Process_Details[[#This Row],[Display As]]="None"),Table_Process_Details[[#This Row],[Y Start Prefilter]],NA())</f>
        <v>#N/A</v>
      </c>
      <c r="AV73" s="134" t="e">
        <f>IF(NOT(Table_Process_Details[[#This Row],[Display As]]="None"),Table_Process_Details[[#This Row],[Y Guide Prefilter]],NA())</f>
        <v>#N/A</v>
      </c>
      <c r="AW73" s="134" t="e">
        <f>IF(NOT(Table_Process_Details[[#This Row],[Display As]]="None"),Table_Process_Details[[#This Row],[Y End (to Stop Radius) Prefilter]],NA())</f>
        <v>#N/A</v>
      </c>
      <c r="AX73" s="134" t="e">
        <f>NA()</f>
        <v>#N/A</v>
      </c>
      <c r="AY73" s="134">
        <f ca="1">IF(Table_Process_Details[[#This Row],[Display As]]="Real Step",Table_Process_Details[[#This Row],[X Mover]],NA())</f>
        <v>15.707298460481789</v>
      </c>
      <c r="AZ73" s="134">
        <f ca="1">IF(Table_Process_Details[[#This Row],[Display As]]="Real Step",Table_Process_Details[[#This Row],[Y Mover]],NA())</f>
        <v>10.348961867752488</v>
      </c>
      <c r="BA73" s="134" t="e">
        <f>IF(Table_Process_Details[[#This Row],[Display As]]="Raw Material",Table_Process_Details[[#This Row],[X Mover]],NA())</f>
        <v>#N/A</v>
      </c>
      <c r="BB73" s="134" t="e">
        <f>IF(Table_Process_Details[[#This Row],[Display As]]="Raw Material",Table_Process_Details[[#This Row],[Y Mover]],NA())</f>
        <v>#N/A</v>
      </c>
      <c r="BC73" s="134">
        <f ca="1">IF(OR(Table_Process_Details[[#This Row],[Display As]]="Real Step",Table_Process_Details[[#This Row],[Display As]]="Raw Material"),Table_Process_Details[[#This Row],[X Mover]],NA())</f>
        <v>15.707298460481789</v>
      </c>
      <c r="BD73" s="134">
        <f ca="1">IF(OR(Table_Process_Details[[#This Row],[Display As]]="Real Step",Table_Process_Details[[#This Row],[Display As]]="Raw Material"),Table_Process_Details[[#This Row],[Y Mover]],NA())</f>
        <v>10.348961867752488</v>
      </c>
      <c r="BE73" s="132">
        <f>ROW()-ROW(Table_Process_Details[[#Headers],[Table Row]])</f>
        <v>69</v>
      </c>
      <c r="BF73" s="137" t="e" cm="1">
        <f t="array" aca="1" ref="BF73" ca="1">INDEX(Table_Process_Details[Display Name],MATCH(0,IF(Table_Process_Details[Input or Output]="Input",INDEX(COUNTIF(OFFSET(Table_Process_Details[[#Headers],[Unique Process Inputs]],0,0,Table_Process_Details[[#This Row],[Table Row]],1),Table_Process_Details[Display Name]),),""),0))</f>
        <v>#N/A</v>
      </c>
      <c r="BG73" s="137">
        <f ca="1">Table_Process_Details[[#This Row],[Physical Mass (kg)]]*Table_Process_Details[[#This Row],[Step Scale Factor for 1kg Packaged API]]</f>
        <v>0.99100752431639572</v>
      </c>
      <c r="BH73" s="137">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3" s="137">
        <f ca="1">MATCH(Table_Process_Details[[#This Row],[LCA Data Source Class]],INDIRECT(Table_Process_Details[[#This Row],[Input or Output]]),0)</f>
        <v>1</v>
      </c>
      <c r="BJ73" s="137">
        <f ca="1">MATCH(Table_Process_Details[[#This Row],[LCA Data Source Subclass]],INDIRECT(Table_Process_Details[[#This Row],[LCA Data Source Class]]&amp;"[Name]"),0)</f>
        <v>1</v>
      </c>
      <c r="BK73" s="137">
        <f ca="1">IFERROR(INDEX(INDIRECT(Table_Process_Details[[#This Row],[LCA Data Source Class]]&amp;"[Mass Net (kg)]"),MATCH(Table_Process_Details[[#This Row],[LCA Data Source Subclass]],INDIRECT(Table_Process_Details[[#This Row],[LCA Data Source Class]]&amp;"[Name]"),0)),0)</f>
        <v>0</v>
      </c>
      <c r="BL73" s="137">
        <f ca="1">IFERROR(INDEX(INDIRECT(Table_Process_Details[[#This Row],[LCA Data Source Class]]&amp;"[Energy (MJ)]"),MATCH(Table_Process_Details[[#This Row],[LCA Data Source Subclass]],INDIRECT(Table_Process_Details[[#This Row],[LCA Data Source Class]]&amp;"[Name]"),0)),0)</f>
        <v>0</v>
      </c>
      <c r="BM73" s="137">
        <f ca="1">IFERROR(INDEX(INDIRECT(Table_Process_Details[[#This Row],[LCA Data Source Class]]&amp;"[GWP (kg CO2 equiv.)]"),MATCH(Table_Process_Details[[#This Row],[LCA Data Source Subclass]],INDIRECT(Table_Process_Details[[#This Row],[LCA Data Source Class]]&amp;"[Name]"),0)),0)</f>
        <v>0</v>
      </c>
      <c r="BN73" s="137">
        <f ca="1">IFERROR(INDEX(INDIRECT(Table_Process_Details[[#This Row],[LCA Data Source Class]]&amp;"[Acidification (kg SO2 equiv.)]"),MATCH(Table_Process_Details[[#This Row],[LCA Data Source Subclass]],INDIRECT(Table_Process_Details[[#This Row],[LCA Data Source Class]]&amp;"[Name]"),0)),0)</f>
        <v>0</v>
      </c>
      <c r="BO73" s="137">
        <f ca="1">IFERROR(INDEX(INDIRECT(Table_Process_Details[[#This Row],[LCA Data Source Class]]&amp;"[Eutrophication (kg posphate equiv.)]"),MATCH(Table_Process_Details[[#This Row],[LCA Data Source Subclass]],INDIRECT(Table_Process_Details[[#This Row],[LCA Data Source Class]]&amp;"[Name]"),0)),0)</f>
        <v>0</v>
      </c>
      <c r="BP73" s="137">
        <f ca="1">IFERROR(INDEX(INDIRECT(Table_Process_Details[[#This Row],[LCA Data Source Class]]&amp;"[Water (kg)]"),MATCH(Table_Process_Details[[#This Row],[LCA Data Source Subclass]],INDIRECT(Table_Process_Details[[#This Row],[LCA Data Source Class]]&amp;"[Name]"),0)),0)</f>
        <v>0</v>
      </c>
      <c r="BQ73" s="135">
        <f ca="1">(Table_Process_Details[[#This Row],[Input or Output]]="Input")*(Table_Process_Details[[#This Row],[LCA Data Source Class]]&lt;&gt;"Process_Steps")*Table_Process_Details[[#This Row],[Scaled Physical Mass per kg API for All Inputs &amp; Outputs]]</f>
        <v>0</v>
      </c>
      <c r="BR73" s="135">
        <f ca="1">(Table_Process_Details[[#This Row],[Material Class]]="REAGENT")*Table_Process_Details[[#This Row],[Physical Mass per kg API]]</f>
        <v>0</v>
      </c>
      <c r="BS73" s="135">
        <f ca="1">(Table_Process_Details[[#This Row],[Material Class]]="METAL")*Table_Process_Details[[#This Row],[Physical Mass per kg API]]</f>
        <v>0</v>
      </c>
      <c r="BT73" s="135">
        <f ca="1">(Table_Process_Details[[#This Row],[Material Class]]="SOLVENT")*Table_Process_Details[[#This Row],[Physical Mass per kg API]]</f>
        <v>0</v>
      </c>
      <c r="BU73" s="135">
        <f ca="1">(Table_Process_Details[[#This Row],[Material Class]]="WATER")*Table_Process_Details[[#This Row],[Physical Mass per kg API]]</f>
        <v>0</v>
      </c>
      <c r="BV73" s="135">
        <f ca="1">(Table_Process_Details[[#This Row],[Material Class]]="ENZ&amp;PLNT")*Table_Process_Details[[#This Row],[Physical Mass per kg API]]</f>
        <v>0</v>
      </c>
      <c r="BW73" s="135">
        <f ca="1">(Table_Process_Details[[#This Row],[Material Class]]="OTHER")*Table_Process_Details[[#This Row],[Physical Mass per kg API]]</f>
        <v>0</v>
      </c>
      <c r="BX73" s="135">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3" s="135">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3" s="136">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3" s="135">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3" s="135">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3" s="136">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3" s="136">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3" s="138">
        <f ca="1">SUMIFS(Table_Process_Details[RV Physical Mass per kg API],Table_Process_Details[Display Name],Table_Process_Details[[#This Row],[Unique Process Inputs]],Table_Process_Details[Input or Output],"Input")</f>
        <v>0</v>
      </c>
      <c r="CF73" s="138">
        <f ca="1">SUMIFS(Table_Process_Details[RV Physical Mass per kg API (REAGENT)],Table_Process_Details[Display Name],Table_Process_Details[[#This Row],[Unique Process Inputs]],Table_Process_Details[Input or Output],"Input")</f>
        <v>0</v>
      </c>
      <c r="CG73" s="138">
        <f ca="1">SUMIFS(Table_Process_Details[RV Physical Mass per kg API (METAL)],Table_Process_Details[Display Name],Table_Process_Details[[#This Row],[Unique Process Inputs]],Table_Process_Details[Input or Output],"Input")</f>
        <v>0</v>
      </c>
      <c r="CH73" s="138">
        <f ca="1">SUMIFS(Table_Process_Details[RV Physical Mass per kg API (SOLVENT)],Table_Process_Details[Display Name],Table_Process_Details[[#This Row],[Unique Process Inputs]],Table_Process_Details[Input or Output],"Input")</f>
        <v>0</v>
      </c>
      <c r="CI73" s="138">
        <f ca="1">SUMIFS(Table_Process_Details[RV Physical Mass per kg API (WATER)],Table_Process_Details[Display Name],Table_Process_Details[[#This Row],[Unique Process Inputs]],Table_Process_Details[Input or Output],"Input")</f>
        <v>0</v>
      </c>
      <c r="CJ73" s="138">
        <f ca="1">SUMIFS(Table_Process_Details[RV Physical Mass per kg API (ENZ&amp;PLNT)],Table_Process_Details[Display Name],Table_Process_Details[[#This Row],[Unique Process Inputs]],Table_Process_Details[Input or Output],"Input")</f>
        <v>0</v>
      </c>
      <c r="CK73" s="138">
        <f ca="1">SUMIFS(Table_Process_Details[RV Physical Mass per kg API (OTHER)],Table_Process_Details[Display Name],Table_Process_Details[[#This Row],[Unique Process Inputs]],Table_Process_Details[Input or Output],"Input")</f>
        <v>0</v>
      </c>
      <c r="CL73" s="132" t="e">
        <f ca="1">INDEX(Table_Process_Details[Unique Process Inputs],MATCH(Table_Process_Details[[#This Row],['[Physical Mass per kg API'] of Unique Inputs Sorted by '[Physical Mass per kg API']]],Table_Process_Details[Total '[Physical Mass per kg API'] of Unique Inputs],0))</f>
        <v>#N/A</v>
      </c>
      <c r="CM73" s="132" t="e">
        <f ca="1">IF(LARGE(Table_Process_Details[Total '[Physical Mass per kg API'] of Unique Inputs],Table_Process_Details[[#This Row],[Table Row]])=0,NA(),LARGE(Table_Process_Details[Total '[Physical Mass per kg API'] of Unique Inputs],Table_Process_Details[[#This Row],[Table Row]]))</f>
        <v>#N/A</v>
      </c>
      <c r="CN73" s="132" t="e">
        <f ca="1">SUM(OFFSET(Table_Process_Details['[Physical Mass per kg API'] of Unique Inputs Sorted by '[Physical Mass per kg API']],0,0,Table_Process_Details[[#This Row],[Table Row]]))</f>
        <v>#N/A</v>
      </c>
      <c r="CO73" s="132" t="e">
        <f ca="1">"("&amp;TEXT(Table_Process_Details[[#This Row],['[Physical Mass per kg API'] of Unique Inputs Sorted by '[Physical Mass per kg API']]]/SUMIF(Table_Process_Details['[Physical Mass per kg API'] of Unique Inputs Sorted by '[Physical Mass per kg API']],"&lt;&gt;#N/A"),"0%")&amp;")"</f>
        <v>#N/A</v>
      </c>
      <c r="CP73" s="132" t="e">
        <f ca="1">INDEX(Table_Process_Details[Total '[Physical Mass per kg API'] of Unique Inputs (REAGENT)],MATCH(Table_Process_Details[[#This Row],[Unique Inputs Sorted by '[Physical Mass per kg API']]],Table_Process_Details[Unique Process Inputs],0))</f>
        <v>#N/A</v>
      </c>
      <c r="CQ73" s="132" t="e">
        <f ca="1">INDEX(Table_Process_Details[Total '[Physical Mass per kg API'] of Unique Inputs (METAL)],MATCH(Table_Process_Details[[#This Row],[Unique Inputs Sorted by '[Physical Mass per kg API']]],Table_Process_Details[Unique Process Inputs],0))</f>
        <v>#N/A</v>
      </c>
      <c r="CR73" s="132" t="e">
        <f ca="1">INDEX(Table_Process_Details[Total '[Physical Mass per kg API'] of Unique Inputs (SOLVENT)],MATCH(Table_Process_Details[[#This Row],[Unique Inputs Sorted by '[Physical Mass per kg API']]],Table_Process_Details[Unique Process Inputs],0))</f>
        <v>#N/A</v>
      </c>
      <c r="CS73" s="132" t="e">
        <f ca="1">INDEX(Table_Process_Details[Total '[Physical Mass per kg API'] of Unique Inputs (WATER)],MATCH(Table_Process_Details[[#This Row],[Unique Inputs Sorted by '[Physical Mass per kg API']]],Table_Process_Details[Unique Process Inputs],0))</f>
        <v>#N/A</v>
      </c>
      <c r="CT73" s="132" t="e">
        <f ca="1">INDEX(Table_Process_Details[Total '[Physical Mass per kg API'] of Unique Inputs (ENZ&amp;PLNT)],MATCH(Table_Process_Details[[#This Row],[Unique Inputs Sorted by '[Physical Mass per kg API']]],Table_Process_Details[Unique Process Inputs],0))</f>
        <v>#N/A</v>
      </c>
      <c r="CU73" s="132" t="e">
        <f ca="1">INDEX(Table_Process_Details[Total '[Physical Mass per kg API'] of Unique Inputs (OTHER)],MATCH(Table_Process_Details[[#This Row],[Unique Inputs Sorted by '[Physical Mass per kg API']]],Table_Process_Details[Unique Process Inputs],0))</f>
        <v>#N/A</v>
      </c>
      <c r="CV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3" s="132">
        <f ca="1">SUMIFS(Table_Process_Details[RV Mass Net (kg) per kg API],Table_Process_Details[Display Name],Table_Process_Details[[#This Row],[Unique Process Inputs]],Table_Process_Details[Input or Output],"Input")</f>
        <v>0</v>
      </c>
      <c r="DD73" s="132">
        <f ca="1">SUMIFS(Table_Process_Details[RV Mass Net (kg) per kg API (REAGENT)],Table_Process_Details[Display Name],Table_Process_Details[[#This Row],[Unique Process Inputs]],Table_Process_Details[Input or Output],"Input")</f>
        <v>0</v>
      </c>
      <c r="DE73" s="132">
        <f ca="1">SUMIFS(Table_Process_Details[RV Mass Net (kg) per kg API (METAL)],Table_Process_Details[Display Name],Table_Process_Details[[#This Row],[Unique Process Inputs]],Table_Process_Details[Input or Output],"Input")</f>
        <v>0</v>
      </c>
      <c r="DF73" s="132">
        <f ca="1">SUMIFS(Table_Process_Details[RV Mass Net (kg) per kg API (SOLVENT)],Table_Process_Details[Display Name],Table_Process_Details[[#This Row],[Unique Process Inputs]],Table_Process_Details[Input or Output],"Input")</f>
        <v>0</v>
      </c>
      <c r="DG73" s="132">
        <f ca="1">SUMIFS(Table_Process_Details[RV Mass Net (kg) per kg API (WATER)],Table_Process_Details[Display Name],Table_Process_Details[[#This Row],[Unique Process Inputs]],Table_Process_Details[Input or Output],"Input")</f>
        <v>0</v>
      </c>
      <c r="DH73" s="132">
        <f ca="1">SUMIFS(Table_Process_Details[RV Mass Net (kg) per kg API (ENZ&amp;PLNT)],Table_Process_Details[Display Name],Table_Process_Details[[#This Row],[Unique Process Inputs]],Table_Process_Details[Input or Output],"Input")</f>
        <v>0</v>
      </c>
      <c r="DI73" s="132">
        <f ca="1">SUMIFS(Table_Process_Details[RV Mass Net (kg) per kg API (OTHER)],Table_Process_Details[Display Name],Table_Process_Details[[#This Row],[Unique Process Inputs]],Table_Process_Details[Input or Output],"Input")</f>
        <v>0</v>
      </c>
      <c r="DJ73" s="132" t="e">
        <f ca="1">INDEX(Table_Process_Details[Unique Process Inputs],MATCH(Table_Process_Details[[#This Row],['[Mass Net (kg) per kg API'] of Unique Inputs Sorted by '[Mass Net (kg) per kg API']]],Table_Process_Details[Total '[Mass Net (kg) per kg API'] of Unique Inputs],0))</f>
        <v>#N/A</v>
      </c>
      <c r="DK73" s="132" t="e">
        <f ca="1">IF(LARGE(Table_Process_Details[Total '[Mass Net (kg) per kg API'] of Unique Inputs],Table_Process_Details[[#This Row],[Table Row]])=0,NA(),LARGE(Table_Process_Details[Total '[Mass Net (kg) per kg API'] of Unique Inputs],Table_Process_Details[[#This Row],[Table Row]]))</f>
        <v>#N/A</v>
      </c>
      <c r="DL73" s="132" t="e">
        <f ca="1">SUM(OFFSET(Table_Process_Details['[Mass Net (kg) per kg API'] of Unique Inputs Sorted by '[Mass Net (kg) per kg API']],0,0,Table_Process_Details[[#This Row],[Table Row]]))</f>
        <v>#N/A</v>
      </c>
      <c r="DM73" s="132" t="e">
        <f ca="1">"("&amp;TEXT(Table_Process_Details[[#This Row],['[Mass Net (kg) per kg API'] of Unique Inputs Sorted by '[Mass Net (kg) per kg API']]]/SUMIF(Table_Process_Details['[Mass Net (kg) per kg API'] of Unique Inputs Sorted by '[Mass Net (kg) per kg API']],"&lt;&gt;#N/A"),"0%")&amp;")"</f>
        <v>#N/A</v>
      </c>
      <c r="DN73" s="132" t="e">
        <f ca="1">INDEX(Table_Process_Details[Total '[Mass Net (kg) per kg API'] of Unique Inputs (REAGENT)], MATCH(Table_Process_Details[[#This Row],[Unique Inputs Sorted by '[Mass Net (kg) per kg API']]],Table_Process_Details[Unique Process Inputs],0))</f>
        <v>#N/A</v>
      </c>
      <c r="DO73" s="132" t="e">
        <f ca="1">INDEX(Table_Process_Details[Total '[Mass Net (kg) per kg API'] of Unique Inputs (METAL)], MATCH(Table_Process_Details[[#This Row],[Unique Inputs Sorted by '[Mass Net (kg) per kg API']]],Table_Process_Details[Unique Process Inputs],0))</f>
        <v>#N/A</v>
      </c>
      <c r="DP73" s="132" t="e">
        <f ca="1">INDEX(Table_Process_Details[Total '[Mass Net (kg) per kg API'] of Unique Inputs (SOLVENT)], MATCH(Table_Process_Details[[#This Row],[Unique Inputs Sorted by '[Mass Net (kg) per kg API']]],Table_Process_Details[Unique Process Inputs],0))</f>
        <v>#N/A</v>
      </c>
      <c r="DQ73" s="132" t="e">
        <f ca="1">INDEX(Table_Process_Details[Total '[Mass Net (kg) per kg API'] of Unique Inputs (WATER)], MATCH(Table_Process_Details[[#This Row],[Unique Inputs Sorted by '[Mass Net (kg) per kg API']]],Table_Process_Details[Unique Process Inputs],0))</f>
        <v>#N/A</v>
      </c>
      <c r="DR73" s="132" t="e">
        <f ca="1">INDEX(Table_Process_Details[Total '[Mass Net (kg) per kg API'] of Unique Inputs (ENZ&amp;PLNT)], MATCH(Table_Process_Details[[#This Row],[Unique Inputs Sorted by '[Mass Net (kg) per kg API']]],Table_Process_Details[Unique Process Inputs],0))</f>
        <v>#N/A</v>
      </c>
      <c r="DS73" s="132" t="e">
        <f ca="1">INDEX(Table_Process_Details[Total '[Mass Net (kg) per kg API'] of Unique Inputs (OTHER)], MATCH(Table_Process_Details[[#This Row],[Unique Inputs Sorted by '[Mass Net (kg) per kg API']]],Table_Process_Details[Unique Process Inputs],0))</f>
        <v>#N/A</v>
      </c>
      <c r="DT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3" s="138">
        <f ca="1">SUMIFS(Table_Process_Details[RV Energy (MJ) per kg API],Table_Process_Details[Display Name],Table_Process_Details[[#This Row],[Unique Process Inputs]],Table_Process_Details[Input or Output],"Input")</f>
        <v>0</v>
      </c>
      <c r="EB73" s="138">
        <f ca="1">SUMIFS(Table_Process_Details[RV Energy (MJ) per kg API (REAGENT)],Table_Process_Details[Display Name],Table_Process_Details[[#This Row],[Unique Process Inputs]],Table_Process_Details[Input or Output],"Input")</f>
        <v>0</v>
      </c>
      <c r="EC73" s="138">
        <f ca="1">SUMIFS(Table_Process_Details[RV Energy (MJ) per kg API (METAL)],Table_Process_Details[Display Name],Table_Process_Details[[#This Row],[Unique Process Inputs]],Table_Process_Details[Input or Output],"Input")</f>
        <v>0</v>
      </c>
      <c r="ED73" s="138">
        <f ca="1">SUMIFS(Table_Process_Details[RV Energy (MJ) per kg API (SOLVENT)],Table_Process_Details[Display Name],Table_Process_Details[[#This Row],[Unique Process Inputs]],Table_Process_Details[Input or Output],"Input")</f>
        <v>0</v>
      </c>
      <c r="EE73" s="138">
        <f ca="1">SUMIFS(Table_Process_Details[RV Energy (MJ) per kg API (WATER)],Table_Process_Details[Display Name],Table_Process_Details[[#This Row],[Unique Process Inputs]],Table_Process_Details[Input or Output],"Input")</f>
        <v>0</v>
      </c>
      <c r="EF73" s="138">
        <f ca="1">SUMIFS(Table_Process_Details[RV Energy (MJ) per kg API (ENZ&amp;PLNT)],Table_Process_Details[Display Name],Table_Process_Details[[#This Row],[Unique Process Inputs]],Table_Process_Details[Input or Output],"Input")</f>
        <v>0</v>
      </c>
      <c r="EG73" s="138">
        <f ca="1">SUMIFS(Table_Process_Details[RV Energy (MJ) per kg API (OTHER)],Table_Process_Details[Display Name],Table_Process_Details[[#This Row],[Unique Process Inputs]],Table_Process_Details[Input or Output],"Input")</f>
        <v>0</v>
      </c>
      <c r="EH73" s="138" t="e">
        <f ca="1">INDEX(Table_Process_Details[Unique Process Inputs],MATCH(Table_Process_Details[[#This Row],['[Energy (MJ) per kg API'] of Unique Inputs Sorted by '[Energy (MJ) per kg API']]],Table_Process_Details[Total '[Energy (MJ) per kg API'] of Unique Inputs],0))</f>
        <v>#N/A</v>
      </c>
      <c r="EI73" s="132" t="e">
        <f ca="1">IF(LARGE(Table_Process_Details[Total '[Energy (MJ) per kg API'] of Unique Inputs],Table_Process_Details[[#This Row],[Table Row]])=0,NA(),LARGE(Table_Process_Details[Total '[Energy (MJ) per kg API'] of Unique Inputs],Table_Process_Details[[#This Row],[Table Row]]))</f>
        <v>#N/A</v>
      </c>
      <c r="EJ73" s="132" t="e">
        <f ca="1">SUM(OFFSET(Table_Process_Details['[Energy (MJ) per kg API'] of Unique Inputs Sorted by '[Energy (MJ) per kg API']],0,0,Table_Process_Details[[#This Row],[Table Row]]))</f>
        <v>#N/A</v>
      </c>
      <c r="EK73" s="132" t="e">
        <f ca="1">"("&amp;TEXT(Table_Process_Details[[#This Row],['[Energy (MJ) per kg API'] of Unique Inputs Sorted by '[Energy (MJ) per kg API']]]/SUMIF(Table_Process_Details['[Energy (MJ) per kg API'] of Unique Inputs Sorted by '[Energy (MJ) per kg API']],"&lt;&gt;#N/A"),"0%")&amp;")"</f>
        <v>#N/A</v>
      </c>
      <c r="EL73" s="132" t="e">
        <f ca="1">INDEX(Table_Process_Details[Total '[Energy (MJ) per kg API'] of Unique Inputs (REAGENT)], MATCH(Table_Process_Details[[#This Row],[Unique Inputs Sorted by '[Energy (MJ) per kg API']]],Table_Process_Details[Unique Process Inputs],0))</f>
        <v>#N/A</v>
      </c>
      <c r="EM73" s="132" t="e">
        <f ca="1">INDEX(Table_Process_Details[Total '[Energy (MJ) per kg API'] of Unique Inputs (METAL)], MATCH(Table_Process_Details[[#This Row],[Unique Inputs Sorted by '[Energy (MJ) per kg API']]],Table_Process_Details[Unique Process Inputs],0))</f>
        <v>#N/A</v>
      </c>
      <c r="EN73" s="132" t="e">
        <f ca="1">INDEX(Table_Process_Details[Total '[Energy (MJ) per kg API'] of Unique Inputs (SOLVENT)], MATCH(Table_Process_Details[[#This Row],[Unique Inputs Sorted by '[Energy (MJ) per kg API']]],Table_Process_Details[Unique Process Inputs],0))</f>
        <v>#N/A</v>
      </c>
      <c r="EO73" s="132" t="e">
        <f ca="1">INDEX(Table_Process_Details[Total '[Energy (MJ) per kg API'] of Unique Inputs (WATER)], MATCH(Table_Process_Details[[#This Row],[Unique Inputs Sorted by '[Energy (MJ) per kg API']]],Table_Process_Details[Unique Process Inputs],0))</f>
        <v>#N/A</v>
      </c>
      <c r="EP73" s="132" t="e">
        <f ca="1">INDEX(Table_Process_Details[Total '[Energy (MJ) per kg API'] of Unique Inputs (ENZ&amp;PLNT)], MATCH(Table_Process_Details[[#This Row],[Unique Inputs Sorted by '[Energy (MJ) per kg API']]],Table_Process_Details[Unique Process Inputs],0))</f>
        <v>#N/A</v>
      </c>
      <c r="EQ73" s="132" t="e">
        <f ca="1">INDEX(Table_Process_Details[Total '[Energy (MJ) per kg API'] of Unique Inputs (OTHER)], MATCH(Table_Process_Details[[#This Row],[Unique Inputs Sorted by '[Energy (MJ) per kg API']]],Table_Process_Details[Unique Process Inputs],0))</f>
        <v>#N/A</v>
      </c>
      <c r="ER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3" s="132">
        <f ca="1">SUMIFS(Table_Process_Details[RV GWP (kg CO2 equiv.) per kg API],Table_Process_Details[Display Name],Table_Process_Details[[#This Row],[Unique Process Inputs]],Table_Process_Details[Input or Output],"Input")</f>
        <v>0</v>
      </c>
      <c r="EZ73" s="138">
        <f ca="1">SUMIFS(Table_Process_Details[RV GWP (kg CO2 equiv.) per kg API (REAGENT)],Table_Process_Details[Display Name],Table_Process_Details[[#This Row],[Unique Process Inputs]],Table_Process_Details[Input or Output],"Input")</f>
        <v>0</v>
      </c>
      <c r="FA73" s="138">
        <f ca="1">SUMIFS(Table_Process_Details[RV GWP (kg CO2 equiv.) per kg API (METAL)],Table_Process_Details[Display Name],Table_Process_Details[[#This Row],[Unique Process Inputs]],Table_Process_Details[Input or Output],"Input")</f>
        <v>0</v>
      </c>
      <c r="FB73" s="138">
        <f ca="1">SUMIFS(Table_Process_Details[RV GWP (kg CO2 equiv.) per kg API (SOLVENT)],Table_Process_Details[Display Name],Table_Process_Details[[#This Row],[Unique Process Inputs]],Table_Process_Details[Input or Output],"Input")</f>
        <v>0</v>
      </c>
      <c r="FC73" s="138">
        <f ca="1">SUMIFS(Table_Process_Details[RV GWP (kg CO2 equiv.) per kg API (WATER)],Table_Process_Details[Display Name],Table_Process_Details[[#This Row],[Unique Process Inputs]],Table_Process_Details[Input or Output],"Input")</f>
        <v>0</v>
      </c>
      <c r="FD73" s="138">
        <f ca="1">SUMIFS(Table_Process_Details[RV GWP (kg CO2 equiv.) per kg API (ENZ&amp;PLNT)],Table_Process_Details[Display Name],Table_Process_Details[[#This Row],[Unique Process Inputs]],Table_Process_Details[Input or Output],"Input")</f>
        <v>0</v>
      </c>
      <c r="FE73" s="138">
        <f ca="1">SUMIFS(Table_Process_Details[RV GWP (kg CO2 equiv.) per kg API (OTHER)],Table_Process_Details[Display Name],Table_Process_Details[[#This Row],[Unique Process Inputs]],Table_Process_Details[Input or Output],"Input")</f>
        <v>0</v>
      </c>
      <c r="FF73" s="132" t="e">
        <f ca="1">INDEX(Table_Process_Details[Unique Process Inputs],MATCH(Table_Process_Details[[#This Row],['[GWP (kg CO2 equiv.) per kg API'] of Unique Inputs Sorted by '[GWP (kg CO2 equiv.) per kg API']]],Table_Process_Details[Total '[GWP (kg CO2 equiv.) per kg API'] of Unique Inputs],0))</f>
        <v>#N/A</v>
      </c>
      <c r="FG73" s="132" t="e">
        <f ca="1">IF(LARGE(Table_Process_Details[Total '[GWP (kg CO2 equiv.) per kg API'] of Unique Inputs],Table_Process_Details[[#This Row],[Table Row]])=0,NA(),LARGE(Table_Process_Details[Total '[GWP (kg CO2 equiv.) per kg API'] of Unique Inputs],Table_Process_Details[[#This Row],[Table Row]]))</f>
        <v>#N/A</v>
      </c>
      <c r="FH73" s="132" t="e">
        <f ca="1">SUM(OFFSET(Table_Process_Details['[GWP (kg CO2 equiv.) per kg API'] of Unique Inputs Sorted by '[GWP (kg CO2 equiv.) per kg API']],0,0,Table_Process_Details[[#This Row],[Table Row]]))</f>
        <v>#N/A</v>
      </c>
      <c r="FI73" s="132" t="e">
        <f ca="1">"("&amp;TEXT(Table_Process_Details[[#This Row],['[GWP (kg CO2 equiv.) per kg API'] of Unique Inputs Sorted by '[GWP (kg CO2 equiv.) per kg API']]]/SUMIF(Table_Process_Details['[GWP (kg CO2 equiv.) per kg API'] of Unique Inputs Sorted by '[GWP (kg CO2 equiv.) per kg API']],"&lt;&gt;#N/A"),"0%")&amp;")"</f>
        <v>#N/A</v>
      </c>
      <c r="FJ73" s="132" t="e">
        <f ca="1">INDEX(Table_Process_Details[Total '[GWP (kg CO2 equiv.) per kg API'] of Unique Inputs (REAGENT)], MATCH(Table_Process_Details[[#This Row],[Unique Inputs Sorted by '[GWP (kg CO2 equiv.) per kg API']]],Table_Process_Details[Unique Process Inputs],0))</f>
        <v>#N/A</v>
      </c>
      <c r="FK73" s="132" t="e">
        <f ca="1">INDEX(Table_Process_Details[Total '[GWP (kg CO2 equiv.) per kg API'] of Unique Inputs (METAL)], MATCH(Table_Process_Details[[#This Row],[Unique Inputs Sorted by '[GWP (kg CO2 equiv.) per kg API']]],Table_Process_Details[Unique Process Inputs],0))</f>
        <v>#N/A</v>
      </c>
      <c r="FL73" s="132" t="e">
        <f ca="1">INDEX(Table_Process_Details[Total '[GWP (kg CO2 equiv.) per kg API'] of Unique Inputs (SOLVENT)], MATCH(Table_Process_Details[[#This Row],[Unique Inputs Sorted by '[GWP (kg CO2 equiv.) per kg API']]],Table_Process_Details[Unique Process Inputs],0))</f>
        <v>#N/A</v>
      </c>
      <c r="FM73" s="132" t="e">
        <f ca="1">INDEX(Table_Process_Details[Total '[GWP (kg CO2 equiv.) per kg API'] of Unique Inputs (WATER)], MATCH(Table_Process_Details[[#This Row],[Unique Inputs Sorted by '[GWP (kg CO2 equiv.) per kg API']]],Table_Process_Details[Unique Process Inputs],0))</f>
        <v>#N/A</v>
      </c>
      <c r="FN73" s="132" t="e">
        <f ca="1">INDEX(Table_Process_Details[Total '[GWP (kg CO2 equiv.) per kg API'] of Unique Inputs (ENZ&amp;PLNT)], MATCH(Table_Process_Details[[#This Row],[Unique Inputs Sorted by '[GWP (kg CO2 equiv.) per kg API']]],Table_Process_Details[Unique Process Inputs],0))</f>
        <v>#N/A</v>
      </c>
      <c r="FO73" s="132" t="e">
        <f ca="1">INDEX(Table_Process_Details[Total '[GWP (kg CO2 equiv.) per kg API'] of Unique Inputs (OTHER)], MATCH(Table_Process_Details[[#This Row],[Unique Inputs Sorted by '[GWP (kg CO2 equiv.) per kg API']]],Table_Process_Details[Unique Process Inputs],0))</f>
        <v>#N/A</v>
      </c>
      <c r="FP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3" s="132">
        <f ca="1">SUMIFS(Table_Process_Details[RV Acidification (kg SO2 equiv.) per kg API],Table_Process_Details[Display Name],Table_Process_Details[[#This Row],[Unique Process Inputs]],Table_Process_Details[Input or Output],"Input")</f>
        <v>0</v>
      </c>
      <c r="FX73" s="138">
        <f ca="1">SUMIFS(Table_Process_Details[RV Acidification (kg SO2 equiv.) per kg API (REAGENT)],Table_Process_Details[Display Name],Table_Process_Details[[#This Row],[Unique Process Inputs]],Table_Process_Details[Input or Output],"Input")</f>
        <v>0</v>
      </c>
      <c r="FY73" s="138">
        <f ca="1">SUMIFS(Table_Process_Details[RV Acidification (kg SO2 equiv.) per kg API (METAL)],Table_Process_Details[Display Name],Table_Process_Details[[#This Row],[Unique Process Inputs]],Table_Process_Details[Input or Output],"Input")</f>
        <v>0</v>
      </c>
      <c r="FZ73" s="138">
        <f ca="1">SUMIFS(Table_Process_Details[RV Acidification (kg SO2 equiv.) per kg API (SOLVENT)],Table_Process_Details[Display Name],Table_Process_Details[[#This Row],[Unique Process Inputs]],Table_Process_Details[Input or Output],"Input")</f>
        <v>0</v>
      </c>
      <c r="GA73" s="138">
        <f ca="1">SUMIFS(Table_Process_Details[RV Acidification (kg SO2 equiv.) per kg API (WATER)],Table_Process_Details[Display Name],Table_Process_Details[[#This Row],[Unique Process Inputs]],Table_Process_Details[Input or Output],"Input")</f>
        <v>0</v>
      </c>
      <c r="GB73" s="138">
        <f ca="1">SUMIFS(Table_Process_Details[RV Acidification (kg SO2 equiv.) per kg API (ENZ&amp;PLNT)],Table_Process_Details[Display Name],Table_Process_Details[[#This Row],[Unique Process Inputs]],Table_Process_Details[Input or Output],"Input")</f>
        <v>0</v>
      </c>
      <c r="GC73" s="138">
        <f ca="1">SUMIFS(Table_Process_Details[RV Acidification (kg SO2 equiv.) per kg API (OTHER)],Table_Process_Details[Display Name],Table_Process_Details[[#This Row],[Unique Process Inputs]],Table_Process_Details[Input or Output],"Input")</f>
        <v>0</v>
      </c>
      <c r="GD73" s="13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3" s="132" t="e">
        <f ca="1">IF(LARGE(Table_Process_Details[Total '[Acidification (kg SO2 equiv.) per kg API'] of Unique Inputs],Table_Process_Details[[#This Row],[Table Row]])=0,NA(),LARGE(Table_Process_Details[Total '[Acidification (kg SO2 equiv.) per kg API'] of Unique Inputs],Table_Process_Details[[#This Row],[Table Row]]))</f>
        <v>#N/A</v>
      </c>
      <c r="GF73" s="132" t="e">
        <f ca="1">SUM(OFFSET(Table_Process_Details['[Acidification (kg SO2 equiv.) per kg API'] of Unique Inputs Sorted by '[Acidification (kg SO2 equiv.) per kg API']],0,0,Table_Process_Details[[#This Row],[Table Row]]))</f>
        <v>#N/A</v>
      </c>
      <c r="GG73" s="13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3" s="132" t="e">
        <f ca="1">INDEX(Table_Process_Details[Total '[Acidification (kg SO2 equiv.) per kg API'] of Unique Inputs (REAGENT)], MATCH(Table_Process_Details[[#This Row],[Unique Inputs Sorted by '[Acidification (kg SO2 equiv.) per kg API']]],Table_Process_Details[Unique Process Inputs],0))</f>
        <v>#N/A</v>
      </c>
      <c r="GI73" s="132" t="e">
        <f ca="1">INDEX(Table_Process_Details[Total '[Acidification (kg SO2 equiv.) per kg API'] of Unique Inputs (METAL)], MATCH(Table_Process_Details[[#This Row],[Unique Inputs Sorted by '[Acidification (kg SO2 equiv.) per kg API']]],Table_Process_Details[Unique Process Inputs],0))</f>
        <v>#N/A</v>
      </c>
      <c r="GJ73" s="132" t="e">
        <f ca="1">INDEX(Table_Process_Details[Total '[Acidification (kg SO2 equiv.) per kg API'] of Unique Inputs (SOLVENT)], MATCH(Table_Process_Details[[#This Row],[Unique Inputs Sorted by '[Acidification (kg SO2 equiv.) per kg API']]],Table_Process_Details[Unique Process Inputs],0))</f>
        <v>#N/A</v>
      </c>
      <c r="GK73" s="132" t="e">
        <f ca="1">INDEX(Table_Process_Details[Total '[Acidification (kg SO2 equiv.) per kg API'] of Unique Inputs (WATER)], MATCH(Table_Process_Details[[#This Row],[Unique Inputs Sorted by '[Acidification (kg SO2 equiv.) per kg API']]],Table_Process_Details[Unique Process Inputs],0))</f>
        <v>#N/A</v>
      </c>
      <c r="GL73" s="132" t="e">
        <f ca="1">INDEX(Table_Process_Details[Total '[Acidification (kg SO2 equiv.) per kg API'] of Unique Inputs (ENZ&amp;PLNT)], MATCH(Table_Process_Details[[#This Row],[Unique Inputs Sorted by '[Acidification (kg SO2 equiv.) per kg API']]],Table_Process_Details[Unique Process Inputs],0))</f>
        <v>#N/A</v>
      </c>
      <c r="GM73" s="132" t="e">
        <f ca="1">INDEX(Table_Process_Details[Total '[Acidification (kg SO2 equiv.) per kg API'] of Unique Inputs (OTHER)], MATCH(Table_Process_Details[[#This Row],[Unique Inputs Sorted by '[Acidification (kg SO2 equiv.) per kg API']]],Table_Process_Details[Unique Process Inputs],0))</f>
        <v>#N/A</v>
      </c>
      <c r="GN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3" s="132">
        <f ca="1">SUMIFS(Table_Process_Details[RV Eutrophication (kg phosphate equiv.) per kg API],Table_Process_Details[Display Name],Table_Process_Details[[#This Row],[Unique Process Inputs]],Table_Process_Details[Input or Output],"Input")</f>
        <v>0</v>
      </c>
      <c r="GV73" s="138">
        <f ca="1">SUMIFS(Table_Process_Details[RV Eutrophication (kg phosphate equiv.) per kg API (REAGENT)],Table_Process_Details[Display Name],Table_Process_Details[[#This Row],[Unique Process Inputs]],Table_Process_Details[Input or Output],"Input")</f>
        <v>0</v>
      </c>
      <c r="GW73" s="138">
        <f ca="1">SUMIFS(Table_Process_Details[RV Eutrophication (kg phosphate equiv.) per kg API (METAL)],Table_Process_Details[Display Name],Table_Process_Details[[#This Row],[Unique Process Inputs]],Table_Process_Details[Input or Output],"Input")</f>
        <v>0</v>
      </c>
      <c r="GX73" s="138">
        <f ca="1">SUMIFS(Table_Process_Details[RV Eutrophication (kg phosphate equiv.) per kg API (SOLVENT)],Table_Process_Details[Display Name],Table_Process_Details[[#This Row],[Unique Process Inputs]],Table_Process_Details[Input or Output],"Input")</f>
        <v>0</v>
      </c>
      <c r="GY73" s="138">
        <f ca="1">SUMIFS(Table_Process_Details[RV Eutrophication (kg phosphate equiv.) per kg API (WATER)],Table_Process_Details[Display Name],Table_Process_Details[[#This Row],[Unique Process Inputs]],Table_Process_Details[Input or Output],"Input")</f>
        <v>0</v>
      </c>
      <c r="GZ73" s="138">
        <f ca="1">SUMIFS(Table_Process_Details[RV Eutrophication (kg phosphate equiv.) per kg API (ENZ&amp;PLNT)],Table_Process_Details[Display Name],Table_Process_Details[[#This Row],[Unique Process Inputs]],Table_Process_Details[Input or Output],"Input")</f>
        <v>0</v>
      </c>
      <c r="HA73" s="138">
        <f ca="1">SUMIFS(Table_Process_Details[RV Eutrophication (kg phosphate equiv.) per kg API (OTHER)],Table_Process_Details[Display Name],Table_Process_Details[[#This Row],[Unique Process Inputs]],Table_Process_Details[Input or Output],"Input")</f>
        <v>0</v>
      </c>
      <c r="HB73" s="13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3" s="13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3" s="132" t="e">
        <f ca="1">SUM(OFFSET(Table_Process_Details['[Eutrophication (kg posphate equiv.) per kg API'] of Unique Inputs Sorted by '[Eutrophication (kg posphate equiv.) per kg API']],0,0,Table_Process_Details[[#This Row],[Table Row]]))</f>
        <v>#N/A</v>
      </c>
      <c r="HE73" s="13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3" s="138" t="e">
        <f ca="1">INDEX(Table_Process_Details[Total '[Eutrophication (kg posphate equiv.) per kg API'] of Unique Inputs (REAGENT)], MATCH(Table_Process_Details[[#This Row],[Unique Inputs Sorted by '[Eutrophication (kg posphate equiv.) per kg API']]],Table_Process_Details[Unique Process Inputs],0))</f>
        <v>#N/A</v>
      </c>
      <c r="HG73" s="138" t="e">
        <f ca="1">INDEX(Table_Process_Details[Total '[Eutrophication (kg posphate equiv.) per kg API'] of Unique Inputs (METAL)], MATCH(Table_Process_Details[[#This Row],[Unique Inputs Sorted by '[Eutrophication (kg posphate equiv.) per kg API']]],Table_Process_Details[Unique Process Inputs],0))</f>
        <v>#N/A</v>
      </c>
      <c r="HH73" s="138" t="e">
        <f ca="1">INDEX(Table_Process_Details[Total '[Eutrophication (kg posphate equiv.) per kg API'] of Unique Inputs (SOLVENT)], MATCH(Table_Process_Details[[#This Row],[Unique Inputs Sorted by '[Eutrophication (kg posphate equiv.) per kg API']]],Table_Process_Details[Unique Process Inputs],0))</f>
        <v>#N/A</v>
      </c>
      <c r="HI73" s="138" t="e">
        <f ca="1">INDEX(Table_Process_Details[Total '[Eutrophication (kg posphate equiv.) per kg API'] of Unique Inputs (WATER)], MATCH(Table_Process_Details[[#This Row],[Unique Inputs Sorted by '[Eutrophication (kg posphate equiv.) per kg API']]],Table_Process_Details[Unique Process Inputs],0))</f>
        <v>#N/A</v>
      </c>
      <c r="HJ73" s="138" t="e">
        <f ca="1">INDEX(Table_Process_Details[Total '[Eutrophication (kg posphate equiv.) per kg API'] of Unique Inputs (ENZ&amp;PLNT)], MATCH(Table_Process_Details[[#This Row],[Unique Inputs Sorted by '[Eutrophication (kg posphate equiv.) per kg API']]],Table_Process_Details[Unique Process Inputs],0))</f>
        <v>#N/A</v>
      </c>
      <c r="HK73" s="138" t="e">
        <f ca="1">INDEX(Table_Process_Details[Total '[Eutrophication (kg posphate equiv.) per kg API'] of Unique Inputs (OTHER)], MATCH(Table_Process_Details[[#This Row],[Unique Inputs Sorted by '[Eutrophication (kg posphate equiv.) per kg API']]],Table_Process_Details[Unique Process Inputs],0))</f>
        <v>#N/A</v>
      </c>
      <c r="HL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3" s="138">
        <f ca="1">SUMIFS(Table_Process_Details[RV Water (kg) per kg API],Table_Process_Details[Display Name],Table_Process_Details[[#This Row],[Unique Process Inputs]],Table_Process_Details[Input or Output],"Input")</f>
        <v>0</v>
      </c>
      <c r="HT73" s="138">
        <f ca="1">SUMIFS(Table_Process_Details[RV Water (kg) per kg API (REAGENT)],Table_Process_Details[Display Name],Table_Process_Details[[#This Row],[Unique Process Inputs]],Table_Process_Details[Input or Output],"Input")</f>
        <v>0</v>
      </c>
      <c r="HU73" s="138">
        <f ca="1">SUMIFS(Table_Process_Details[RV Water (kg) per kg API (METAL)],Table_Process_Details[Display Name],Table_Process_Details[[#This Row],[Unique Process Inputs]],Table_Process_Details[Input or Output],"Input")</f>
        <v>0</v>
      </c>
      <c r="HV73" s="138">
        <f ca="1">SUMIFS(Table_Process_Details[RV Water (kg) per kg API (SOLVENT)],Table_Process_Details[Display Name],Table_Process_Details[[#This Row],[Unique Process Inputs]],Table_Process_Details[Input or Output],"Input")</f>
        <v>0</v>
      </c>
      <c r="HW73" s="138">
        <f ca="1">SUMIFS(Table_Process_Details[RV Water (kg) per kg API (WATER)],Table_Process_Details[Display Name],Table_Process_Details[[#This Row],[Unique Process Inputs]],Table_Process_Details[Input or Output],"Input")</f>
        <v>0</v>
      </c>
      <c r="HX73" s="138">
        <f ca="1">SUMIFS(Table_Process_Details[RV Water (kg) per kg API (ENZ&amp;PLNT)],Table_Process_Details[Display Name],Table_Process_Details[[#This Row],[Unique Process Inputs]],Table_Process_Details[Input or Output],"Input")</f>
        <v>0</v>
      </c>
      <c r="HY73" s="138">
        <f ca="1">SUMIFS(Table_Process_Details[RV Water (kg) per kg API (OTHER)],Table_Process_Details[Display Name],Table_Process_Details[[#This Row],[Unique Process Inputs]],Table_Process_Details[Input or Output],"Input")</f>
        <v>0</v>
      </c>
      <c r="HZ73" s="132" t="e">
        <f ca="1">INDEX(Table_Process_Details[Unique Process Inputs],MATCH(Table_Process_Details[[#This Row],['[Water (kg) per kg API'] of Unique Inputs Sorted by '[Water (kg) per kg API']]],Table_Process_Details[Total '[Water (kg) per kg API'] of Unique Inputs],0))</f>
        <v>#N/A</v>
      </c>
      <c r="IA73" s="132" t="e">
        <f ca="1">IF(LARGE(Table_Process_Details[Total '[Water (kg) per kg API'] of Unique Inputs],Table_Process_Details[[#This Row],[Table Row]])=0,NA(),LARGE(Table_Process_Details[Total '[Water (kg) per kg API'] of Unique Inputs],Table_Process_Details[[#This Row],[Table Row]]))</f>
        <v>#N/A</v>
      </c>
      <c r="IB73" s="138" t="e">
        <f ca="1">SUM(OFFSET(Table_Process_Details['[Water (kg) per kg API'] of Unique Inputs Sorted by '[Water (kg) per kg API']],0,0,Table_Process_Details[[#This Row],[Table Row]]))</f>
        <v>#N/A</v>
      </c>
      <c r="IC73" s="138" t="e">
        <f ca="1">"("&amp;TEXT(Table_Process_Details[[#This Row],['[Water (kg) per kg API'] of Unique Inputs Sorted by '[Water (kg) per kg API']]]/SUMIF(Table_Process_Details['[Water (kg) per kg API'] of Unique Inputs Sorted by '[Water (kg) per kg API']],"&lt;&gt;#N/A"),"0%")&amp;")"</f>
        <v>#N/A</v>
      </c>
      <c r="ID73" s="138" t="e">
        <f ca="1">INDEX(Table_Process_Details[Total '[Water (kg) per kg API'] of Unique Inputs (REAGENT)], MATCH(Table_Process_Details[[#This Row],[Unique Inputs Sorted by '[Water (kg) per kg API']]],Table_Process_Details[Unique Process Inputs],0))</f>
        <v>#N/A</v>
      </c>
      <c r="IE73" s="138" t="e">
        <f ca="1">INDEX(Table_Process_Details[Total '[Water (kg) per kg API'] of Unique Inputs (METAL)], MATCH(Table_Process_Details[[#This Row],[Unique Inputs Sorted by '[Water (kg) per kg API']]],Table_Process_Details[Unique Process Inputs],0))</f>
        <v>#N/A</v>
      </c>
      <c r="IF73" s="138" t="e">
        <f ca="1">INDEX(Table_Process_Details[Total '[Water (kg) per kg API'] of Unique Inputs (SOLVENT)], MATCH(Table_Process_Details[[#This Row],[Unique Inputs Sorted by '[Water (kg) per kg API']]],Table_Process_Details[Unique Process Inputs],0))</f>
        <v>#N/A</v>
      </c>
      <c r="IG73" s="138" t="e">
        <f ca="1">INDEX(Table_Process_Details[Total '[Water (kg) per kg API'] of Unique Inputs (WATER)], MATCH(Table_Process_Details[[#This Row],[Unique Inputs Sorted by '[Water (kg) per kg API']]],Table_Process_Details[Unique Process Inputs],0))</f>
        <v>#N/A</v>
      </c>
      <c r="IH73" s="138" t="e">
        <f ca="1">INDEX(Table_Process_Details[Total '[Water (kg) per kg API'] of Unique Inputs (ENZ&amp;PLNT)], MATCH(Table_Process_Details[[#This Row],[Unique Inputs Sorted by '[Water (kg) per kg API']]],Table_Process_Details[Unique Process Inputs],0))</f>
        <v>#N/A</v>
      </c>
      <c r="II73" s="138" t="e">
        <f ca="1">INDEX(Table_Process_Details[Total '[Water (kg) per kg API'] of Unique Inputs (OTHER)], MATCH(Table_Process_Details[[#This Row],[Unique Inputs Sorted by '[Water (kg) per kg API']]],Table_Process_Details[Unique Process Inputs],0))</f>
        <v>#N/A</v>
      </c>
    </row>
    <row r="74" spans="1:243" customFormat="1" x14ac:dyDescent="0.25">
      <c r="A74" s="22" t="str">
        <f>'1. Define Process Steps'!A21</f>
        <v>4a) Virtual solution prep for (4): 20 wt% reagent J (inorganic) in water</v>
      </c>
      <c r="B74" s="21" t="s">
        <v>4</v>
      </c>
      <c r="C74" s="21" t="s">
        <v>7</v>
      </c>
      <c r="D74" s="22" t="s">
        <v>158</v>
      </c>
      <c r="E74" s="22" t="s">
        <v>834</v>
      </c>
      <c r="F74" s="26">
        <v>20</v>
      </c>
      <c r="G74" s="26"/>
      <c r="H74" s="26"/>
      <c r="I74" s="26"/>
      <c r="J74" s="26" t="str">
        <f>INDEX(Process_Steps[Reference],MATCH(Table_Process_Details[[#This Row],[Step Name]],Process_Steps[Name],0))</f>
        <v>Penultimate Reference Document</v>
      </c>
      <c r="K74" s="27" t="str">
        <f>INDEX(Process_Steps[Real or Virtual?],MATCH(Table_Process_Details[[#This Row],[Step Name]],Process_Steps[Name],0))</f>
        <v>Virtual</v>
      </c>
      <c r="L7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7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74" s="26">
        <f>INDEX(Table_Process_Details[Physical Mass (kg)],MATCH(1,INDEX(((Table_Process_Details[Step Name]=Table_Process_Details[[#This Row],[Step Name]])*(Table_Process_Details[Input or Output]="Output")),0),0))</f>
        <v>92</v>
      </c>
      <c r="O74" s="29">
        <f ca="1">INDEX(Process_Steps[Step Scale Factor for 1kg Packaged API],MATCH(Table_Process_Details[[#This Row],[Step Name]],Process_Steps[Name],0))</f>
        <v>4.7874759628811381E-2</v>
      </c>
      <c r="P7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14.333333333333334</v>
      </c>
      <c r="Q7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5.3333333333333339</v>
      </c>
      <c r="R74" s="26">
        <f ca="1">_xlfn.SWITCH(Run_Reset_PNG,"Reset",Table_Process_Details[[#This Row],[X Init]],"Run",Table_Process_Details[[#This Row],[X Moved]],"Freeze",Table_Process_Details[[#This Row],[X Mover]])</f>
        <v>7.5840694107921696</v>
      </c>
      <c r="S74" s="26">
        <f ca="1">_xlfn.SWITCH(Run_Reset_PNG,"Reset",Table_Process_Details[[#This Row],[Y Init]],"Run",Table_Process_Details[[#This Row],[Y Moved]],"Freeze",Table_Process_Details[[#This Row],[Y Mover]])</f>
        <v>-8.3146129422002222</v>
      </c>
      <c r="T74" s="26" cm="1">
        <f t="array" aca="1" ref="T7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-3.9210677117220567</v>
      </c>
      <c r="U74" s="26" cm="1">
        <f t="array" aca="1" ref="U7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-2.8403696481618756</v>
      </c>
      <c r="V74" s="26" cm="1">
        <f t="array" aca="1" ref="V74" ca="1">SUM(--(SQRT((Table_Process_Details[[#This Row],[X Mover]]-Table_Process_Details[X Mover])^2+(Table_Process_Details[[#This Row],[Y Mover]]-Table_Process_Details[Y Mover])^2)&lt;Collision_Distance))</f>
        <v>10</v>
      </c>
      <c r="W74" s="26" cm="1">
        <f t="array" aca="1" ref="W7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0.39815082717757994</v>
      </c>
      <c r="X74" s="26" cm="1">
        <f t="array" aca="1" ref="X7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0.18526950548736776</v>
      </c>
      <c r="Y74" s="26" cm="1">
        <f t="array" aca="1" ref="Y7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4" s="26">
        <f>0</f>
        <v>0</v>
      </c>
      <c r="AA74" s="26">
        <f>0</f>
        <v>0</v>
      </c>
      <c r="AB7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-3.7920347053960848</v>
      </c>
      <c r="AC74" s="26" cm="1">
        <f t="array" aca="1" ref="AC7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4.1573064711001111</v>
      </c>
      <c r="AD74" s="26">
        <f>MIN(1,COUNTA(Table_Process_Details[[#This Row],[target x]]),COUNTA(Table_Process_Details[[#This Row],[target y]]))*COUNTA(Table_Process_Details[Step Name])</f>
        <v>98</v>
      </c>
      <c r="AE7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7.5514192351098295</v>
      </c>
      <c r="AF7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-8.3709589069259813</v>
      </c>
      <c r="AG7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74" s="26" cm="1">
        <f t="array" aca="1" ref="AH74" ca="1">INDEX(Table_Process_Details[X Mover],MATCH(1,INDEX((Table_Process_Details[Input or Output]="Output")*(Table_Process_Details[Step Name]=Table_Process_Details[[#This Row],[Step Name]])*(Table_Process_Details[[#This Row],[Input or Output]]="Input"),0),0))</f>
        <v>11.100317346629659</v>
      </c>
      <c r="AI74" s="26" cm="1">
        <f t="array" aca="1" ref="AI74" ca="1">INDEX(Table_Process_Details[Y Mover],MATCH(1,INDEX((Table_Process_Details[Input or Output]="Output")*(Table_Process_Details[Step Name]=Table_Process_Details[[#This Row],[Step Name]])*(Table_Process_Details[[#This Row],[Input or Output]]="Input"),0),0))</f>
        <v>-6.6784151202300235</v>
      </c>
      <c r="AJ74" s="26" t="e">
        <f ca="1">SQRT((Table_Process_Details[[#This Row],[X End (To Node Center)]]-Table_Process_Details[[#This Row],[X Guide]])^2+(Table_Process_Details[[#This Row],[Y End (to Node Center)]]-Table_Process_Details[[#This Row],[Y Guide]])^2)</f>
        <v>#N/A</v>
      </c>
      <c r="AK74" s="26" t="e" cm="1">
        <f t="array" ref="AK74">INDEX(Table_Process_Details[X Mover],MATCH(1,INDEX((Table_Process_Details[Step Name]=Table_Process_Details[[#This Row],[LCA Data Source Subclass]])*(Table_Process_Details[Input or Output]="Output"),0)*(Table_Process_Details[[#This Row],[Input or Output]]="Input"),0))</f>
        <v>#N/A</v>
      </c>
      <c r="AL74" s="26" cm="1">
        <f t="array" aca="1" ref="AL74" ca="1">INDEX(Table_Process_Details[X Mover],MATCH(1,INDEX(((Table_Process_Details[Table Row]=Table_Process_Details[[#This Row],[Table Row]])*(1)),0)*(Table_Process_Details[[#This Row],[Input or Output]]="Input"),0))</f>
        <v>7.5840694107921696</v>
      </c>
      <c r="AM74" s="26" t="e" cm="1">
        <f t="array" aca="1" ref="AM74" ca="1">(Table_Process_Details[[#This Row],[X End (To Node Center)]]*Table_Process_Details[[#This Row],[r0]]-Table_Process_Details[[#This Row],[X End (To Node Center)]]*Arrow_Offset+Table_Process_Details[[#This Row],[X Guide]]*Arrow_Offset)/Table_Process_Details[[#This Row],[r0]]</f>
        <v>#N/A</v>
      </c>
      <c r="AN74" s="26" t="e">
        <f>IF(NOT(Table_Process_Details[[#This Row],[Display As]]="None"),Table_Process_Details[[#This Row],[X Start Prefilter]],NA())</f>
        <v>#N/A</v>
      </c>
      <c r="AO74" s="26" t="e">
        <f>IF(NOT(Table_Process_Details[[#This Row],[Display As]]="None"),Table_Process_Details[[#This Row],[X Guide Prefilter]],NA())</f>
        <v>#N/A</v>
      </c>
      <c r="AP74" s="26" t="e">
        <f>IF(NOT(Table_Process_Details[[#This Row],[Display As]]="None"),Table_Process_Details[[#This Row],[X End (to Stop Radius) Prefilter]],NA())</f>
        <v>#N/A</v>
      </c>
      <c r="AQ74" s="26" t="e">
        <f>NA()</f>
        <v>#N/A</v>
      </c>
      <c r="AR74" s="26" t="e" cm="1">
        <f t="array" ref="AR74">INDEX(Table_Process_Details[Y Mover],MATCH(1,INDEX((Table_Process_Details[Step Name]=Table_Process_Details[[#This Row],[LCA Data Source Subclass]])*(Table_Process_Details[Input or Output]="Output"),0)*(Table_Process_Details[[#This Row],[Input or Output]]="Input"),0))</f>
        <v>#N/A</v>
      </c>
      <c r="AS74" s="26" cm="1">
        <f t="array" aca="1" ref="AS74" ca="1">INDEX(Table_Process_Details[Y Mover],MATCH(1,INDEX(((Table_Process_Details[Table Row]=Table_Process_Details[[#This Row],[Table Row]])*(1)),0)*(Table_Process_Details[[#This Row],[Input or Output]]="Input"),0))</f>
        <v>-8.3146129422002222</v>
      </c>
      <c r="AT74" s="26" t="e" cm="1">
        <f t="array" aca="1" ref="AT74" ca="1">(Table_Process_Details[[#This Row],[Y Guide]]*Arrow_Offset-Table_Process_Details[[#This Row],[Y End (to Node Center)]]*Arrow_Offset+Table_Process_Details[[#This Row],[Y End (to Node Center)]]*Table_Process_Details[[#This Row],[r0]])/Table_Process_Details[[#This Row],[r0]]</f>
        <v>#N/A</v>
      </c>
      <c r="AU74" s="26" t="e">
        <f>IF(NOT(Table_Process_Details[[#This Row],[Display As]]="None"),Table_Process_Details[[#This Row],[Y Start Prefilter]],NA())</f>
        <v>#N/A</v>
      </c>
      <c r="AV74" s="26" t="e">
        <f>IF(NOT(Table_Process_Details[[#This Row],[Display As]]="None"),Table_Process_Details[[#This Row],[Y Guide Prefilter]],NA())</f>
        <v>#N/A</v>
      </c>
      <c r="AW74" s="26" t="e">
        <f>IF(NOT(Table_Process_Details[[#This Row],[Display As]]="None"),Table_Process_Details[[#This Row],[Y End (to Stop Radius) Prefilter]],NA())</f>
        <v>#N/A</v>
      </c>
      <c r="AX74" s="26" t="e">
        <f>NA()</f>
        <v>#N/A</v>
      </c>
      <c r="AY74" s="26" t="e">
        <f>IF(Table_Process_Details[[#This Row],[Display As]]="Real Step",Table_Process_Details[[#This Row],[X Mover]],NA())</f>
        <v>#N/A</v>
      </c>
      <c r="AZ74" s="26" t="e">
        <f>IF(Table_Process_Details[[#This Row],[Display As]]="Real Step",Table_Process_Details[[#This Row],[Y Mover]],NA())</f>
        <v>#N/A</v>
      </c>
      <c r="BA74" s="26" t="e">
        <f>IF(Table_Process_Details[[#This Row],[Display As]]="Raw Material",Table_Process_Details[[#This Row],[X Mover]],NA())</f>
        <v>#N/A</v>
      </c>
      <c r="BB74" s="26" t="e">
        <f>IF(Table_Process_Details[[#This Row],[Display As]]="Raw Material",Table_Process_Details[[#This Row],[Y Mover]],NA())</f>
        <v>#N/A</v>
      </c>
      <c r="BC74" s="26" t="e">
        <f>IF(OR(Table_Process_Details[[#This Row],[Display As]]="Real Step",Table_Process_Details[[#This Row],[Display As]]="Raw Material"),Table_Process_Details[[#This Row],[X Mover]],NA())</f>
        <v>#N/A</v>
      </c>
      <c r="BD74" s="26" t="e">
        <f>IF(OR(Table_Process_Details[[#This Row],[Display As]]="Real Step",Table_Process_Details[[#This Row],[Display As]]="Raw Material"),Table_Process_Details[[#This Row],[Y Mover]],NA())</f>
        <v>#N/A</v>
      </c>
      <c r="BE74" s="22">
        <f>ROW()-ROW(Table_Process_Details[[#Headers],[Table Row]])</f>
        <v>70</v>
      </c>
      <c r="BF74" s="23" t="e" cm="1">
        <f t="array" aca="1" ref="BF74" ca="1">INDEX(Table_Process_Details[Display Name],MATCH(0,IF(Table_Process_Details[Input or Output]="Input",INDEX(COUNTIF(OFFSET(Table_Process_Details[[#Headers],[Unique Process Inputs]],0,0,Table_Process_Details[[#This Row],[Table Row]],1),Table_Process_Details[Display Name]),),""),0))</f>
        <v>#N/A</v>
      </c>
      <c r="BG74" s="23">
        <f ca="1">Table_Process_Details[[#This Row],[Physical Mass (kg)]]*Table_Process_Details[[#This Row],[Step Scale Factor for 1kg Packaged API]]</f>
        <v>0.95749519257622762</v>
      </c>
      <c r="BH7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4" s="23">
        <f ca="1">MATCH(Table_Process_Details[[#This Row],[LCA Data Source Class]],INDIRECT(Table_Process_Details[[#This Row],[Input or Output]]),0)</f>
        <v>6</v>
      </c>
      <c r="BJ74" s="23">
        <f ca="1">MATCH(Table_Process_Details[[#This Row],[LCA Data Source Subclass]],INDIRECT(Table_Process_Details[[#This Row],[LCA Data Source Class]]&amp;"[Name]"),0)</f>
        <v>1</v>
      </c>
      <c r="BK74" s="23">
        <f ca="1">IFERROR(INDEX(INDIRECT(Table_Process_Details[[#This Row],[LCA Data Source Class]]&amp;"[Mass Net (kg)]"),MATCH(Table_Process_Details[[#This Row],[LCA Data Source Subclass]],INDIRECT(Table_Process_Details[[#This Row],[LCA Data Source Class]]&amp;"[Name]"),0)),0)</f>
        <v>1.34</v>
      </c>
      <c r="BL74" s="23">
        <f ca="1">IFERROR(INDEX(INDIRECT(Table_Process_Details[[#This Row],[LCA Data Source Class]]&amp;"[Energy (MJ)]"),MATCH(Table_Process_Details[[#This Row],[LCA Data Source Subclass]],INDIRECT(Table_Process_Details[[#This Row],[LCA Data Source Class]]&amp;"[Name]"),0)),0)</f>
        <v>10.63</v>
      </c>
      <c r="BM74" s="23">
        <f ca="1">IFERROR(INDEX(INDIRECT(Table_Process_Details[[#This Row],[LCA Data Source Class]]&amp;"[GWP (kg CO2 equiv.)]"),MATCH(Table_Process_Details[[#This Row],[LCA Data Source Subclass]],INDIRECT(Table_Process_Details[[#This Row],[LCA Data Source Class]]&amp;"[Name]"),0)),0)</f>
        <v>1.3854</v>
      </c>
      <c r="BN74" s="23">
        <f ca="1">IFERROR(INDEX(INDIRECT(Table_Process_Details[[#This Row],[LCA Data Source Class]]&amp;"[Acidification (kg SO2 equiv.)]"),MATCH(Table_Process_Details[[#This Row],[LCA Data Source Subclass]],INDIRECT(Table_Process_Details[[#This Row],[LCA Data Source Class]]&amp;"[Name]"),0)),0)</f>
        <v>1.3899999999999999E-2</v>
      </c>
      <c r="BO74" s="23">
        <f ca="1">IFERROR(INDEX(INDIRECT(Table_Process_Details[[#This Row],[LCA Data Source Class]]&amp;"[Eutrophication (kg posphate equiv.)]"),MATCH(Table_Process_Details[[#This Row],[LCA Data Source Subclass]],INDIRECT(Table_Process_Details[[#This Row],[LCA Data Source Class]]&amp;"[Name]"),0)),0)</f>
        <v>6.9999999999999999E-4</v>
      </c>
      <c r="BP74" s="23">
        <f ca="1">IFERROR(INDEX(INDIRECT(Table_Process_Details[[#This Row],[LCA Data Source Class]]&amp;"[Water (kg)]"),MATCH(Table_Process_Details[[#This Row],[LCA Data Source Subclass]],INDIRECT(Table_Process_Details[[#This Row],[LCA Data Source Class]]&amp;"[Name]"),0)),0)</f>
        <v>0.69123000000000001</v>
      </c>
      <c r="BQ74" s="27">
        <f ca="1">(Table_Process_Details[[#This Row],[Input or Output]]="Input")*(Table_Process_Details[[#This Row],[LCA Data Source Class]]&lt;&gt;"Process_Steps")*Table_Process_Details[[#This Row],[Scaled Physical Mass per kg API for All Inputs &amp; Outputs]]</f>
        <v>0.95749519257622762</v>
      </c>
      <c r="BR74" s="27">
        <f ca="1">(Table_Process_Details[[#This Row],[Material Class]]="REAGENT")*Table_Process_Details[[#This Row],[Physical Mass per kg API]]</f>
        <v>0.95749519257622762</v>
      </c>
      <c r="BS74" s="27">
        <f ca="1">(Table_Process_Details[[#This Row],[Material Class]]="METAL")*Table_Process_Details[[#This Row],[Physical Mass per kg API]]</f>
        <v>0</v>
      </c>
      <c r="BT74" s="27">
        <f ca="1">(Table_Process_Details[[#This Row],[Material Class]]="SOLVENT")*Table_Process_Details[[#This Row],[Physical Mass per kg API]]</f>
        <v>0</v>
      </c>
      <c r="BU74" s="27">
        <f ca="1">(Table_Process_Details[[#This Row],[Material Class]]="WATER")*Table_Process_Details[[#This Row],[Physical Mass per kg API]]</f>
        <v>0</v>
      </c>
      <c r="BV74" s="27">
        <f ca="1">(Table_Process_Details[[#This Row],[Material Class]]="ENZ&amp;PLNT")*Table_Process_Details[[#This Row],[Physical Mass per kg API]]</f>
        <v>0</v>
      </c>
      <c r="BW74" s="27">
        <f ca="1">(Table_Process_Details[[#This Row],[Material Class]]="OTHER")*Table_Process_Details[[#This Row],[Physical Mass per kg API]]</f>
        <v>0</v>
      </c>
      <c r="BX7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4" s="1">
        <f ca="1">SUMIFS(Table_Process_Details[RV Physical Mass per kg API],Table_Process_Details[Display Name],Table_Process_Details[[#This Row],[Unique Process Inputs]],Table_Process_Details[Input or Output],"Input")</f>
        <v>0</v>
      </c>
      <c r="CF74" s="1">
        <f ca="1">SUMIFS(Table_Process_Details[RV Physical Mass per kg API (REAGENT)],Table_Process_Details[Display Name],Table_Process_Details[[#This Row],[Unique Process Inputs]],Table_Process_Details[Input or Output],"Input")</f>
        <v>0</v>
      </c>
      <c r="CG74" s="1">
        <f ca="1">SUMIFS(Table_Process_Details[RV Physical Mass per kg API (METAL)],Table_Process_Details[Display Name],Table_Process_Details[[#This Row],[Unique Process Inputs]],Table_Process_Details[Input or Output],"Input")</f>
        <v>0</v>
      </c>
      <c r="CH74" s="1">
        <f ca="1">SUMIFS(Table_Process_Details[RV Physical Mass per kg API (SOLVENT)],Table_Process_Details[Display Name],Table_Process_Details[[#This Row],[Unique Process Inputs]],Table_Process_Details[Input or Output],"Input")</f>
        <v>0</v>
      </c>
      <c r="CI74" s="1">
        <f ca="1">SUMIFS(Table_Process_Details[RV Physical Mass per kg API (WATER)],Table_Process_Details[Display Name],Table_Process_Details[[#This Row],[Unique Process Inputs]],Table_Process_Details[Input or Output],"Input")</f>
        <v>0</v>
      </c>
      <c r="CJ74" s="1">
        <f ca="1">SUMIFS(Table_Process_Details[RV Physical Mass per kg API (ENZ&amp;PLNT)],Table_Process_Details[Display Name],Table_Process_Details[[#This Row],[Unique Process Inputs]],Table_Process_Details[Input or Output],"Input")</f>
        <v>0</v>
      </c>
      <c r="CK74" s="1">
        <f ca="1">SUMIFS(Table_Process_Details[RV Physical Mass per kg API (OTHER)],Table_Process_Details[Display Name],Table_Process_Details[[#This Row],[Unique Process Inputs]],Table_Process_Details[Input or Output],"Input")</f>
        <v>0</v>
      </c>
      <c r="CL74" s="22" t="e">
        <f ca="1">INDEX(Table_Process_Details[Unique Process Inputs],MATCH(Table_Process_Details[[#This Row],['[Physical Mass per kg API'] of Unique Inputs Sorted by '[Physical Mass per kg API']]],Table_Process_Details[Total '[Physical Mass per kg API'] of Unique Inputs],0))</f>
        <v>#N/A</v>
      </c>
      <c r="CM74" s="22" t="e">
        <f ca="1">IF(LARGE(Table_Process_Details[Total '[Physical Mass per kg API'] of Unique Inputs],Table_Process_Details[[#This Row],[Table Row]])=0,NA(),LARGE(Table_Process_Details[Total '[Physical Mass per kg API'] of Unique Inputs],Table_Process_Details[[#This Row],[Table Row]]))</f>
        <v>#N/A</v>
      </c>
      <c r="CN74" s="22" t="e">
        <f ca="1">SUM(OFFSET(Table_Process_Details['[Physical Mass per kg API'] of Unique Inputs Sorted by '[Physical Mass per kg API']],0,0,Table_Process_Details[[#This Row],[Table Row]]))</f>
        <v>#N/A</v>
      </c>
      <c r="CO74" s="22" t="e">
        <f ca="1">"("&amp;TEXT(Table_Process_Details[[#This Row],['[Physical Mass per kg API'] of Unique Inputs Sorted by '[Physical Mass per kg API']]]/SUMIF(Table_Process_Details['[Physical Mass per kg API'] of Unique Inputs Sorted by '[Physical Mass per kg API']],"&lt;&gt;#N/A"),"0%")&amp;")"</f>
        <v>#N/A</v>
      </c>
      <c r="CP74" s="22" t="e">
        <f ca="1">INDEX(Table_Process_Details[Total '[Physical Mass per kg API'] of Unique Inputs (REAGENT)],MATCH(Table_Process_Details[[#This Row],[Unique Inputs Sorted by '[Physical Mass per kg API']]],Table_Process_Details[Unique Process Inputs],0))</f>
        <v>#N/A</v>
      </c>
      <c r="CQ74" s="22" t="e">
        <f ca="1">INDEX(Table_Process_Details[Total '[Physical Mass per kg API'] of Unique Inputs (METAL)],MATCH(Table_Process_Details[[#This Row],[Unique Inputs Sorted by '[Physical Mass per kg API']]],Table_Process_Details[Unique Process Inputs],0))</f>
        <v>#N/A</v>
      </c>
      <c r="CR74" s="22" t="e">
        <f ca="1">INDEX(Table_Process_Details[Total '[Physical Mass per kg API'] of Unique Inputs (SOLVENT)],MATCH(Table_Process_Details[[#This Row],[Unique Inputs Sorted by '[Physical Mass per kg API']]],Table_Process_Details[Unique Process Inputs],0))</f>
        <v>#N/A</v>
      </c>
      <c r="CS74" s="22" t="e">
        <f ca="1">INDEX(Table_Process_Details[Total '[Physical Mass per kg API'] of Unique Inputs (WATER)],MATCH(Table_Process_Details[[#This Row],[Unique Inputs Sorted by '[Physical Mass per kg API']]],Table_Process_Details[Unique Process Inputs],0))</f>
        <v>#N/A</v>
      </c>
      <c r="CT74" s="22" t="e">
        <f ca="1">INDEX(Table_Process_Details[Total '[Physical Mass per kg API'] of Unique Inputs (ENZ&amp;PLNT)],MATCH(Table_Process_Details[[#This Row],[Unique Inputs Sorted by '[Physical Mass per kg API']]],Table_Process_Details[Unique Process Inputs],0))</f>
        <v>#N/A</v>
      </c>
      <c r="CU74" s="22" t="e">
        <f ca="1">INDEX(Table_Process_Details[Total '[Physical Mass per kg API'] of Unique Inputs (OTHER)],MATCH(Table_Process_Details[[#This Row],[Unique Inputs Sorted by '[Physical Mass per kg API']]],Table_Process_Details[Unique Process Inputs],0))</f>
        <v>#N/A</v>
      </c>
      <c r="CV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4" s="22">
        <f ca="1">SUMIFS(Table_Process_Details[RV Mass Net (kg) per kg API],Table_Process_Details[Display Name],Table_Process_Details[[#This Row],[Unique Process Inputs]],Table_Process_Details[Input or Output],"Input")</f>
        <v>0</v>
      </c>
      <c r="DD74" s="22">
        <f ca="1">SUMIFS(Table_Process_Details[RV Mass Net (kg) per kg API (REAGENT)],Table_Process_Details[Display Name],Table_Process_Details[[#This Row],[Unique Process Inputs]],Table_Process_Details[Input or Output],"Input")</f>
        <v>0</v>
      </c>
      <c r="DE74" s="22">
        <f ca="1">SUMIFS(Table_Process_Details[RV Mass Net (kg) per kg API (METAL)],Table_Process_Details[Display Name],Table_Process_Details[[#This Row],[Unique Process Inputs]],Table_Process_Details[Input or Output],"Input")</f>
        <v>0</v>
      </c>
      <c r="DF74" s="22">
        <f ca="1">SUMIFS(Table_Process_Details[RV Mass Net (kg) per kg API (SOLVENT)],Table_Process_Details[Display Name],Table_Process_Details[[#This Row],[Unique Process Inputs]],Table_Process_Details[Input or Output],"Input")</f>
        <v>0</v>
      </c>
      <c r="DG74" s="22">
        <f ca="1">SUMIFS(Table_Process_Details[RV Mass Net (kg) per kg API (WATER)],Table_Process_Details[Display Name],Table_Process_Details[[#This Row],[Unique Process Inputs]],Table_Process_Details[Input or Output],"Input")</f>
        <v>0</v>
      </c>
      <c r="DH74" s="22">
        <f ca="1">SUMIFS(Table_Process_Details[RV Mass Net (kg) per kg API (ENZ&amp;PLNT)],Table_Process_Details[Display Name],Table_Process_Details[[#This Row],[Unique Process Inputs]],Table_Process_Details[Input or Output],"Input")</f>
        <v>0</v>
      </c>
      <c r="DI74" s="22">
        <f ca="1">SUMIFS(Table_Process_Details[RV Mass Net (kg) per kg API (OTHER)],Table_Process_Details[Display Name],Table_Process_Details[[#This Row],[Unique Process Inputs]],Table_Process_Details[Input or Output],"Input")</f>
        <v>0</v>
      </c>
      <c r="DJ74" s="22" t="e">
        <f ca="1">INDEX(Table_Process_Details[Unique Process Inputs],MATCH(Table_Process_Details[[#This Row],['[Mass Net (kg) per kg API'] of Unique Inputs Sorted by '[Mass Net (kg) per kg API']]],Table_Process_Details[Total '[Mass Net (kg) per kg API'] of Unique Inputs],0))</f>
        <v>#N/A</v>
      </c>
      <c r="DK74" s="22" t="e">
        <f ca="1">IF(LARGE(Table_Process_Details[Total '[Mass Net (kg) per kg API'] of Unique Inputs],Table_Process_Details[[#This Row],[Table Row]])=0,NA(),LARGE(Table_Process_Details[Total '[Mass Net (kg) per kg API'] of Unique Inputs],Table_Process_Details[[#This Row],[Table Row]]))</f>
        <v>#N/A</v>
      </c>
      <c r="DL74" s="22" t="e">
        <f ca="1">SUM(OFFSET(Table_Process_Details['[Mass Net (kg) per kg API'] of Unique Inputs Sorted by '[Mass Net (kg) per kg API']],0,0,Table_Process_Details[[#This Row],[Table Row]]))</f>
        <v>#N/A</v>
      </c>
      <c r="DM74" s="22" t="e">
        <f ca="1">"("&amp;TEXT(Table_Process_Details[[#This Row],['[Mass Net (kg) per kg API'] of Unique Inputs Sorted by '[Mass Net (kg) per kg API']]]/SUMIF(Table_Process_Details['[Mass Net (kg) per kg API'] of Unique Inputs Sorted by '[Mass Net (kg) per kg API']],"&lt;&gt;#N/A"),"0%")&amp;")"</f>
        <v>#N/A</v>
      </c>
      <c r="DN74" s="22" t="e">
        <f ca="1">INDEX(Table_Process_Details[Total '[Mass Net (kg) per kg API'] of Unique Inputs (REAGENT)], MATCH(Table_Process_Details[[#This Row],[Unique Inputs Sorted by '[Mass Net (kg) per kg API']]],Table_Process_Details[Unique Process Inputs],0))</f>
        <v>#N/A</v>
      </c>
      <c r="DO74" s="22" t="e">
        <f ca="1">INDEX(Table_Process_Details[Total '[Mass Net (kg) per kg API'] of Unique Inputs (METAL)], MATCH(Table_Process_Details[[#This Row],[Unique Inputs Sorted by '[Mass Net (kg) per kg API']]],Table_Process_Details[Unique Process Inputs],0))</f>
        <v>#N/A</v>
      </c>
      <c r="DP74" s="22" t="e">
        <f ca="1">INDEX(Table_Process_Details[Total '[Mass Net (kg) per kg API'] of Unique Inputs (SOLVENT)], MATCH(Table_Process_Details[[#This Row],[Unique Inputs Sorted by '[Mass Net (kg) per kg API']]],Table_Process_Details[Unique Process Inputs],0))</f>
        <v>#N/A</v>
      </c>
      <c r="DQ74" s="22" t="e">
        <f ca="1">INDEX(Table_Process_Details[Total '[Mass Net (kg) per kg API'] of Unique Inputs (WATER)], MATCH(Table_Process_Details[[#This Row],[Unique Inputs Sorted by '[Mass Net (kg) per kg API']]],Table_Process_Details[Unique Process Inputs],0))</f>
        <v>#N/A</v>
      </c>
      <c r="DR74" s="22" t="e">
        <f ca="1">INDEX(Table_Process_Details[Total '[Mass Net (kg) per kg API'] of Unique Inputs (ENZ&amp;PLNT)], MATCH(Table_Process_Details[[#This Row],[Unique Inputs Sorted by '[Mass Net (kg) per kg API']]],Table_Process_Details[Unique Process Inputs],0))</f>
        <v>#N/A</v>
      </c>
      <c r="DS74" s="22" t="e">
        <f ca="1">INDEX(Table_Process_Details[Total '[Mass Net (kg) per kg API'] of Unique Inputs (OTHER)], MATCH(Table_Process_Details[[#This Row],[Unique Inputs Sorted by '[Mass Net (kg) per kg API']]],Table_Process_Details[Unique Process Inputs],0))</f>
        <v>#N/A</v>
      </c>
      <c r="DT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4" s="1">
        <f ca="1">SUMIFS(Table_Process_Details[RV Energy (MJ) per kg API],Table_Process_Details[Display Name],Table_Process_Details[[#This Row],[Unique Process Inputs]],Table_Process_Details[Input or Output],"Input")</f>
        <v>0</v>
      </c>
      <c r="EB74" s="1">
        <f ca="1">SUMIFS(Table_Process_Details[RV Energy (MJ) per kg API (REAGENT)],Table_Process_Details[Display Name],Table_Process_Details[[#This Row],[Unique Process Inputs]],Table_Process_Details[Input or Output],"Input")</f>
        <v>0</v>
      </c>
      <c r="EC74" s="1">
        <f ca="1">SUMIFS(Table_Process_Details[RV Energy (MJ) per kg API (METAL)],Table_Process_Details[Display Name],Table_Process_Details[[#This Row],[Unique Process Inputs]],Table_Process_Details[Input or Output],"Input")</f>
        <v>0</v>
      </c>
      <c r="ED74" s="1">
        <f ca="1">SUMIFS(Table_Process_Details[RV Energy (MJ) per kg API (SOLVENT)],Table_Process_Details[Display Name],Table_Process_Details[[#This Row],[Unique Process Inputs]],Table_Process_Details[Input or Output],"Input")</f>
        <v>0</v>
      </c>
      <c r="EE74" s="1">
        <f ca="1">SUMIFS(Table_Process_Details[RV Energy (MJ) per kg API (WATER)],Table_Process_Details[Display Name],Table_Process_Details[[#This Row],[Unique Process Inputs]],Table_Process_Details[Input or Output],"Input")</f>
        <v>0</v>
      </c>
      <c r="EF74" s="1">
        <f ca="1">SUMIFS(Table_Process_Details[RV Energy (MJ) per kg API (ENZ&amp;PLNT)],Table_Process_Details[Display Name],Table_Process_Details[[#This Row],[Unique Process Inputs]],Table_Process_Details[Input or Output],"Input")</f>
        <v>0</v>
      </c>
      <c r="EG74" s="1">
        <f ca="1">SUMIFS(Table_Process_Details[RV Energy (MJ) per kg API (OTHER)],Table_Process_Details[Display Name],Table_Process_Details[[#This Row],[Unique Process Inputs]],Table_Process_Details[Input or Output],"Input")</f>
        <v>0</v>
      </c>
      <c r="EH74" s="1" t="e">
        <f ca="1">INDEX(Table_Process_Details[Unique Process Inputs],MATCH(Table_Process_Details[[#This Row],['[Energy (MJ) per kg API'] of Unique Inputs Sorted by '[Energy (MJ) per kg API']]],Table_Process_Details[Total '[Energy (MJ) per kg API'] of Unique Inputs],0))</f>
        <v>#N/A</v>
      </c>
      <c r="EI74" s="22" t="e">
        <f ca="1">IF(LARGE(Table_Process_Details[Total '[Energy (MJ) per kg API'] of Unique Inputs],Table_Process_Details[[#This Row],[Table Row]])=0,NA(),LARGE(Table_Process_Details[Total '[Energy (MJ) per kg API'] of Unique Inputs],Table_Process_Details[[#This Row],[Table Row]]))</f>
        <v>#N/A</v>
      </c>
      <c r="EJ74" s="22" t="e">
        <f ca="1">SUM(OFFSET(Table_Process_Details['[Energy (MJ) per kg API'] of Unique Inputs Sorted by '[Energy (MJ) per kg API']],0,0,Table_Process_Details[[#This Row],[Table Row]]))</f>
        <v>#N/A</v>
      </c>
      <c r="EK74" s="22" t="e">
        <f ca="1">"("&amp;TEXT(Table_Process_Details[[#This Row],['[Energy (MJ) per kg API'] of Unique Inputs Sorted by '[Energy (MJ) per kg API']]]/SUMIF(Table_Process_Details['[Energy (MJ) per kg API'] of Unique Inputs Sorted by '[Energy (MJ) per kg API']],"&lt;&gt;#N/A"),"0%")&amp;")"</f>
        <v>#N/A</v>
      </c>
      <c r="EL74" s="22" t="e">
        <f ca="1">INDEX(Table_Process_Details[Total '[Energy (MJ) per kg API'] of Unique Inputs (REAGENT)], MATCH(Table_Process_Details[[#This Row],[Unique Inputs Sorted by '[Energy (MJ) per kg API']]],Table_Process_Details[Unique Process Inputs],0))</f>
        <v>#N/A</v>
      </c>
      <c r="EM74" s="22" t="e">
        <f ca="1">INDEX(Table_Process_Details[Total '[Energy (MJ) per kg API'] of Unique Inputs (METAL)], MATCH(Table_Process_Details[[#This Row],[Unique Inputs Sorted by '[Energy (MJ) per kg API']]],Table_Process_Details[Unique Process Inputs],0))</f>
        <v>#N/A</v>
      </c>
      <c r="EN74" s="22" t="e">
        <f ca="1">INDEX(Table_Process_Details[Total '[Energy (MJ) per kg API'] of Unique Inputs (SOLVENT)], MATCH(Table_Process_Details[[#This Row],[Unique Inputs Sorted by '[Energy (MJ) per kg API']]],Table_Process_Details[Unique Process Inputs],0))</f>
        <v>#N/A</v>
      </c>
      <c r="EO74" s="22" t="e">
        <f ca="1">INDEX(Table_Process_Details[Total '[Energy (MJ) per kg API'] of Unique Inputs (WATER)], MATCH(Table_Process_Details[[#This Row],[Unique Inputs Sorted by '[Energy (MJ) per kg API']]],Table_Process_Details[Unique Process Inputs],0))</f>
        <v>#N/A</v>
      </c>
      <c r="EP74" s="22" t="e">
        <f ca="1">INDEX(Table_Process_Details[Total '[Energy (MJ) per kg API'] of Unique Inputs (ENZ&amp;PLNT)], MATCH(Table_Process_Details[[#This Row],[Unique Inputs Sorted by '[Energy (MJ) per kg API']]],Table_Process_Details[Unique Process Inputs],0))</f>
        <v>#N/A</v>
      </c>
      <c r="EQ74" s="22" t="e">
        <f ca="1">INDEX(Table_Process_Details[Total '[Energy (MJ) per kg API'] of Unique Inputs (OTHER)], MATCH(Table_Process_Details[[#This Row],[Unique Inputs Sorted by '[Energy (MJ) per kg API']]],Table_Process_Details[Unique Process Inputs],0))</f>
        <v>#N/A</v>
      </c>
      <c r="ER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4" s="22">
        <f ca="1">SUMIFS(Table_Process_Details[RV GWP (kg CO2 equiv.) per kg API],Table_Process_Details[Display Name],Table_Process_Details[[#This Row],[Unique Process Inputs]],Table_Process_Details[Input or Output],"Input")</f>
        <v>0</v>
      </c>
      <c r="EZ74" s="1">
        <f ca="1">SUMIFS(Table_Process_Details[RV GWP (kg CO2 equiv.) per kg API (REAGENT)],Table_Process_Details[Display Name],Table_Process_Details[[#This Row],[Unique Process Inputs]],Table_Process_Details[Input or Output],"Input")</f>
        <v>0</v>
      </c>
      <c r="FA74" s="1">
        <f ca="1">SUMIFS(Table_Process_Details[RV GWP (kg CO2 equiv.) per kg API (METAL)],Table_Process_Details[Display Name],Table_Process_Details[[#This Row],[Unique Process Inputs]],Table_Process_Details[Input or Output],"Input")</f>
        <v>0</v>
      </c>
      <c r="FB74" s="1">
        <f ca="1">SUMIFS(Table_Process_Details[RV GWP (kg CO2 equiv.) per kg API (SOLVENT)],Table_Process_Details[Display Name],Table_Process_Details[[#This Row],[Unique Process Inputs]],Table_Process_Details[Input or Output],"Input")</f>
        <v>0</v>
      </c>
      <c r="FC74" s="1">
        <f ca="1">SUMIFS(Table_Process_Details[RV GWP (kg CO2 equiv.) per kg API (WATER)],Table_Process_Details[Display Name],Table_Process_Details[[#This Row],[Unique Process Inputs]],Table_Process_Details[Input or Output],"Input")</f>
        <v>0</v>
      </c>
      <c r="FD74" s="1">
        <f ca="1">SUMIFS(Table_Process_Details[RV GWP (kg CO2 equiv.) per kg API (ENZ&amp;PLNT)],Table_Process_Details[Display Name],Table_Process_Details[[#This Row],[Unique Process Inputs]],Table_Process_Details[Input or Output],"Input")</f>
        <v>0</v>
      </c>
      <c r="FE74" s="1">
        <f ca="1">SUMIFS(Table_Process_Details[RV GWP (kg CO2 equiv.) per kg API (OTHER)],Table_Process_Details[Display Name],Table_Process_Details[[#This Row],[Unique Process Inputs]],Table_Process_Details[Input or Output],"Input")</f>
        <v>0</v>
      </c>
      <c r="FF74" s="22" t="e">
        <f ca="1">INDEX(Table_Process_Details[Unique Process Inputs],MATCH(Table_Process_Details[[#This Row],['[GWP (kg CO2 equiv.) per kg API'] of Unique Inputs Sorted by '[GWP (kg CO2 equiv.) per kg API']]],Table_Process_Details[Total '[GWP (kg CO2 equiv.) per kg API'] of Unique Inputs],0))</f>
        <v>#N/A</v>
      </c>
      <c r="FG74" s="22" t="e">
        <f ca="1">IF(LARGE(Table_Process_Details[Total '[GWP (kg CO2 equiv.) per kg API'] of Unique Inputs],Table_Process_Details[[#This Row],[Table Row]])=0,NA(),LARGE(Table_Process_Details[Total '[GWP (kg CO2 equiv.) per kg API'] of Unique Inputs],Table_Process_Details[[#This Row],[Table Row]]))</f>
        <v>#N/A</v>
      </c>
      <c r="FH74" s="22" t="e">
        <f ca="1">SUM(OFFSET(Table_Process_Details['[GWP (kg CO2 equiv.) per kg API'] of Unique Inputs Sorted by '[GWP (kg CO2 equiv.) per kg API']],0,0,Table_Process_Details[[#This Row],[Table Row]]))</f>
        <v>#N/A</v>
      </c>
      <c r="FI74" s="22" t="e">
        <f ca="1">"("&amp;TEXT(Table_Process_Details[[#This Row],['[GWP (kg CO2 equiv.) per kg API'] of Unique Inputs Sorted by '[GWP (kg CO2 equiv.) per kg API']]]/SUMIF(Table_Process_Details['[GWP (kg CO2 equiv.) per kg API'] of Unique Inputs Sorted by '[GWP (kg CO2 equiv.) per kg API']],"&lt;&gt;#N/A"),"0%")&amp;")"</f>
        <v>#N/A</v>
      </c>
      <c r="FJ74" s="22" t="e">
        <f ca="1">INDEX(Table_Process_Details[Total '[GWP (kg CO2 equiv.) per kg API'] of Unique Inputs (REAGENT)], MATCH(Table_Process_Details[[#This Row],[Unique Inputs Sorted by '[GWP (kg CO2 equiv.) per kg API']]],Table_Process_Details[Unique Process Inputs],0))</f>
        <v>#N/A</v>
      </c>
      <c r="FK74" s="22" t="e">
        <f ca="1">INDEX(Table_Process_Details[Total '[GWP (kg CO2 equiv.) per kg API'] of Unique Inputs (METAL)], MATCH(Table_Process_Details[[#This Row],[Unique Inputs Sorted by '[GWP (kg CO2 equiv.) per kg API']]],Table_Process_Details[Unique Process Inputs],0))</f>
        <v>#N/A</v>
      </c>
      <c r="FL74" s="22" t="e">
        <f ca="1">INDEX(Table_Process_Details[Total '[GWP (kg CO2 equiv.) per kg API'] of Unique Inputs (SOLVENT)], MATCH(Table_Process_Details[[#This Row],[Unique Inputs Sorted by '[GWP (kg CO2 equiv.) per kg API']]],Table_Process_Details[Unique Process Inputs],0))</f>
        <v>#N/A</v>
      </c>
      <c r="FM74" s="22" t="e">
        <f ca="1">INDEX(Table_Process_Details[Total '[GWP (kg CO2 equiv.) per kg API'] of Unique Inputs (WATER)], MATCH(Table_Process_Details[[#This Row],[Unique Inputs Sorted by '[GWP (kg CO2 equiv.) per kg API']]],Table_Process_Details[Unique Process Inputs],0))</f>
        <v>#N/A</v>
      </c>
      <c r="FN74" s="22" t="e">
        <f ca="1">INDEX(Table_Process_Details[Total '[GWP (kg CO2 equiv.) per kg API'] of Unique Inputs (ENZ&amp;PLNT)], MATCH(Table_Process_Details[[#This Row],[Unique Inputs Sorted by '[GWP (kg CO2 equiv.) per kg API']]],Table_Process_Details[Unique Process Inputs],0))</f>
        <v>#N/A</v>
      </c>
      <c r="FO74" s="22" t="e">
        <f ca="1">INDEX(Table_Process_Details[Total '[GWP (kg CO2 equiv.) per kg API'] of Unique Inputs (OTHER)], MATCH(Table_Process_Details[[#This Row],[Unique Inputs Sorted by '[GWP (kg CO2 equiv.) per kg API']]],Table_Process_Details[Unique Process Inputs],0))</f>
        <v>#N/A</v>
      </c>
      <c r="FP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4" s="22">
        <f ca="1">SUMIFS(Table_Process_Details[RV Acidification (kg SO2 equiv.) per kg API],Table_Process_Details[Display Name],Table_Process_Details[[#This Row],[Unique Process Inputs]],Table_Process_Details[Input or Output],"Input")</f>
        <v>0</v>
      </c>
      <c r="FX74" s="1">
        <f ca="1">SUMIFS(Table_Process_Details[RV Acidification (kg SO2 equiv.) per kg API (REAGENT)],Table_Process_Details[Display Name],Table_Process_Details[[#This Row],[Unique Process Inputs]],Table_Process_Details[Input or Output],"Input")</f>
        <v>0</v>
      </c>
      <c r="FY74" s="1">
        <f ca="1">SUMIFS(Table_Process_Details[RV Acidification (kg SO2 equiv.) per kg API (METAL)],Table_Process_Details[Display Name],Table_Process_Details[[#This Row],[Unique Process Inputs]],Table_Process_Details[Input or Output],"Input")</f>
        <v>0</v>
      </c>
      <c r="FZ74" s="1">
        <f ca="1">SUMIFS(Table_Process_Details[RV Acidification (kg SO2 equiv.) per kg API (SOLVENT)],Table_Process_Details[Display Name],Table_Process_Details[[#This Row],[Unique Process Inputs]],Table_Process_Details[Input or Output],"Input")</f>
        <v>0</v>
      </c>
      <c r="GA74" s="1">
        <f ca="1">SUMIFS(Table_Process_Details[RV Acidification (kg SO2 equiv.) per kg API (WATER)],Table_Process_Details[Display Name],Table_Process_Details[[#This Row],[Unique Process Inputs]],Table_Process_Details[Input or Output],"Input")</f>
        <v>0</v>
      </c>
      <c r="GB74" s="1">
        <f ca="1">SUMIFS(Table_Process_Details[RV Acidification (kg SO2 equiv.) per kg API (ENZ&amp;PLNT)],Table_Process_Details[Display Name],Table_Process_Details[[#This Row],[Unique Process Inputs]],Table_Process_Details[Input or Output],"Input")</f>
        <v>0</v>
      </c>
      <c r="GC74" s="1">
        <f ca="1">SUMIFS(Table_Process_Details[RV Acidification (kg SO2 equiv.) per kg API (OTHER)],Table_Process_Details[Display Name],Table_Process_Details[[#This Row],[Unique Process Inputs]],Table_Process_Details[Input or Output],"Input")</f>
        <v>0</v>
      </c>
      <c r="GD74"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4"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4" s="22" t="e">
        <f ca="1">SUM(OFFSET(Table_Process_Details['[Acidification (kg SO2 equiv.) per kg API'] of Unique Inputs Sorted by '[Acidification (kg SO2 equiv.) per kg API']],0,0,Table_Process_Details[[#This Row],[Table Row]]))</f>
        <v>#N/A</v>
      </c>
      <c r="GG74"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4" s="22" t="e">
        <f ca="1">INDEX(Table_Process_Details[Total '[Acidification (kg SO2 equiv.) per kg API'] of Unique Inputs (REAGENT)], MATCH(Table_Process_Details[[#This Row],[Unique Inputs Sorted by '[Acidification (kg SO2 equiv.) per kg API']]],Table_Process_Details[Unique Process Inputs],0))</f>
        <v>#N/A</v>
      </c>
      <c r="GI74" s="22" t="e">
        <f ca="1">INDEX(Table_Process_Details[Total '[Acidification (kg SO2 equiv.) per kg API'] of Unique Inputs (METAL)], MATCH(Table_Process_Details[[#This Row],[Unique Inputs Sorted by '[Acidification (kg SO2 equiv.) per kg API']]],Table_Process_Details[Unique Process Inputs],0))</f>
        <v>#N/A</v>
      </c>
      <c r="GJ74" s="22" t="e">
        <f ca="1">INDEX(Table_Process_Details[Total '[Acidification (kg SO2 equiv.) per kg API'] of Unique Inputs (SOLVENT)], MATCH(Table_Process_Details[[#This Row],[Unique Inputs Sorted by '[Acidification (kg SO2 equiv.) per kg API']]],Table_Process_Details[Unique Process Inputs],0))</f>
        <v>#N/A</v>
      </c>
      <c r="GK74" s="22" t="e">
        <f ca="1">INDEX(Table_Process_Details[Total '[Acidification (kg SO2 equiv.) per kg API'] of Unique Inputs (WATER)], MATCH(Table_Process_Details[[#This Row],[Unique Inputs Sorted by '[Acidification (kg SO2 equiv.) per kg API']]],Table_Process_Details[Unique Process Inputs],0))</f>
        <v>#N/A</v>
      </c>
      <c r="GL74" s="22" t="e">
        <f ca="1">INDEX(Table_Process_Details[Total '[Acidification (kg SO2 equiv.) per kg API'] of Unique Inputs (ENZ&amp;PLNT)], MATCH(Table_Process_Details[[#This Row],[Unique Inputs Sorted by '[Acidification (kg SO2 equiv.) per kg API']]],Table_Process_Details[Unique Process Inputs],0))</f>
        <v>#N/A</v>
      </c>
      <c r="GM74" s="22" t="e">
        <f ca="1">INDEX(Table_Process_Details[Total '[Acidification (kg SO2 equiv.) per kg API'] of Unique Inputs (OTHER)], MATCH(Table_Process_Details[[#This Row],[Unique Inputs Sorted by '[Acidification (kg SO2 equiv.) per kg API']]],Table_Process_Details[Unique Process Inputs],0))</f>
        <v>#N/A</v>
      </c>
      <c r="GN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4" s="22">
        <f ca="1">SUMIFS(Table_Process_Details[RV Eutrophication (kg phosphate equiv.) per kg API],Table_Process_Details[Display Name],Table_Process_Details[[#This Row],[Unique Process Inputs]],Table_Process_Details[Input or Output],"Input")</f>
        <v>0</v>
      </c>
      <c r="GV74" s="1">
        <f ca="1">SUMIFS(Table_Process_Details[RV Eutrophication (kg phosphate equiv.) per kg API (REAGENT)],Table_Process_Details[Display Name],Table_Process_Details[[#This Row],[Unique Process Inputs]],Table_Process_Details[Input or Output],"Input")</f>
        <v>0</v>
      </c>
      <c r="GW74" s="1">
        <f ca="1">SUMIFS(Table_Process_Details[RV Eutrophication (kg phosphate equiv.) per kg API (METAL)],Table_Process_Details[Display Name],Table_Process_Details[[#This Row],[Unique Process Inputs]],Table_Process_Details[Input or Output],"Input")</f>
        <v>0</v>
      </c>
      <c r="GX74" s="1">
        <f ca="1">SUMIFS(Table_Process_Details[RV Eutrophication (kg phosphate equiv.) per kg API (SOLVENT)],Table_Process_Details[Display Name],Table_Process_Details[[#This Row],[Unique Process Inputs]],Table_Process_Details[Input or Output],"Input")</f>
        <v>0</v>
      </c>
      <c r="GY74" s="1">
        <f ca="1">SUMIFS(Table_Process_Details[RV Eutrophication (kg phosphate equiv.) per kg API (WATER)],Table_Process_Details[Display Name],Table_Process_Details[[#This Row],[Unique Process Inputs]],Table_Process_Details[Input or Output],"Input")</f>
        <v>0</v>
      </c>
      <c r="GZ74" s="1">
        <f ca="1">SUMIFS(Table_Process_Details[RV Eutrophication (kg phosphate equiv.) per kg API (ENZ&amp;PLNT)],Table_Process_Details[Display Name],Table_Process_Details[[#This Row],[Unique Process Inputs]],Table_Process_Details[Input or Output],"Input")</f>
        <v>0</v>
      </c>
      <c r="HA74" s="1">
        <f ca="1">SUMIFS(Table_Process_Details[RV Eutrophication (kg phosphate equiv.) per kg API (OTHER)],Table_Process_Details[Display Name],Table_Process_Details[[#This Row],[Unique Process Inputs]],Table_Process_Details[Input or Output],"Input")</f>
        <v>0</v>
      </c>
      <c r="HB74"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4"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4" s="22" t="e">
        <f ca="1">SUM(OFFSET(Table_Process_Details['[Eutrophication (kg posphate equiv.) per kg API'] of Unique Inputs Sorted by '[Eutrophication (kg posphate equiv.) per kg API']],0,0,Table_Process_Details[[#This Row],[Table Row]]))</f>
        <v>#N/A</v>
      </c>
      <c r="HE74"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4" s="1" t="e">
        <f ca="1">INDEX(Table_Process_Details[Total '[Eutrophication (kg posphate equiv.) per kg API'] of Unique Inputs (REAGENT)], MATCH(Table_Process_Details[[#This Row],[Unique Inputs Sorted by '[Eutrophication (kg posphate equiv.) per kg API']]],Table_Process_Details[Unique Process Inputs],0))</f>
        <v>#N/A</v>
      </c>
      <c r="HG74" s="1" t="e">
        <f ca="1">INDEX(Table_Process_Details[Total '[Eutrophication (kg posphate equiv.) per kg API'] of Unique Inputs (METAL)], MATCH(Table_Process_Details[[#This Row],[Unique Inputs Sorted by '[Eutrophication (kg posphate equiv.) per kg API']]],Table_Process_Details[Unique Process Inputs],0))</f>
        <v>#N/A</v>
      </c>
      <c r="HH74" s="1" t="e">
        <f ca="1">INDEX(Table_Process_Details[Total '[Eutrophication (kg posphate equiv.) per kg API'] of Unique Inputs (SOLVENT)], MATCH(Table_Process_Details[[#This Row],[Unique Inputs Sorted by '[Eutrophication (kg posphate equiv.) per kg API']]],Table_Process_Details[Unique Process Inputs],0))</f>
        <v>#N/A</v>
      </c>
      <c r="HI74" s="1" t="e">
        <f ca="1">INDEX(Table_Process_Details[Total '[Eutrophication (kg posphate equiv.) per kg API'] of Unique Inputs (WATER)], MATCH(Table_Process_Details[[#This Row],[Unique Inputs Sorted by '[Eutrophication (kg posphate equiv.) per kg API']]],Table_Process_Details[Unique Process Inputs],0))</f>
        <v>#N/A</v>
      </c>
      <c r="HJ74" s="1" t="e">
        <f ca="1">INDEX(Table_Process_Details[Total '[Eutrophication (kg posphate equiv.) per kg API'] of Unique Inputs (ENZ&amp;PLNT)], MATCH(Table_Process_Details[[#This Row],[Unique Inputs Sorted by '[Eutrophication (kg posphate equiv.) per kg API']]],Table_Process_Details[Unique Process Inputs],0))</f>
        <v>#N/A</v>
      </c>
      <c r="HK74" s="1" t="e">
        <f ca="1">INDEX(Table_Process_Details[Total '[Eutrophication (kg posphate equiv.) per kg API'] of Unique Inputs (OTHER)], MATCH(Table_Process_Details[[#This Row],[Unique Inputs Sorted by '[Eutrophication (kg posphate equiv.) per kg API']]],Table_Process_Details[Unique Process Inputs],0))</f>
        <v>#N/A</v>
      </c>
      <c r="HL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4" s="1">
        <f ca="1">SUMIFS(Table_Process_Details[RV Water (kg) per kg API],Table_Process_Details[Display Name],Table_Process_Details[[#This Row],[Unique Process Inputs]],Table_Process_Details[Input or Output],"Input")</f>
        <v>0</v>
      </c>
      <c r="HT74" s="1">
        <f ca="1">SUMIFS(Table_Process_Details[RV Water (kg) per kg API (REAGENT)],Table_Process_Details[Display Name],Table_Process_Details[[#This Row],[Unique Process Inputs]],Table_Process_Details[Input or Output],"Input")</f>
        <v>0</v>
      </c>
      <c r="HU74" s="1">
        <f ca="1">SUMIFS(Table_Process_Details[RV Water (kg) per kg API (METAL)],Table_Process_Details[Display Name],Table_Process_Details[[#This Row],[Unique Process Inputs]],Table_Process_Details[Input or Output],"Input")</f>
        <v>0</v>
      </c>
      <c r="HV74" s="1">
        <f ca="1">SUMIFS(Table_Process_Details[RV Water (kg) per kg API (SOLVENT)],Table_Process_Details[Display Name],Table_Process_Details[[#This Row],[Unique Process Inputs]],Table_Process_Details[Input or Output],"Input")</f>
        <v>0</v>
      </c>
      <c r="HW74" s="1">
        <f ca="1">SUMIFS(Table_Process_Details[RV Water (kg) per kg API (WATER)],Table_Process_Details[Display Name],Table_Process_Details[[#This Row],[Unique Process Inputs]],Table_Process_Details[Input or Output],"Input")</f>
        <v>0</v>
      </c>
      <c r="HX74" s="1">
        <f ca="1">SUMIFS(Table_Process_Details[RV Water (kg) per kg API (ENZ&amp;PLNT)],Table_Process_Details[Display Name],Table_Process_Details[[#This Row],[Unique Process Inputs]],Table_Process_Details[Input or Output],"Input")</f>
        <v>0</v>
      </c>
      <c r="HY74" s="1">
        <f ca="1">SUMIFS(Table_Process_Details[RV Water (kg) per kg API (OTHER)],Table_Process_Details[Display Name],Table_Process_Details[[#This Row],[Unique Process Inputs]],Table_Process_Details[Input or Output],"Input")</f>
        <v>0</v>
      </c>
      <c r="HZ74" s="22" t="e">
        <f ca="1">INDEX(Table_Process_Details[Unique Process Inputs],MATCH(Table_Process_Details[[#This Row],['[Water (kg) per kg API'] of Unique Inputs Sorted by '[Water (kg) per kg API']]],Table_Process_Details[Total '[Water (kg) per kg API'] of Unique Inputs],0))</f>
        <v>#N/A</v>
      </c>
      <c r="IA74" s="22" t="e">
        <f ca="1">IF(LARGE(Table_Process_Details[Total '[Water (kg) per kg API'] of Unique Inputs],Table_Process_Details[[#This Row],[Table Row]])=0,NA(),LARGE(Table_Process_Details[Total '[Water (kg) per kg API'] of Unique Inputs],Table_Process_Details[[#This Row],[Table Row]]))</f>
        <v>#N/A</v>
      </c>
      <c r="IB74" s="1" t="e">
        <f ca="1">SUM(OFFSET(Table_Process_Details['[Water (kg) per kg API'] of Unique Inputs Sorted by '[Water (kg) per kg API']],0,0,Table_Process_Details[[#This Row],[Table Row]]))</f>
        <v>#N/A</v>
      </c>
      <c r="IC74" s="1" t="e">
        <f ca="1">"("&amp;TEXT(Table_Process_Details[[#This Row],['[Water (kg) per kg API'] of Unique Inputs Sorted by '[Water (kg) per kg API']]]/SUMIF(Table_Process_Details['[Water (kg) per kg API'] of Unique Inputs Sorted by '[Water (kg) per kg API']],"&lt;&gt;#N/A"),"0%")&amp;")"</f>
        <v>#N/A</v>
      </c>
      <c r="ID74" s="1" t="e">
        <f ca="1">INDEX(Table_Process_Details[Total '[Water (kg) per kg API'] of Unique Inputs (REAGENT)], MATCH(Table_Process_Details[[#This Row],[Unique Inputs Sorted by '[Water (kg) per kg API']]],Table_Process_Details[Unique Process Inputs],0))</f>
        <v>#N/A</v>
      </c>
      <c r="IE74" s="1" t="e">
        <f ca="1">INDEX(Table_Process_Details[Total '[Water (kg) per kg API'] of Unique Inputs (METAL)], MATCH(Table_Process_Details[[#This Row],[Unique Inputs Sorted by '[Water (kg) per kg API']]],Table_Process_Details[Unique Process Inputs],0))</f>
        <v>#N/A</v>
      </c>
      <c r="IF74" s="1" t="e">
        <f ca="1">INDEX(Table_Process_Details[Total '[Water (kg) per kg API'] of Unique Inputs (SOLVENT)], MATCH(Table_Process_Details[[#This Row],[Unique Inputs Sorted by '[Water (kg) per kg API']]],Table_Process_Details[Unique Process Inputs],0))</f>
        <v>#N/A</v>
      </c>
      <c r="IG74" s="1" t="e">
        <f ca="1">INDEX(Table_Process_Details[Total '[Water (kg) per kg API'] of Unique Inputs (WATER)], MATCH(Table_Process_Details[[#This Row],[Unique Inputs Sorted by '[Water (kg) per kg API']]],Table_Process_Details[Unique Process Inputs],0))</f>
        <v>#N/A</v>
      </c>
      <c r="IH74" s="1" t="e">
        <f ca="1">INDEX(Table_Process_Details[Total '[Water (kg) per kg API'] of Unique Inputs (ENZ&amp;PLNT)], MATCH(Table_Process_Details[[#This Row],[Unique Inputs Sorted by '[Water (kg) per kg API']]],Table_Process_Details[Unique Process Inputs],0))</f>
        <v>#N/A</v>
      </c>
      <c r="II74" s="1" t="e">
        <f ca="1">INDEX(Table_Process_Details[Total '[Water (kg) per kg API'] of Unique Inputs (OTHER)], MATCH(Table_Process_Details[[#This Row],[Unique Inputs Sorted by '[Water (kg) per kg API']]],Table_Process_Details[Unique Process Inputs],0))</f>
        <v>#N/A</v>
      </c>
    </row>
    <row r="75" spans="1:243" customFormat="1" x14ac:dyDescent="0.25">
      <c r="A75" s="22" t="str">
        <f>A74</f>
        <v>4a) Virtual solution prep for (4): 20 wt% reagent J (inorganic) in water</v>
      </c>
      <c r="B75" s="21" t="s">
        <v>4</v>
      </c>
      <c r="C75" s="21" t="s">
        <v>6</v>
      </c>
      <c r="D75" s="22" t="s">
        <v>146</v>
      </c>
      <c r="E75" s="22" t="s">
        <v>814</v>
      </c>
      <c r="F75" s="26">
        <v>72</v>
      </c>
      <c r="G75" s="26"/>
      <c r="H75" s="26"/>
      <c r="I75" s="26"/>
      <c r="J75" s="26" t="str">
        <f>INDEX(Process_Steps[Reference],MATCH(Table_Process_Details[[#This Row],[Step Name]],Process_Steps[Name],0))</f>
        <v>Penultimate Reference Document</v>
      </c>
      <c r="K75" s="27" t="str">
        <f>INDEX(Process_Steps[Real or Virtual?],MATCH(Table_Process_Details[[#This Row],[Step Name]],Process_Steps[Name],0))</f>
        <v>Virtual</v>
      </c>
      <c r="L7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7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75" s="26">
        <f>INDEX(Table_Process_Details[Physical Mass (kg)],MATCH(1,INDEX(((Table_Process_Details[Step Name]=Table_Process_Details[[#This Row],[Step Name]])*(Table_Process_Details[Input or Output]="Output")),0),0))</f>
        <v>92</v>
      </c>
      <c r="O75" s="29">
        <f ca="1">INDEX(Process_Steps[Step Scale Factor for 1kg Packaged API],MATCH(Table_Process_Details[[#This Row],[Step Name]],Process_Steps[Name],0))</f>
        <v>4.7874759628811381E-2</v>
      </c>
      <c r="P7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14.666666666666666</v>
      </c>
      <c r="Q7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5.6666666666666661</v>
      </c>
      <c r="R75" s="26">
        <f ca="1">_xlfn.SWITCH(Run_Reset_PNG,"Reset",Table_Process_Details[[#This Row],[X Init]],"Run",Table_Process_Details[[#This Row],[X Moved]],"Freeze",Table_Process_Details[[#This Row],[X Mover]])</f>
        <v>9.5055669959141795</v>
      </c>
      <c r="S75" s="26">
        <f ca="1">_xlfn.SWITCH(Run_Reset_PNG,"Reset",Table_Process_Details[[#This Row],[Y Init]],"Run",Table_Process_Details[[#This Row],[Y Moved]],"Freeze",Table_Process_Details[[#This Row],[Y Mover]])</f>
        <v>-10.278952762976605</v>
      </c>
      <c r="T75" s="26" cm="1">
        <f t="array" aca="1" ref="T7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-1.5719717689005934</v>
      </c>
      <c r="U75" s="26" cm="1">
        <f t="array" aca="1" ref="U7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-5.3933279883300074</v>
      </c>
      <c r="V75" s="26" cm="1">
        <f t="array" aca="1" ref="V75" ca="1">SUM(--(SQRT((Table_Process_Details[[#This Row],[X Mover]]-Table_Process_Details[X Mover])^2+(Table_Process_Details[[#This Row],[Y Mover]]-Table_Process_Details[Y Mover])^2)&lt;Collision_Distance))</f>
        <v>10</v>
      </c>
      <c r="W75" s="26" cm="1">
        <f t="array" aca="1" ref="W7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0.18991379641655867</v>
      </c>
      <c r="X75" s="26" cm="1">
        <f t="array" aca="1" ref="X7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0.42877668756614445</v>
      </c>
      <c r="Y75" s="26" cm="1">
        <f t="array" aca="1" ref="Y7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5" s="26">
        <f>0</f>
        <v>0</v>
      </c>
      <c r="AA75" s="26">
        <f>0</f>
        <v>0</v>
      </c>
      <c r="AB7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-4.7527834979570898</v>
      </c>
      <c r="AC75" s="26" cm="1">
        <f t="array" aca="1" ref="AC7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5.1394763814883024</v>
      </c>
      <c r="AD75" s="26">
        <f>MIN(1,COUNTA(Table_Process_Details[[#This Row],[target x]]),COUNTA(Table_Process_Details[[#This Row],[target y]]))*COUNTA(Table_Process_Details[Step Name])</f>
        <v>98</v>
      </c>
      <c r="AE7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9.4897858246451978</v>
      </c>
      <c r="AF7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-10.337065237697663</v>
      </c>
      <c r="AG7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75" s="26" cm="1">
        <f t="array" aca="1" ref="AH75" ca="1">INDEX(Table_Process_Details[X Mover],MATCH(1,INDEX((Table_Process_Details[Input or Output]="Output")*(Table_Process_Details[Step Name]=Table_Process_Details[[#This Row],[Step Name]])*(Table_Process_Details[[#This Row],[Input or Output]]="Input"),0),0))</f>
        <v>11.100317346629659</v>
      </c>
      <c r="AI75" s="26" cm="1">
        <f t="array" aca="1" ref="AI75" ca="1">INDEX(Table_Process_Details[Y Mover],MATCH(1,INDEX((Table_Process_Details[Input or Output]="Output")*(Table_Process_Details[Step Name]=Table_Process_Details[[#This Row],[Step Name]])*(Table_Process_Details[[#This Row],[Input or Output]]="Input"),0),0))</f>
        <v>-6.6784151202300235</v>
      </c>
      <c r="AJ75" s="26" t="e">
        <f ca="1">SQRT((Table_Process_Details[[#This Row],[X End (To Node Center)]]-Table_Process_Details[[#This Row],[X Guide]])^2+(Table_Process_Details[[#This Row],[Y End (to Node Center)]]-Table_Process_Details[[#This Row],[Y Guide]])^2)</f>
        <v>#N/A</v>
      </c>
      <c r="AK75" s="26" t="e" cm="1">
        <f t="array" ref="AK75">INDEX(Table_Process_Details[X Mover],MATCH(1,INDEX((Table_Process_Details[Step Name]=Table_Process_Details[[#This Row],[LCA Data Source Subclass]])*(Table_Process_Details[Input or Output]="Output"),0)*(Table_Process_Details[[#This Row],[Input or Output]]="Input"),0))</f>
        <v>#N/A</v>
      </c>
      <c r="AL75" s="26" cm="1">
        <f t="array" aca="1" ref="AL75" ca="1">INDEX(Table_Process_Details[X Mover],MATCH(1,INDEX(((Table_Process_Details[Table Row]=Table_Process_Details[[#This Row],[Table Row]])*(1)),0)*(Table_Process_Details[[#This Row],[Input or Output]]="Input"),0))</f>
        <v>9.5055669959141795</v>
      </c>
      <c r="AM75" s="26" t="e" cm="1">
        <f t="array" aca="1" ref="AM75" ca="1">(Table_Process_Details[[#This Row],[X End (To Node Center)]]*Table_Process_Details[[#This Row],[r0]]-Table_Process_Details[[#This Row],[X End (To Node Center)]]*Arrow_Offset+Table_Process_Details[[#This Row],[X Guide]]*Arrow_Offset)/Table_Process_Details[[#This Row],[r0]]</f>
        <v>#N/A</v>
      </c>
      <c r="AN75" s="26" t="e">
        <f>IF(NOT(Table_Process_Details[[#This Row],[Display As]]="None"),Table_Process_Details[[#This Row],[X Start Prefilter]],NA())</f>
        <v>#N/A</v>
      </c>
      <c r="AO75" s="26" t="e">
        <f>IF(NOT(Table_Process_Details[[#This Row],[Display As]]="None"),Table_Process_Details[[#This Row],[X Guide Prefilter]],NA())</f>
        <v>#N/A</v>
      </c>
      <c r="AP75" s="26" t="e">
        <f>IF(NOT(Table_Process_Details[[#This Row],[Display As]]="None"),Table_Process_Details[[#This Row],[X End (to Stop Radius) Prefilter]],NA())</f>
        <v>#N/A</v>
      </c>
      <c r="AQ75" s="26" t="e">
        <f>NA()</f>
        <v>#N/A</v>
      </c>
      <c r="AR75" s="26" t="e" cm="1">
        <f t="array" ref="AR75">INDEX(Table_Process_Details[Y Mover],MATCH(1,INDEX((Table_Process_Details[Step Name]=Table_Process_Details[[#This Row],[LCA Data Source Subclass]])*(Table_Process_Details[Input or Output]="Output"),0)*(Table_Process_Details[[#This Row],[Input or Output]]="Input"),0))</f>
        <v>#N/A</v>
      </c>
      <c r="AS75" s="26" cm="1">
        <f t="array" aca="1" ref="AS75" ca="1">INDEX(Table_Process_Details[Y Mover],MATCH(1,INDEX(((Table_Process_Details[Table Row]=Table_Process_Details[[#This Row],[Table Row]])*(1)),0)*(Table_Process_Details[[#This Row],[Input or Output]]="Input"),0))</f>
        <v>-10.278952762976605</v>
      </c>
      <c r="AT75" s="26" t="e" cm="1">
        <f t="array" aca="1" ref="AT75" ca="1">(Table_Process_Details[[#This Row],[Y Guide]]*Arrow_Offset-Table_Process_Details[[#This Row],[Y End (to Node Center)]]*Arrow_Offset+Table_Process_Details[[#This Row],[Y End (to Node Center)]]*Table_Process_Details[[#This Row],[r0]])/Table_Process_Details[[#This Row],[r0]]</f>
        <v>#N/A</v>
      </c>
      <c r="AU75" s="26" t="e">
        <f>IF(NOT(Table_Process_Details[[#This Row],[Display As]]="None"),Table_Process_Details[[#This Row],[Y Start Prefilter]],NA())</f>
        <v>#N/A</v>
      </c>
      <c r="AV75" s="26" t="e">
        <f>IF(NOT(Table_Process_Details[[#This Row],[Display As]]="None"),Table_Process_Details[[#This Row],[Y Guide Prefilter]],NA())</f>
        <v>#N/A</v>
      </c>
      <c r="AW75" s="26" t="e">
        <f>IF(NOT(Table_Process_Details[[#This Row],[Display As]]="None"),Table_Process_Details[[#This Row],[Y End (to Stop Radius) Prefilter]],NA())</f>
        <v>#N/A</v>
      </c>
      <c r="AX75" s="26" t="e">
        <f>NA()</f>
        <v>#N/A</v>
      </c>
      <c r="AY75" s="26" t="e">
        <f>IF(Table_Process_Details[[#This Row],[Display As]]="Real Step",Table_Process_Details[[#This Row],[X Mover]],NA())</f>
        <v>#N/A</v>
      </c>
      <c r="AZ75" s="26" t="e">
        <f>IF(Table_Process_Details[[#This Row],[Display As]]="Real Step",Table_Process_Details[[#This Row],[Y Mover]],NA())</f>
        <v>#N/A</v>
      </c>
      <c r="BA75" s="26" t="e">
        <f>IF(Table_Process_Details[[#This Row],[Display As]]="Raw Material",Table_Process_Details[[#This Row],[X Mover]],NA())</f>
        <v>#N/A</v>
      </c>
      <c r="BB75" s="26" t="e">
        <f>IF(Table_Process_Details[[#This Row],[Display As]]="Raw Material",Table_Process_Details[[#This Row],[Y Mover]],NA())</f>
        <v>#N/A</v>
      </c>
      <c r="BC75" s="26" t="e">
        <f>IF(OR(Table_Process_Details[[#This Row],[Display As]]="Real Step",Table_Process_Details[[#This Row],[Display As]]="Raw Material"),Table_Process_Details[[#This Row],[X Mover]],NA())</f>
        <v>#N/A</v>
      </c>
      <c r="BD75" s="26" t="e">
        <f>IF(OR(Table_Process_Details[[#This Row],[Display As]]="Real Step",Table_Process_Details[[#This Row],[Display As]]="Raw Material"),Table_Process_Details[[#This Row],[Y Mover]],NA())</f>
        <v>#N/A</v>
      </c>
      <c r="BE75" s="22">
        <f>ROW()-ROW(Table_Process_Details[[#Headers],[Table Row]])</f>
        <v>71</v>
      </c>
      <c r="BF75" s="23" t="e" cm="1">
        <f t="array" aca="1" ref="BF75" ca="1">INDEX(Table_Process_Details[Display Name],MATCH(0,IF(Table_Process_Details[Input or Output]="Input",INDEX(COUNTIF(OFFSET(Table_Process_Details[[#Headers],[Unique Process Inputs]],0,0,Table_Process_Details[[#This Row],[Table Row]],1),Table_Process_Details[Display Name]),),""),0))</f>
        <v>#N/A</v>
      </c>
      <c r="BG75" s="23">
        <f ca="1">Table_Process_Details[[#This Row],[Physical Mass (kg)]]*Table_Process_Details[[#This Row],[Step Scale Factor for 1kg Packaged API]]</f>
        <v>3.4469826932744194</v>
      </c>
      <c r="BH7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5" s="23">
        <f ca="1">MATCH(Table_Process_Details[[#This Row],[LCA Data Source Class]],INDIRECT(Table_Process_Details[[#This Row],[Input or Output]]),0)</f>
        <v>2</v>
      </c>
      <c r="BJ75" s="23">
        <f ca="1">MATCH(Table_Process_Details[[#This Row],[LCA Data Source Subclass]],INDIRECT(Table_Process_Details[[#This Row],[LCA Data Source Class]]&amp;"[Name]"),0)</f>
        <v>64</v>
      </c>
      <c r="BK75" s="23">
        <f ca="1">IFERROR(INDEX(INDIRECT(Table_Process_Details[[#This Row],[LCA Data Source Class]]&amp;"[Mass Net (kg)]"),MATCH(Table_Process_Details[[#This Row],[LCA Data Source Subclass]],INDIRECT(Table_Process_Details[[#This Row],[LCA Data Source Class]]&amp;"[Name]"),0)),0)</f>
        <v>1.5302652999999999E-3</v>
      </c>
      <c r="BL75" s="23">
        <f ca="1">IFERROR(INDEX(INDIRECT(Table_Process_Details[[#This Row],[LCA Data Source Class]]&amp;"[Energy (MJ)]"),MATCH(Table_Process_Details[[#This Row],[LCA Data Source Subclass]],INDIRECT(Table_Process_Details[[#This Row],[LCA Data Source Class]]&amp;"[Name]"),0)),0)</f>
        <v>1.9058192000000002E-2</v>
      </c>
      <c r="BM75" s="23">
        <f ca="1">IFERROR(INDEX(INDIRECT(Table_Process_Details[[#This Row],[LCA Data Source Class]]&amp;"[GWP (kg CO2 equiv.)]"),MATCH(Table_Process_Details[[#This Row],[LCA Data Source Subclass]],INDIRECT(Table_Process_Details[[#This Row],[LCA Data Source Class]]&amp;"[Name]"),0)),0)</f>
        <v>1.015742E-3</v>
      </c>
      <c r="BN75" s="23">
        <f ca="1">IFERROR(INDEX(INDIRECT(Table_Process_Details[[#This Row],[LCA Data Source Class]]&amp;"[Acidification (kg SO2 equiv.)]"),MATCH(Table_Process_Details[[#This Row],[LCA Data Source Subclass]],INDIRECT(Table_Process_Details[[#This Row],[LCA Data Source Class]]&amp;"[Name]"),0)),0)</f>
        <v>3.8914349999999996E-6</v>
      </c>
      <c r="BO75" s="23">
        <f ca="1">IFERROR(INDEX(INDIRECT(Table_Process_Details[[#This Row],[LCA Data Source Class]]&amp;"[Eutrophication (kg posphate equiv.)]"),MATCH(Table_Process_Details[[#This Row],[LCA Data Source Subclass]],INDIRECT(Table_Process_Details[[#This Row],[LCA Data Source Class]]&amp;"[Name]"),0)),0)</f>
        <v>2.3181694000000001E-6</v>
      </c>
      <c r="BP75" s="23">
        <f ca="1">IFERROR(INDEX(INDIRECT(Table_Process_Details[[#This Row],[LCA Data Source Class]]&amp;"[Water (kg)]"),MATCH(Table_Process_Details[[#This Row],[LCA Data Source Subclass]],INDIRECT(Table_Process_Details[[#This Row],[LCA Data Source Class]]&amp;"[Name]"),0)),0)</f>
        <v>1.2633490999999999</v>
      </c>
      <c r="BQ75" s="27">
        <f ca="1">(Table_Process_Details[[#This Row],[Input or Output]]="Input")*(Table_Process_Details[[#This Row],[LCA Data Source Class]]&lt;&gt;"Process_Steps")*Table_Process_Details[[#This Row],[Scaled Physical Mass per kg API for All Inputs &amp; Outputs]]</f>
        <v>3.4469826932744194</v>
      </c>
      <c r="BR75" s="27">
        <f ca="1">(Table_Process_Details[[#This Row],[Material Class]]="REAGENT")*Table_Process_Details[[#This Row],[Physical Mass per kg API]]</f>
        <v>0</v>
      </c>
      <c r="BS75" s="27">
        <f ca="1">(Table_Process_Details[[#This Row],[Material Class]]="METAL")*Table_Process_Details[[#This Row],[Physical Mass per kg API]]</f>
        <v>0</v>
      </c>
      <c r="BT75" s="27">
        <f ca="1">(Table_Process_Details[[#This Row],[Material Class]]="SOLVENT")*Table_Process_Details[[#This Row],[Physical Mass per kg API]]</f>
        <v>0</v>
      </c>
      <c r="BU75" s="27">
        <f ca="1">(Table_Process_Details[[#This Row],[Material Class]]="WATER")*Table_Process_Details[[#This Row],[Physical Mass per kg API]]</f>
        <v>3.4469826932744194</v>
      </c>
      <c r="BV75" s="27">
        <f ca="1">(Table_Process_Details[[#This Row],[Material Class]]="ENZ&amp;PLNT")*Table_Process_Details[[#This Row],[Physical Mass per kg API]]</f>
        <v>0</v>
      </c>
      <c r="BW75" s="27">
        <f ca="1">(Table_Process_Details[[#This Row],[Material Class]]="OTHER")*Table_Process_Details[[#This Row],[Physical Mass per kg API]]</f>
        <v>0</v>
      </c>
      <c r="BX7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5" s="1">
        <f ca="1">SUMIFS(Table_Process_Details[RV Physical Mass per kg API],Table_Process_Details[Display Name],Table_Process_Details[[#This Row],[Unique Process Inputs]],Table_Process_Details[Input or Output],"Input")</f>
        <v>0</v>
      </c>
      <c r="CF75" s="1">
        <f ca="1">SUMIFS(Table_Process_Details[RV Physical Mass per kg API (REAGENT)],Table_Process_Details[Display Name],Table_Process_Details[[#This Row],[Unique Process Inputs]],Table_Process_Details[Input or Output],"Input")</f>
        <v>0</v>
      </c>
      <c r="CG75" s="1">
        <f ca="1">SUMIFS(Table_Process_Details[RV Physical Mass per kg API (METAL)],Table_Process_Details[Display Name],Table_Process_Details[[#This Row],[Unique Process Inputs]],Table_Process_Details[Input or Output],"Input")</f>
        <v>0</v>
      </c>
      <c r="CH75" s="1">
        <f ca="1">SUMIFS(Table_Process_Details[RV Physical Mass per kg API (SOLVENT)],Table_Process_Details[Display Name],Table_Process_Details[[#This Row],[Unique Process Inputs]],Table_Process_Details[Input or Output],"Input")</f>
        <v>0</v>
      </c>
      <c r="CI75" s="1">
        <f ca="1">SUMIFS(Table_Process_Details[RV Physical Mass per kg API (WATER)],Table_Process_Details[Display Name],Table_Process_Details[[#This Row],[Unique Process Inputs]],Table_Process_Details[Input or Output],"Input")</f>
        <v>0</v>
      </c>
      <c r="CJ75" s="1">
        <f ca="1">SUMIFS(Table_Process_Details[RV Physical Mass per kg API (ENZ&amp;PLNT)],Table_Process_Details[Display Name],Table_Process_Details[[#This Row],[Unique Process Inputs]],Table_Process_Details[Input or Output],"Input")</f>
        <v>0</v>
      </c>
      <c r="CK75" s="1">
        <f ca="1">SUMIFS(Table_Process_Details[RV Physical Mass per kg API (OTHER)],Table_Process_Details[Display Name],Table_Process_Details[[#This Row],[Unique Process Inputs]],Table_Process_Details[Input or Output],"Input")</f>
        <v>0</v>
      </c>
      <c r="CL75" s="22" t="e">
        <f ca="1">INDEX(Table_Process_Details[Unique Process Inputs],MATCH(Table_Process_Details[[#This Row],['[Physical Mass per kg API'] of Unique Inputs Sorted by '[Physical Mass per kg API']]],Table_Process_Details[Total '[Physical Mass per kg API'] of Unique Inputs],0))</f>
        <v>#N/A</v>
      </c>
      <c r="CM75" s="22" t="e">
        <f ca="1">IF(LARGE(Table_Process_Details[Total '[Physical Mass per kg API'] of Unique Inputs],Table_Process_Details[[#This Row],[Table Row]])=0,NA(),LARGE(Table_Process_Details[Total '[Physical Mass per kg API'] of Unique Inputs],Table_Process_Details[[#This Row],[Table Row]]))</f>
        <v>#N/A</v>
      </c>
      <c r="CN75" s="22" t="e">
        <f ca="1">SUM(OFFSET(Table_Process_Details['[Physical Mass per kg API'] of Unique Inputs Sorted by '[Physical Mass per kg API']],0,0,Table_Process_Details[[#This Row],[Table Row]]))</f>
        <v>#N/A</v>
      </c>
      <c r="CO75" s="22" t="e">
        <f ca="1">"("&amp;TEXT(Table_Process_Details[[#This Row],['[Physical Mass per kg API'] of Unique Inputs Sorted by '[Physical Mass per kg API']]]/SUMIF(Table_Process_Details['[Physical Mass per kg API'] of Unique Inputs Sorted by '[Physical Mass per kg API']],"&lt;&gt;#N/A"),"0%")&amp;")"</f>
        <v>#N/A</v>
      </c>
      <c r="CP75" s="22" t="e">
        <f ca="1">INDEX(Table_Process_Details[Total '[Physical Mass per kg API'] of Unique Inputs (REAGENT)],MATCH(Table_Process_Details[[#This Row],[Unique Inputs Sorted by '[Physical Mass per kg API']]],Table_Process_Details[Unique Process Inputs],0))</f>
        <v>#N/A</v>
      </c>
      <c r="CQ75" s="22" t="e">
        <f ca="1">INDEX(Table_Process_Details[Total '[Physical Mass per kg API'] of Unique Inputs (METAL)],MATCH(Table_Process_Details[[#This Row],[Unique Inputs Sorted by '[Physical Mass per kg API']]],Table_Process_Details[Unique Process Inputs],0))</f>
        <v>#N/A</v>
      </c>
      <c r="CR75" s="22" t="e">
        <f ca="1">INDEX(Table_Process_Details[Total '[Physical Mass per kg API'] of Unique Inputs (SOLVENT)],MATCH(Table_Process_Details[[#This Row],[Unique Inputs Sorted by '[Physical Mass per kg API']]],Table_Process_Details[Unique Process Inputs],0))</f>
        <v>#N/A</v>
      </c>
      <c r="CS75" s="22" t="e">
        <f ca="1">INDEX(Table_Process_Details[Total '[Physical Mass per kg API'] of Unique Inputs (WATER)],MATCH(Table_Process_Details[[#This Row],[Unique Inputs Sorted by '[Physical Mass per kg API']]],Table_Process_Details[Unique Process Inputs],0))</f>
        <v>#N/A</v>
      </c>
      <c r="CT75" s="22" t="e">
        <f ca="1">INDEX(Table_Process_Details[Total '[Physical Mass per kg API'] of Unique Inputs (ENZ&amp;PLNT)],MATCH(Table_Process_Details[[#This Row],[Unique Inputs Sorted by '[Physical Mass per kg API']]],Table_Process_Details[Unique Process Inputs],0))</f>
        <v>#N/A</v>
      </c>
      <c r="CU75" s="22" t="e">
        <f ca="1">INDEX(Table_Process_Details[Total '[Physical Mass per kg API'] of Unique Inputs (OTHER)],MATCH(Table_Process_Details[[#This Row],[Unique Inputs Sorted by '[Physical Mass per kg API']]],Table_Process_Details[Unique Process Inputs],0))</f>
        <v>#N/A</v>
      </c>
      <c r="CV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5" s="22">
        <f ca="1">SUMIFS(Table_Process_Details[RV Mass Net (kg) per kg API],Table_Process_Details[Display Name],Table_Process_Details[[#This Row],[Unique Process Inputs]],Table_Process_Details[Input or Output],"Input")</f>
        <v>0</v>
      </c>
      <c r="DD75" s="22">
        <f ca="1">SUMIFS(Table_Process_Details[RV Mass Net (kg) per kg API (REAGENT)],Table_Process_Details[Display Name],Table_Process_Details[[#This Row],[Unique Process Inputs]],Table_Process_Details[Input or Output],"Input")</f>
        <v>0</v>
      </c>
      <c r="DE75" s="22">
        <f ca="1">SUMIFS(Table_Process_Details[RV Mass Net (kg) per kg API (METAL)],Table_Process_Details[Display Name],Table_Process_Details[[#This Row],[Unique Process Inputs]],Table_Process_Details[Input or Output],"Input")</f>
        <v>0</v>
      </c>
      <c r="DF75" s="22">
        <f ca="1">SUMIFS(Table_Process_Details[RV Mass Net (kg) per kg API (SOLVENT)],Table_Process_Details[Display Name],Table_Process_Details[[#This Row],[Unique Process Inputs]],Table_Process_Details[Input or Output],"Input")</f>
        <v>0</v>
      </c>
      <c r="DG75" s="22">
        <f ca="1">SUMIFS(Table_Process_Details[RV Mass Net (kg) per kg API (WATER)],Table_Process_Details[Display Name],Table_Process_Details[[#This Row],[Unique Process Inputs]],Table_Process_Details[Input or Output],"Input")</f>
        <v>0</v>
      </c>
      <c r="DH75" s="22">
        <f ca="1">SUMIFS(Table_Process_Details[RV Mass Net (kg) per kg API (ENZ&amp;PLNT)],Table_Process_Details[Display Name],Table_Process_Details[[#This Row],[Unique Process Inputs]],Table_Process_Details[Input or Output],"Input")</f>
        <v>0</v>
      </c>
      <c r="DI75" s="22">
        <f ca="1">SUMIFS(Table_Process_Details[RV Mass Net (kg) per kg API (OTHER)],Table_Process_Details[Display Name],Table_Process_Details[[#This Row],[Unique Process Inputs]],Table_Process_Details[Input or Output],"Input")</f>
        <v>0</v>
      </c>
      <c r="DJ75" s="22" t="e">
        <f ca="1">INDEX(Table_Process_Details[Unique Process Inputs],MATCH(Table_Process_Details[[#This Row],['[Mass Net (kg) per kg API'] of Unique Inputs Sorted by '[Mass Net (kg) per kg API']]],Table_Process_Details[Total '[Mass Net (kg) per kg API'] of Unique Inputs],0))</f>
        <v>#N/A</v>
      </c>
      <c r="DK75" s="22" t="e">
        <f ca="1">IF(LARGE(Table_Process_Details[Total '[Mass Net (kg) per kg API'] of Unique Inputs],Table_Process_Details[[#This Row],[Table Row]])=0,NA(),LARGE(Table_Process_Details[Total '[Mass Net (kg) per kg API'] of Unique Inputs],Table_Process_Details[[#This Row],[Table Row]]))</f>
        <v>#N/A</v>
      </c>
      <c r="DL75" s="22" t="e">
        <f ca="1">SUM(OFFSET(Table_Process_Details['[Mass Net (kg) per kg API'] of Unique Inputs Sorted by '[Mass Net (kg) per kg API']],0,0,Table_Process_Details[[#This Row],[Table Row]]))</f>
        <v>#N/A</v>
      </c>
      <c r="DM75" s="22" t="e">
        <f ca="1">"("&amp;TEXT(Table_Process_Details[[#This Row],['[Mass Net (kg) per kg API'] of Unique Inputs Sorted by '[Mass Net (kg) per kg API']]]/SUMIF(Table_Process_Details['[Mass Net (kg) per kg API'] of Unique Inputs Sorted by '[Mass Net (kg) per kg API']],"&lt;&gt;#N/A"),"0%")&amp;")"</f>
        <v>#N/A</v>
      </c>
      <c r="DN75" s="22" t="e">
        <f ca="1">INDEX(Table_Process_Details[Total '[Mass Net (kg) per kg API'] of Unique Inputs (REAGENT)], MATCH(Table_Process_Details[[#This Row],[Unique Inputs Sorted by '[Mass Net (kg) per kg API']]],Table_Process_Details[Unique Process Inputs],0))</f>
        <v>#N/A</v>
      </c>
      <c r="DO75" s="22" t="e">
        <f ca="1">INDEX(Table_Process_Details[Total '[Mass Net (kg) per kg API'] of Unique Inputs (METAL)], MATCH(Table_Process_Details[[#This Row],[Unique Inputs Sorted by '[Mass Net (kg) per kg API']]],Table_Process_Details[Unique Process Inputs],0))</f>
        <v>#N/A</v>
      </c>
      <c r="DP75" s="22" t="e">
        <f ca="1">INDEX(Table_Process_Details[Total '[Mass Net (kg) per kg API'] of Unique Inputs (SOLVENT)], MATCH(Table_Process_Details[[#This Row],[Unique Inputs Sorted by '[Mass Net (kg) per kg API']]],Table_Process_Details[Unique Process Inputs],0))</f>
        <v>#N/A</v>
      </c>
      <c r="DQ75" s="22" t="e">
        <f ca="1">INDEX(Table_Process_Details[Total '[Mass Net (kg) per kg API'] of Unique Inputs (WATER)], MATCH(Table_Process_Details[[#This Row],[Unique Inputs Sorted by '[Mass Net (kg) per kg API']]],Table_Process_Details[Unique Process Inputs],0))</f>
        <v>#N/A</v>
      </c>
      <c r="DR75" s="22" t="e">
        <f ca="1">INDEX(Table_Process_Details[Total '[Mass Net (kg) per kg API'] of Unique Inputs (ENZ&amp;PLNT)], MATCH(Table_Process_Details[[#This Row],[Unique Inputs Sorted by '[Mass Net (kg) per kg API']]],Table_Process_Details[Unique Process Inputs],0))</f>
        <v>#N/A</v>
      </c>
      <c r="DS75" s="22" t="e">
        <f ca="1">INDEX(Table_Process_Details[Total '[Mass Net (kg) per kg API'] of Unique Inputs (OTHER)], MATCH(Table_Process_Details[[#This Row],[Unique Inputs Sorted by '[Mass Net (kg) per kg API']]],Table_Process_Details[Unique Process Inputs],0))</f>
        <v>#N/A</v>
      </c>
      <c r="DT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5" s="1">
        <f ca="1">SUMIFS(Table_Process_Details[RV Energy (MJ) per kg API],Table_Process_Details[Display Name],Table_Process_Details[[#This Row],[Unique Process Inputs]],Table_Process_Details[Input or Output],"Input")</f>
        <v>0</v>
      </c>
      <c r="EB75" s="1">
        <f ca="1">SUMIFS(Table_Process_Details[RV Energy (MJ) per kg API (REAGENT)],Table_Process_Details[Display Name],Table_Process_Details[[#This Row],[Unique Process Inputs]],Table_Process_Details[Input or Output],"Input")</f>
        <v>0</v>
      </c>
      <c r="EC75" s="1">
        <f ca="1">SUMIFS(Table_Process_Details[RV Energy (MJ) per kg API (METAL)],Table_Process_Details[Display Name],Table_Process_Details[[#This Row],[Unique Process Inputs]],Table_Process_Details[Input or Output],"Input")</f>
        <v>0</v>
      </c>
      <c r="ED75" s="1">
        <f ca="1">SUMIFS(Table_Process_Details[RV Energy (MJ) per kg API (SOLVENT)],Table_Process_Details[Display Name],Table_Process_Details[[#This Row],[Unique Process Inputs]],Table_Process_Details[Input or Output],"Input")</f>
        <v>0</v>
      </c>
      <c r="EE75" s="1">
        <f ca="1">SUMIFS(Table_Process_Details[RV Energy (MJ) per kg API (WATER)],Table_Process_Details[Display Name],Table_Process_Details[[#This Row],[Unique Process Inputs]],Table_Process_Details[Input or Output],"Input")</f>
        <v>0</v>
      </c>
      <c r="EF75" s="1">
        <f ca="1">SUMIFS(Table_Process_Details[RV Energy (MJ) per kg API (ENZ&amp;PLNT)],Table_Process_Details[Display Name],Table_Process_Details[[#This Row],[Unique Process Inputs]],Table_Process_Details[Input or Output],"Input")</f>
        <v>0</v>
      </c>
      <c r="EG75" s="1">
        <f ca="1">SUMIFS(Table_Process_Details[RV Energy (MJ) per kg API (OTHER)],Table_Process_Details[Display Name],Table_Process_Details[[#This Row],[Unique Process Inputs]],Table_Process_Details[Input or Output],"Input")</f>
        <v>0</v>
      </c>
      <c r="EH75" s="1" t="e">
        <f ca="1">INDEX(Table_Process_Details[Unique Process Inputs],MATCH(Table_Process_Details[[#This Row],['[Energy (MJ) per kg API'] of Unique Inputs Sorted by '[Energy (MJ) per kg API']]],Table_Process_Details[Total '[Energy (MJ) per kg API'] of Unique Inputs],0))</f>
        <v>#N/A</v>
      </c>
      <c r="EI75" s="22" t="e">
        <f ca="1">IF(LARGE(Table_Process_Details[Total '[Energy (MJ) per kg API'] of Unique Inputs],Table_Process_Details[[#This Row],[Table Row]])=0,NA(),LARGE(Table_Process_Details[Total '[Energy (MJ) per kg API'] of Unique Inputs],Table_Process_Details[[#This Row],[Table Row]]))</f>
        <v>#N/A</v>
      </c>
      <c r="EJ75" s="22" t="e">
        <f ca="1">SUM(OFFSET(Table_Process_Details['[Energy (MJ) per kg API'] of Unique Inputs Sorted by '[Energy (MJ) per kg API']],0,0,Table_Process_Details[[#This Row],[Table Row]]))</f>
        <v>#N/A</v>
      </c>
      <c r="EK75" s="22" t="e">
        <f ca="1">"("&amp;TEXT(Table_Process_Details[[#This Row],['[Energy (MJ) per kg API'] of Unique Inputs Sorted by '[Energy (MJ) per kg API']]]/SUMIF(Table_Process_Details['[Energy (MJ) per kg API'] of Unique Inputs Sorted by '[Energy (MJ) per kg API']],"&lt;&gt;#N/A"),"0%")&amp;")"</f>
        <v>#N/A</v>
      </c>
      <c r="EL75" s="22" t="e">
        <f ca="1">INDEX(Table_Process_Details[Total '[Energy (MJ) per kg API'] of Unique Inputs (REAGENT)], MATCH(Table_Process_Details[[#This Row],[Unique Inputs Sorted by '[Energy (MJ) per kg API']]],Table_Process_Details[Unique Process Inputs],0))</f>
        <v>#N/A</v>
      </c>
      <c r="EM75" s="22" t="e">
        <f ca="1">INDEX(Table_Process_Details[Total '[Energy (MJ) per kg API'] of Unique Inputs (METAL)], MATCH(Table_Process_Details[[#This Row],[Unique Inputs Sorted by '[Energy (MJ) per kg API']]],Table_Process_Details[Unique Process Inputs],0))</f>
        <v>#N/A</v>
      </c>
      <c r="EN75" s="22" t="e">
        <f ca="1">INDEX(Table_Process_Details[Total '[Energy (MJ) per kg API'] of Unique Inputs (SOLVENT)], MATCH(Table_Process_Details[[#This Row],[Unique Inputs Sorted by '[Energy (MJ) per kg API']]],Table_Process_Details[Unique Process Inputs],0))</f>
        <v>#N/A</v>
      </c>
      <c r="EO75" s="22" t="e">
        <f ca="1">INDEX(Table_Process_Details[Total '[Energy (MJ) per kg API'] of Unique Inputs (WATER)], MATCH(Table_Process_Details[[#This Row],[Unique Inputs Sorted by '[Energy (MJ) per kg API']]],Table_Process_Details[Unique Process Inputs],0))</f>
        <v>#N/A</v>
      </c>
      <c r="EP75" s="22" t="e">
        <f ca="1">INDEX(Table_Process_Details[Total '[Energy (MJ) per kg API'] of Unique Inputs (ENZ&amp;PLNT)], MATCH(Table_Process_Details[[#This Row],[Unique Inputs Sorted by '[Energy (MJ) per kg API']]],Table_Process_Details[Unique Process Inputs],0))</f>
        <v>#N/A</v>
      </c>
      <c r="EQ75" s="22" t="e">
        <f ca="1">INDEX(Table_Process_Details[Total '[Energy (MJ) per kg API'] of Unique Inputs (OTHER)], MATCH(Table_Process_Details[[#This Row],[Unique Inputs Sorted by '[Energy (MJ) per kg API']]],Table_Process_Details[Unique Process Inputs],0))</f>
        <v>#N/A</v>
      </c>
      <c r="ER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5" s="22">
        <f ca="1">SUMIFS(Table_Process_Details[RV GWP (kg CO2 equiv.) per kg API],Table_Process_Details[Display Name],Table_Process_Details[[#This Row],[Unique Process Inputs]],Table_Process_Details[Input or Output],"Input")</f>
        <v>0</v>
      </c>
      <c r="EZ75" s="1">
        <f ca="1">SUMIFS(Table_Process_Details[RV GWP (kg CO2 equiv.) per kg API (REAGENT)],Table_Process_Details[Display Name],Table_Process_Details[[#This Row],[Unique Process Inputs]],Table_Process_Details[Input or Output],"Input")</f>
        <v>0</v>
      </c>
      <c r="FA75" s="1">
        <f ca="1">SUMIFS(Table_Process_Details[RV GWP (kg CO2 equiv.) per kg API (METAL)],Table_Process_Details[Display Name],Table_Process_Details[[#This Row],[Unique Process Inputs]],Table_Process_Details[Input or Output],"Input")</f>
        <v>0</v>
      </c>
      <c r="FB75" s="1">
        <f ca="1">SUMIFS(Table_Process_Details[RV GWP (kg CO2 equiv.) per kg API (SOLVENT)],Table_Process_Details[Display Name],Table_Process_Details[[#This Row],[Unique Process Inputs]],Table_Process_Details[Input or Output],"Input")</f>
        <v>0</v>
      </c>
      <c r="FC75" s="1">
        <f ca="1">SUMIFS(Table_Process_Details[RV GWP (kg CO2 equiv.) per kg API (WATER)],Table_Process_Details[Display Name],Table_Process_Details[[#This Row],[Unique Process Inputs]],Table_Process_Details[Input or Output],"Input")</f>
        <v>0</v>
      </c>
      <c r="FD75" s="1">
        <f ca="1">SUMIFS(Table_Process_Details[RV GWP (kg CO2 equiv.) per kg API (ENZ&amp;PLNT)],Table_Process_Details[Display Name],Table_Process_Details[[#This Row],[Unique Process Inputs]],Table_Process_Details[Input or Output],"Input")</f>
        <v>0</v>
      </c>
      <c r="FE75" s="1">
        <f ca="1">SUMIFS(Table_Process_Details[RV GWP (kg CO2 equiv.) per kg API (OTHER)],Table_Process_Details[Display Name],Table_Process_Details[[#This Row],[Unique Process Inputs]],Table_Process_Details[Input or Output],"Input")</f>
        <v>0</v>
      </c>
      <c r="FF75" s="22" t="e">
        <f ca="1">INDEX(Table_Process_Details[Unique Process Inputs],MATCH(Table_Process_Details[[#This Row],['[GWP (kg CO2 equiv.) per kg API'] of Unique Inputs Sorted by '[GWP (kg CO2 equiv.) per kg API']]],Table_Process_Details[Total '[GWP (kg CO2 equiv.) per kg API'] of Unique Inputs],0))</f>
        <v>#N/A</v>
      </c>
      <c r="FG75" s="22" t="e">
        <f ca="1">IF(LARGE(Table_Process_Details[Total '[GWP (kg CO2 equiv.) per kg API'] of Unique Inputs],Table_Process_Details[[#This Row],[Table Row]])=0,NA(),LARGE(Table_Process_Details[Total '[GWP (kg CO2 equiv.) per kg API'] of Unique Inputs],Table_Process_Details[[#This Row],[Table Row]]))</f>
        <v>#N/A</v>
      </c>
      <c r="FH75" s="22" t="e">
        <f ca="1">SUM(OFFSET(Table_Process_Details['[GWP (kg CO2 equiv.) per kg API'] of Unique Inputs Sorted by '[GWP (kg CO2 equiv.) per kg API']],0,0,Table_Process_Details[[#This Row],[Table Row]]))</f>
        <v>#N/A</v>
      </c>
      <c r="FI75" s="22" t="e">
        <f ca="1">"("&amp;TEXT(Table_Process_Details[[#This Row],['[GWP (kg CO2 equiv.) per kg API'] of Unique Inputs Sorted by '[GWP (kg CO2 equiv.) per kg API']]]/SUMIF(Table_Process_Details['[GWP (kg CO2 equiv.) per kg API'] of Unique Inputs Sorted by '[GWP (kg CO2 equiv.) per kg API']],"&lt;&gt;#N/A"),"0%")&amp;")"</f>
        <v>#N/A</v>
      </c>
      <c r="FJ75" s="22" t="e">
        <f ca="1">INDEX(Table_Process_Details[Total '[GWP (kg CO2 equiv.) per kg API'] of Unique Inputs (REAGENT)], MATCH(Table_Process_Details[[#This Row],[Unique Inputs Sorted by '[GWP (kg CO2 equiv.) per kg API']]],Table_Process_Details[Unique Process Inputs],0))</f>
        <v>#N/A</v>
      </c>
      <c r="FK75" s="22" t="e">
        <f ca="1">INDEX(Table_Process_Details[Total '[GWP (kg CO2 equiv.) per kg API'] of Unique Inputs (METAL)], MATCH(Table_Process_Details[[#This Row],[Unique Inputs Sorted by '[GWP (kg CO2 equiv.) per kg API']]],Table_Process_Details[Unique Process Inputs],0))</f>
        <v>#N/A</v>
      </c>
      <c r="FL75" s="22" t="e">
        <f ca="1">INDEX(Table_Process_Details[Total '[GWP (kg CO2 equiv.) per kg API'] of Unique Inputs (SOLVENT)], MATCH(Table_Process_Details[[#This Row],[Unique Inputs Sorted by '[GWP (kg CO2 equiv.) per kg API']]],Table_Process_Details[Unique Process Inputs],0))</f>
        <v>#N/A</v>
      </c>
      <c r="FM75" s="22" t="e">
        <f ca="1">INDEX(Table_Process_Details[Total '[GWP (kg CO2 equiv.) per kg API'] of Unique Inputs (WATER)], MATCH(Table_Process_Details[[#This Row],[Unique Inputs Sorted by '[GWP (kg CO2 equiv.) per kg API']]],Table_Process_Details[Unique Process Inputs],0))</f>
        <v>#N/A</v>
      </c>
      <c r="FN75" s="22" t="e">
        <f ca="1">INDEX(Table_Process_Details[Total '[GWP (kg CO2 equiv.) per kg API'] of Unique Inputs (ENZ&amp;PLNT)], MATCH(Table_Process_Details[[#This Row],[Unique Inputs Sorted by '[GWP (kg CO2 equiv.) per kg API']]],Table_Process_Details[Unique Process Inputs],0))</f>
        <v>#N/A</v>
      </c>
      <c r="FO75" s="22" t="e">
        <f ca="1">INDEX(Table_Process_Details[Total '[GWP (kg CO2 equiv.) per kg API'] of Unique Inputs (OTHER)], MATCH(Table_Process_Details[[#This Row],[Unique Inputs Sorted by '[GWP (kg CO2 equiv.) per kg API']]],Table_Process_Details[Unique Process Inputs],0))</f>
        <v>#N/A</v>
      </c>
      <c r="FP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5" s="22">
        <f ca="1">SUMIFS(Table_Process_Details[RV Acidification (kg SO2 equiv.) per kg API],Table_Process_Details[Display Name],Table_Process_Details[[#This Row],[Unique Process Inputs]],Table_Process_Details[Input or Output],"Input")</f>
        <v>0</v>
      </c>
      <c r="FX75" s="1">
        <f ca="1">SUMIFS(Table_Process_Details[RV Acidification (kg SO2 equiv.) per kg API (REAGENT)],Table_Process_Details[Display Name],Table_Process_Details[[#This Row],[Unique Process Inputs]],Table_Process_Details[Input or Output],"Input")</f>
        <v>0</v>
      </c>
      <c r="FY75" s="1">
        <f ca="1">SUMIFS(Table_Process_Details[RV Acidification (kg SO2 equiv.) per kg API (METAL)],Table_Process_Details[Display Name],Table_Process_Details[[#This Row],[Unique Process Inputs]],Table_Process_Details[Input or Output],"Input")</f>
        <v>0</v>
      </c>
      <c r="FZ75" s="1">
        <f ca="1">SUMIFS(Table_Process_Details[RV Acidification (kg SO2 equiv.) per kg API (SOLVENT)],Table_Process_Details[Display Name],Table_Process_Details[[#This Row],[Unique Process Inputs]],Table_Process_Details[Input or Output],"Input")</f>
        <v>0</v>
      </c>
      <c r="GA75" s="1">
        <f ca="1">SUMIFS(Table_Process_Details[RV Acidification (kg SO2 equiv.) per kg API (WATER)],Table_Process_Details[Display Name],Table_Process_Details[[#This Row],[Unique Process Inputs]],Table_Process_Details[Input or Output],"Input")</f>
        <v>0</v>
      </c>
      <c r="GB75" s="1">
        <f ca="1">SUMIFS(Table_Process_Details[RV Acidification (kg SO2 equiv.) per kg API (ENZ&amp;PLNT)],Table_Process_Details[Display Name],Table_Process_Details[[#This Row],[Unique Process Inputs]],Table_Process_Details[Input or Output],"Input")</f>
        <v>0</v>
      </c>
      <c r="GC75" s="1">
        <f ca="1">SUMIFS(Table_Process_Details[RV Acidification (kg SO2 equiv.) per kg API (OTHER)],Table_Process_Details[Display Name],Table_Process_Details[[#This Row],[Unique Process Inputs]],Table_Process_Details[Input or Output],"Input")</f>
        <v>0</v>
      </c>
      <c r="GD75"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5"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5" s="22" t="e">
        <f ca="1">SUM(OFFSET(Table_Process_Details['[Acidification (kg SO2 equiv.) per kg API'] of Unique Inputs Sorted by '[Acidification (kg SO2 equiv.) per kg API']],0,0,Table_Process_Details[[#This Row],[Table Row]]))</f>
        <v>#N/A</v>
      </c>
      <c r="GG75"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5" s="22" t="e">
        <f ca="1">INDEX(Table_Process_Details[Total '[Acidification (kg SO2 equiv.) per kg API'] of Unique Inputs (REAGENT)], MATCH(Table_Process_Details[[#This Row],[Unique Inputs Sorted by '[Acidification (kg SO2 equiv.) per kg API']]],Table_Process_Details[Unique Process Inputs],0))</f>
        <v>#N/A</v>
      </c>
      <c r="GI75" s="22" t="e">
        <f ca="1">INDEX(Table_Process_Details[Total '[Acidification (kg SO2 equiv.) per kg API'] of Unique Inputs (METAL)], MATCH(Table_Process_Details[[#This Row],[Unique Inputs Sorted by '[Acidification (kg SO2 equiv.) per kg API']]],Table_Process_Details[Unique Process Inputs],0))</f>
        <v>#N/A</v>
      </c>
      <c r="GJ75" s="22" t="e">
        <f ca="1">INDEX(Table_Process_Details[Total '[Acidification (kg SO2 equiv.) per kg API'] of Unique Inputs (SOLVENT)], MATCH(Table_Process_Details[[#This Row],[Unique Inputs Sorted by '[Acidification (kg SO2 equiv.) per kg API']]],Table_Process_Details[Unique Process Inputs],0))</f>
        <v>#N/A</v>
      </c>
      <c r="GK75" s="22" t="e">
        <f ca="1">INDEX(Table_Process_Details[Total '[Acidification (kg SO2 equiv.) per kg API'] of Unique Inputs (WATER)], MATCH(Table_Process_Details[[#This Row],[Unique Inputs Sorted by '[Acidification (kg SO2 equiv.) per kg API']]],Table_Process_Details[Unique Process Inputs],0))</f>
        <v>#N/A</v>
      </c>
      <c r="GL75" s="22" t="e">
        <f ca="1">INDEX(Table_Process_Details[Total '[Acidification (kg SO2 equiv.) per kg API'] of Unique Inputs (ENZ&amp;PLNT)], MATCH(Table_Process_Details[[#This Row],[Unique Inputs Sorted by '[Acidification (kg SO2 equiv.) per kg API']]],Table_Process_Details[Unique Process Inputs],0))</f>
        <v>#N/A</v>
      </c>
      <c r="GM75" s="22" t="e">
        <f ca="1">INDEX(Table_Process_Details[Total '[Acidification (kg SO2 equiv.) per kg API'] of Unique Inputs (OTHER)], MATCH(Table_Process_Details[[#This Row],[Unique Inputs Sorted by '[Acidification (kg SO2 equiv.) per kg API']]],Table_Process_Details[Unique Process Inputs],0))</f>
        <v>#N/A</v>
      </c>
      <c r="GN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5" s="22">
        <f ca="1">SUMIFS(Table_Process_Details[RV Eutrophication (kg phosphate equiv.) per kg API],Table_Process_Details[Display Name],Table_Process_Details[[#This Row],[Unique Process Inputs]],Table_Process_Details[Input or Output],"Input")</f>
        <v>0</v>
      </c>
      <c r="GV75" s="1">
        <f ca="1">SUMIFS(Table_Process_Details[RV Eutrophication (kg phosphate equiv.) per kg API (REAGENT)],Table_Process_Details[Display Name],Table_Process_Details[[#This Row],[Unique Process Inputs]],Table_Process_Details[Input or Output],"Input")</f>
        <v>0</v>
      </c>
      <c r="GW75" s="1">
        <f ca="1">SUMIFS(Table_Process_Details[RV Eutrophication (kg phosphate equiv.) per kg API (METAL)],Table_Process_Details[Display Name],Table_Process_Details[[#This Row],[Unique Process Inputs]],Table_Process_Details[Input or Output],"Input")</f>
        <v>0</v>
      </c>
      <c r="GX75" s="1">
        <f ca="1">SUMIFS(Table_Process_Details[RV Eutrophication (kg phosphate equiv.) per kg API (SOLVENT)],Table_Process_Details[Display Name],Table_Process_Details[[#This Row],[Unique Process Inputs]],Table_Process_Details[Input or Output],"Input")</f>
        <v>0</v>
      </c>
      <c r="GY75" s="1">
        <f ca="1">SUMIFS(Table_Process_Details[RV Eutrophication (kg phosphate equiv.) per kg API (WATER)],Table_Process_Details[Display Name],Table_Process_Details[[#This Row],[Unique Process Inputs]],Table_Process_Details[Input or Output],"Input")</f>
        <v>0</v>
      </c>
      <c r="GZ75" s="1">
        <f ca="1">SUMIFS(Table_Process_Details[RV Eutrophication (kg phosphate equiv.) per kg API (ENZ&amp;PLNT)],Table_Process_Details[Display Name],Table_Process_Details[[#This Row],[Unique Process Inputs]],Table_Process_Details[Input or Output],"Input")</f>
        <v>0</v>
      </c>
      <c r="HA75" s="1">
        <f ca="1">SUMIFS(Table_Process_Details[RV Eutrophication (kg phosphate equiv.) per kg API (OTHER)],Table_Process_Details[Display Name],Table_Process_Details[[#This Row],[Unique Process Inputs]],Table_Process_Details[Input or Output],"Input")</f>
        <v>0</v>
      </c>
      <c r="HB75"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5"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5" s="22" t="e">
        <f ca="1">SUM(OFFSET(Table_Process_Details['[Eutrophication (kg posphate equiv.) per kg API'] of Unique Inputs Sorted by '[Eutrophication (kg posphate equiv.) per kg API']],0,0,Table_Process_Details[[#This Row],[Table Row]]))</f>
        <v>#N/A</v>
      </c>
      <c r="HE75"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5" s="1" t="e">
        <f ca="1">INDEX(Table_Process_Details[Total '[Eutrophication (kg posphate equiv.) per kg API'] of Unique Inputs (REAGENT)], MATCH(Table_Process_Details[[#This Row],[Unique Inputs Sorted by '[Eutrophication (kg posphate equiv.) per kg API']]],Table_Process_Details[Unique Process Inputs],0))</f>
        <v>#N/A</v>
      </c>
      <c r="HG75" s="1" t="e">
        <f ca="1">INDEX(Table_Process_Details[Total '[Eutrophication (kg posphate equiv.) per kg API'] of Unique Inputs (METAL)], MATCH(Table_Process_Details[[#This Row],[Unique Inputs Sorted by '[Eutrophication (kg posphate equiv.) per kg API']]],Table_Process_Details[Unique Process Inputs],0))</f>
        <v>#N/A</v>
      </c>
      <c r="HH75" s="1" t="e">
        <f ca="1">INDEX(Table_Process_Details[Total '[Eutrophication (kg posphate equiv.) per kg API'] of Unique Inputs (SOLVENT)], MATCH(Table_Process_Details[[#This Row],[Unique Inputs Sorted by '[Eutrophication (kg posphate equiv.) per kg API']]],Table_Process_Details[Unique Process Inputs],0))</f>
        <v>#N/A</v>
      </c>
      <c r="HI75" s="1" t="e">
        <f ca="1">INDEX(Table_Process_Details[Total '[Eutrophication (kg posphate equiv.) per kg API'] of Unique Inputs (WATER)], MATCH(Table_Process_Details[[#This Row],[Unique Inputs Sorted by '[Eutrophication (kg posphate equiv.) per kg API']]],Table_Process_Details[Unique Process Inputs],0))</f>
        <v>#N/A</v>
      </c>
      <c r="HJ75" s="1" t="e">
        <f ca="1">INDEX(Table_Process_Details[Total '[Eutrophication (kg posphate equiv.) per kg API'] of Unique Inputs (ENZ&amp;PLNT)], MATCH(Table_Process_Details[[#This Row],[Unique Inputs Sorted by '[Eutrophication (kg posphate equiv.) per kg API']]],Table_Process_Details[Unique Process Inputs],0))</f>
        <v>#N/A</v>
      </c>
      <c r="HK75" s="1" t="e">
        <f ca="1">INDEX(Table_Process_Details[Total '[Eutrophication (kg posphate equiv.) per kg API'] of Unique Inputs (OTHER)], MATCH(Table_Process_Details[[#This Row],[Unique Inputs Sorted by '[Eutrophication (kg posphate equiv.) per kg API']]],Table_Process_Details[Unique Process Inputs],0))</f>
        <v>#N/A</v>
      </c>
      <c r="HL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5" s="1">
        <f ca="1">SUMIFS(Table_Process_Details[RV Water (kg) per kg API],Table_Process_Details[Display Name],Table_Process_Details[[#This Row],[Unique Process Inputs]],Table_Process_Details[Input or Output],"Input")</f>
        <v>0</v>
      </c>
      <c r="HT75" s="1">
        <f ca="1">SUMIFS(Table_Process_Details[RV Water (kg) per kg API (REAGENT)],Table_Process_Details[Display Name],Table_Process_Details[[#This Row],[Unique Process Inputs]],Table_Process_Details[Input or Output],"Input")</f>
        <v>0</v>
      </c>
      <c r="HU75" s="1">
        <f ca="1">SUMIFS(Table_Process_Details[RV Water (kg) per kg API (METAL)],Table_Process_Details[Display Name],Table_Process_Details[[#This Row],[Unique Process Inputs]],Table_Process_Details[Input or Output],"Input")</f>
        <v>0</v>
      </c>
      <c r="HV75" s="1">
        <f ca="1">SUMIFS(Table_Process_Details[RV Water (kg) per kg API (SOLVENT)],Table_Process_Details[Display Name],Table_Process_Details[[#This Row],[Unique Process Inputs]],Table_Process_Details[Input or Output],"Input")</f>
        <v>0</v>
      </c>
      <c r="HW75" s="1">
        <f ca="1">SUMIFS(Table_Process_Details[RV Water (kg) per kg API (WATER)],Table_Process_Details[Display Name],Table_Process_Details[[#This Row],[Unique Process Inputs]],Table_Process_Details[Input or Output],"Input")</f>
        <v>0</v>
      </c>
      <c r="HX75" s="1">
        <f ca="1">SUMIFS(Table_Process_Details[RV Water (kg) per kg API (ENZ&amp;PLNT)],Table_Process_Details[Display Name],Table_Process_Details[[#This Row],[Unique Process Inputs]],Table_Process_Details[Input or Output],"Input")</f>
        <v>0</v>
      </c>
      <c r="HY75" s="1">
        <f ca="1">SUMIFS(Table_Process_Details[RV Water (kg) per kg API (OTHER)],Table_Process_Details[Display Name],Table_Process_Details[[#This Row],[Unique Process Inputs]],Table_Process_Details[Input or Output],"Input")</f>
        <v>0</v>
      </c>
      <c r="HZ75" s="22" t="e">
        <f ca="1">INDEX(Table_Process_Details[Unique Process Inputs],MATCH(Table_Process_Details[[#This Row],['[Water (kg) per kg API'] of Unique Inputs Sorted by '[Water (kg) per kg API']]],Table_Process_Details[Total '[Water (kg) per kg API'] of Unique Inputs],0))</f>
        <v>#N/A</v>
      </c>
      <c r="IA75" s="22" t="e">
        <f ca="1">IF(LARGE(Table_Process_Details[Total '[Water (kg) per kg API'] of Unique Inputs],Table_Process_Details[[#This Row],[Table Row]])=0,NA(),LARGE(Table_Process_Details[Total '[Water (kg) per kg API'] of Unique Inputs],Table_Process_Details[[#This Row],[Table Row]]))</f>
        <v>#N/A</v>
      </c>
      <c r="IB75" s="1" t="e">
        <f ca="1">SUM(OFFSET(Table_Process_Details['[Water (kg) per kg API'] of Unique Inputs Sorted by '[Water (kg) per kg API']],0,0,Table_Process_Details[[#This Row],[Table Row]]))</f>
        <v>#N/A</v>
      </c>
      <c r="IC75" s="1" t="e">
        <f ca="1">"("&amp;TEXT(Table_Process_Details[[#This Row],['[Water (kg) per kg API'] of Unique Inputs Sorted by '[Water (kg) per kg API']]]/SUMIF(Table_Process_Details['[Water (kg) per kg API'] of Unique Inputs Sorted by '[Water (kg) per kg API']],"&lt;&gt;#N/A"),"0%")&amp;")"</f>
        <v>#N/A</v>
      </c>
      <c r="ID75" s="1" t="e">
        <f ca="1">INDEX(Table_Process_Details[Total '[Water (kg) per kg API'] of Unique Inputs (REAGENT)], MATCH(Table_Process_Details[[#This Row],[Unique Inputs Sorted by '[Water (kg) per kg API']]],Table_Process_Details[Unique Process Inputs],0))</f>
        <v>#N/A</v>
      </c>
      <c r="IE75" s="1" t="e">
        <f ca="1">INDEX(Table_Process_Details[Total '[Water (kg) per kg API'] of Unique Inputs (METAL)], MATCH(Table_Process_Details[[#This Row],[Unique Inputs Sorted by '[Water (kg) per kg API']]],Table_Process_Details[Unique Process Inputs],0))</f>
        <v>#N/A</v>
      </c>
      <c r="IF75" s="1" t="e">
        <f ca="1">INDEX(Table_Process_Details[Total '[Water (kg) per kg API'] of Unique Inputs (SOLVENT)], MATCH(Table_Process_Details[[#This Row],[Unique Inputs Sorted by '[Water (kg) per kg API']]],Table_Process_Details[Unique Process Inputs],0))</f>
        <v>#N/A</v>
      </c>
      <c r="IG75" s="1" t="e">
        <f ca="1">INDEX(Table_Process_Details[Total '[Water (kg) per kg API'] of Unique Inputs (WATER)], MATCH(Table_Process_Details[[#This Row],[Unique Inputs Sorted by '[Water (kg) per kg API']]],Table_Process_Details[Unique Process Inputs],0))</f>
        <v>#N/A</v>
      </c>
      <c r="IH75" s="1" t="e">
        <f ca="1">INDEX(Table_Process_Details[Total '[Water (kg) per kg API'] of Unique Inputs (ENZ&amp;PLNT)], MATCH(Table_Process_Details[[#This Row],[Unique Inputs Sorted by '[Water (kg) per kg API']]],Table_Process_Details[Unique Process Inputs],0))</f>
        <v>#N/A</v>
      </c>
      <c r="II75" s="1" t="e">
        <f ca="1">INDEX(Table_Process_Details[Total '[Water (kg) per kg API'] of Unique Inputs (OTHER)], MATCH(Table_Process_Details[[#This Row],[Unique Inputs Sorted by '[Water (kg) per kg API']]],Table_Process_Details[Unique Process Inputs],0))</f>
        <v>#N/A</v>
      </c>
    </row>
    <row r="76" spans="1:243" s="119" customFormat="1" x14ac:dyDescent="0.25">
      <c r="A76" s="126" t="str">
        <f>A75</f>
        <v>4a) Virtual solution prep for (4): 20 wt% reagent J (inorganic) in water</v>
      </c>
      <c r="B76" s="127" t="s">
        <v>5</v>
      </c>
      <c r="C76" s="127" t="s">
        <v>155</v>
      </c>
      <c r="D76" s="126" t="s">
        <v>155</v>
      </c>
      <c r="E76" s="126" t="str">
        <f>'1. Define Process Steps'!C21</f>
        <v>20 wt% reagent J (inorganic) in water</v>
      </c>
      <c r="F76" s="165">
        <f>F75+F74</f>
        <v>92</v>
      </c>
      <c r="G76" s="128"/>
      <c r="H76" s="128"/>
      <c r="I76" s="128"/>
      <c r="J76" s="128" t="str">
        <f>INDEX(Process_Steps[Reference],MATCH(Table_Process_Details[[#This Row],[Step Name]],Process_Steps[Name],0))</f>
        <v>Penultimate Reference Document</v>
      </c>
      <c r="K76" s="129" t="str">
        <f>INDEX(Process_Steps[Real or Virtual?],MATCH(Table_Process_Details[[#This Row],[Step Name]],Process_Steps[Name],0))</f>
        <v>Virtual</v>
      </c>
      <c r="L76"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76"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76" s="128">
        <f>INDEX(Table_Process_Details[Physical Mass (kg)],MATCH(1,INDEX(((Table_Process_Details[Step Name]=Table_Process_Details[[#This Row],[Step Name]])*(Table_Process_Details[Input or Output]="Output")),0),0))</f>
        <v>92</v>
      </c>
      <c r="O76" s="130">
        <f ca="1">INDEX(Process_Steps[Step Scale Factor for 1kg Packaged API],MATCH(Table_Process_Details[[#This Row],[Step Name]],Process_Steps[Name],0))</f>
        <v>4.7874759628811381E-2</v>
      </c>
      <c r="P76"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v>
      </c>
      <c r="Q76"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6</v>
      </c>
      <c r="R76" s="128">
        <f ca="1">_xlfn.SWITCH(Run_Reset_PNG,"Reset",Table_Process_Details[[#This Row],[X Init]],"Run",Table_Process_Details[[#This Row],[X Moved]],"Freeze",Table_Process_Details[[#This Row],[X Mover]])</f>
        <v>11.100317346629659</v>
      </c>
      <c r="S76" s="128">
        <f ca="1">_xlfn.SWITCH(Run_Reset_PNG,"Reset",Table_Process_Details[[#This Row],[Y Init]],"Run",Table_Process_Details[[#This Row],[Y Moved]],"Freeze",Table_Process_Details[[#This Row],[Y Mover]])</f>
        <v>-6.6784151202300235</v>
      </c>
      <c r="T76" s="128" cm="1">
        <f t="array" aca="1" ref="T7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-6.6873235114843776E-2</v>
      </c>
      <c r="U76" s="128" cm="1">
        <f t="array" aca="1" ref="U7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-0.51131129541433151</v>
      </c>
      <c r="V76" s="128" cm="1">
        <f t="array" aca="1" ref="V76" ca="1">SUM(--(SQRT((Table_Process_Details[[#This Row],[X Mover]]-Table_Process_Details[X Mover])^2+(Table_Process_Details[[#This Row],[Y Mover]]-Table_Process_Details[Y Mover])^2)&lt;Collision_Distance))</f>
        <v>15</v>
      </c>
      <c r="W76" s="128" cm="1">
        <f t="array" aca="1" ref="W7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9.9503678694179309E-2</v>
      </c>
      <c r="X76" s="128" cm="1">
        <f t="array" aca="1" ref="X7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-0.12080342806854116</v>
      </c>
      <c r="Y76" s="128" cm="1">
        <f t="array" aca="1" ref="Y7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76" s="128">
        <f>0</f>
        <v>0</v>
      </c>
      <c r="AA76" s="128">
        <f>0</f>
        <v>0</v>
      </c>
      <c r="AB76"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-5.5501586733148294</v>
      </c>
      <c r="AC76" s="128" cm="1">
        <f t="array" aca="1" ref="AC7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3.3392075601150117</v>
      </c>
      <c r="AD76" s="128">
        <f>MIN(1,COUNTA(Table_Process_Details[[#This Row],[target x]]),COUNTA(Table_Process_Details[[#This Row],[target y]]))*COUNTA(Table_Process_Details[Step Name])</f>
        <v>98</v>
      </c>
      <c r="AE76"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11.072392751676714</v>
      </c>
      <c r="AF76"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-6.7186968027487071</v>
      </c>
      <c r="AG76"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6" s="128" t="e" cm="1">
        <f t="array" ref="AH76">INDEX(Table_Process_Details[X Mover],MATCH(1,INDEX((Table_Process_Details[Input or Output]="Output")*(Table_Process_Details[Step Name]=Table_Process_Details[[#This Row],[Step Name]])*(Table_Process_Details[[#This Row],[Input or Output]]="Input"),0),0))</f>
        <v>#N/A</v>
      </c>
      <c r="AI76" s="128" t="e" cm="1">
        <f t="array" ref="AI76">INDEX(Table_Process_Details[Y Mover],MATCH(1,INDEX((Table_Process_Details[Input or Output]="Output")*(Table_Process_Details[Step Name]=Table_Process_Details[[#This Row],[Step Name]])*(Table_Process_Details[[#This Row],[Input or Output]]="Input"),0),0))</f>
        <v>#N/A</v>
      </c>
      <c r="AJ76" s="128" t="e">
        <f>SQRT((Table_Process_Details[[#This Row],[X End (To Node Center)]]-Table_Process_Details[[#This Row],[X Guide]])^2+(Table_Process_Details[[#This Row],[Y End (to Node Center)]]-Table_Process_Details[[#This Row],[Y Guide]])^2)</f>
        <v>#N/A</v>
      </c>
      <c r="AK76" s="128" t="e" cm="1">
        <f t="array" ref="AK76">INDEX(Table_Process_Details[X Mover],MATCH(1,INDEX((Table_Process_Details[Step Name]=Table_Process_Details[[#This Row],[LCA Data Source Subclass]])*(Table_Process_Details[Input or Output]="Output"),0)*(Table_Process_Details[[#This Row],[Input or Output]]="Input"),0))</f>
        <v>#N/A</v>
      </c>
      <c r="AL76" s="128" t="e" cm="1">
        <f t="array" ref="AL76">INDEX(Table_Process_Details[X Mover],MATCH(1,INDEX(((Table_Process_Details[Table Row]=Table_Process_Details[[#This Row],[Table Row]])*(1)),0)*(Table_Process_Details[[#This Row],[Input or Output]]="Input"),0))</f>
        <v>#N/A</v>
      </c>
      <c r="AM76" s="128" t="e" cm="1">
        <f t="array" ref="AM76">(Table_Process_Details[[#This Row],[X End (To Node Center)]]*Table_Process_Details[[#This Row],[r0]]-Table_Process_Details[[#This Row],[X End (To Node Center)]]*Arrow_Offset+Table_Process_Details[[#This Row],[X Guide]]*Arrow_Offset)/Table_Process_Details[[#This Row],[r0]]</f>
        <v>#N/A</v>
      </c>
      <c r="AN76" s="128" t="e">
        <f>IF(NOT(Table_Process_Details[[#This Row],[Display As]]="None"),Table_Process_Details[[#This Row],[X Start Prefilter]],NA())</f>
        <v>#N/A</v>
      </c>
      <c r="AO76" s="128" t="e">
        <f>IF(NOT(Table_Process_Details[[#This Row],[Display As]]="None"),Table_Process_Details[[#This Row],[X Guide Prefilter]],NA())</f>
        <v>#N/A</v>
      </c>
      <c r="AP76" s="128" t="e">
        <f>IF(NOT(Table_Process_Details[[#This Row],[Display As]]="None"),Table_Process_Details[[#This Row],[X End (to Stop Radius) Prefilter]],NA())</f>
        <v>#N/A</v>
      </c>
      <c r="AQ76" s="128" t="e">
        <f>NA()</f>
        <v>#N/A</v>
      </c>
      <c r="AR76" s="128" t="e" cm="1">
        <f t="array" ref="AR76">INDEX(Table_Process_Details[Y Mover],MATCH(1,INDEX((Table_Process_Details[Step Name]=Table_Process_Details[[#This Row],[LCA Data Source Subclass]])*(Table_Process_Details[Input or Output]="Output"),0)*(Table_Process_Details[[#This Row],[Input or Output]]="Input"),0))</f>
        <v>#N/A</v>
      </c>
      <c r="AS76" s="128" t="e" cm="1">
        <f t="array" ref="AS76">INDEX(Table_Process_Details[Y Mover],MATCH(1,INDEX(((Table_Process_Details[Table Row]=Table_Process_Details[[#This Row],[Table Row]])*(1)),0)*(Table_Process_Details[[#This Row],[Input or Output]]="Input"),0))</f>
        <v>#N/A</v>
      </c>
      <c r="AT76" s="128" t="e" cm="1">
        <f t="array" ref="AT76">(Table_Process_Details[[#This Row],[Y Guide]]*Arrow_Offset-Table_Process_Details[[#This Row],[Y End (to Node Center)]]*Arrow_Offset+Table_Process_Details[[#This Row],[Y End (to Node Center)]]*Table_Process_Details[[#This Row],[r0]])/Table_Process_Details[[#This Row],[r0]]</f>
        <v>#N/A</v>
      </c>
      <c r="AU76" s="128" t="e">
        <f>IF(NOT(Table_Process_Details[[#This Row],[Display As]]="None"),Table_Process_Details[[#This Row],[Y Start Prefilter]],NA())</f>
        <v>#N/A</v>
      </c>
      <c r="AV76" s="128" t="e">
        <f>IF(NOT(Table_Process_Details[[#This Row],[Display As]]="None"),Table_Process_Details[[#This Row],[Y Guide Prefilter]],NA())</f>
        <v>#N/A</v>
      </c>
      <c r="AW76" s="128" t="e">
        <f>IF(NOT(Table_Process_Details[[#This Row],[Display As]]="None"),Table_Process_Details[[#This Row],[Y End (to Stop Radius) Prefilter]],NA())</f>
        <v>#N/A</v>
      </c>
      <c r="AX76" s="128" t="e">
        <f>NA()</f>
        <v>#N/A</v>
      </c>
      <c r="AY76" s="128" t="e">
        <f>IF(Table_Process_Details[[#This Row],[Display As]]="Real Step",Table_Process_Details[[#This Row],[X Mover]],NA())</f>
        <v>#N/A</v>
      </c>
      <c r="AZ76" s="128" t="e">
        <f>IF(Table_Process_Details[[#This Row],[Display As]]="Real Step",Table_Process_Details[[#This Row],[Y Mover]],NA())</f>
        <v>#N/A</v>
      </c>
      <c r="BA76" s="128">
        <f ca="1">IF(Table_Process_Details[[#This Row],[Display As]]="Raw Material",Table_Process_Details[[#This Row],[X Mover]],NA())</f>
        <v>11.100317346629659</v>
      </c>
      <c r="BB76" s="128">
        <f ca="1">IF(Table_Process_Details[[#This Row],[Display As]]="Raw Material",Table_Process_Details[[#This Row],[Y Mover]],NA())</f>
        <v>-6.6784151202300235</v>
      </c>
      <c r="BC76" s="128">
        <f ca="1">IF(OR(Table_Process_Details[[#This Row],[Display As]]="Real Step",Table_Process_Details[[#This Row],[Display As]]="Raw Material"),Table_Process_Details[[#This Row],[X Mover]],NA())</f>
        <v>11.100317346629659</v>
      </c>
      <c r="BD76" s="128">
        <f ca="1">IF(OR(Table_Process_Details[[#This Row],[Display As]]="Real Step",Table_Process_Details[[#This Row],[Display As]]="Raw Material"),Table_Process_Details[[#This Row],[Y Mover]],NA())</f>
        <v>-6.6784151202300235</v>
      </c>
      <c r="BE76" s="126">
        <f>ROW()-ROW(Table_Process_Details[[#Headers],[Table Row]])</f>
        <v>72</v>
      </c>
      <c r="BF76" s="122" t="e" cm="1">
        <f t="array" aca="1" ref="BF76" ca="1">INDEX(Table_Process_Details[Display Name],MATCH(0,IF(Table_Process_Details[Input or Output]="Input",INDEX(COUNTIF(OFFSET(Table_Process_Details[[#Headers],[Unique Process Inputs]],0,0,Table_Process_Details[[#This Row],[Table Row]],1),Table_Process_Details[Display Name]),),""),0))</f>
        <v>#N/A</v>
      </c>
      <c r="BG76" s="122">
        <f ca="1">Table_Process_Details[[#This Row],[Physical Mass (kg)]]*Table_Process_Details[[#This Row],[Step Scale Factor for 1kg Packaged API]]</f>
        <v>4.404477885850647</v>
      </c>
      <c r="BH76"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6" s="122">
        <f ca="1">MATCH(Table_Process_Details[[#This Row],[LCA Data Source Class]],INDIRECT(Table_Process_Details[[#This Row],[Input or Output]]),0)</f>
        <v>1</v>
      </c>
      <c r="BJ76" s="122">
        <f ca="1">MATCH(Table_Process_Details[[#This Row],[LCA Data Source Subclass]],INDIRECT(Table_Process_Details[[#This Row],[LCA Data Source Class]]&amp;"[Name]"),0)</f>
        <v>1</v>
      </c>
      <c r="BK76" s="122">
        <f ca="1">IFERROR(INDEX(INDIRECT(Table_Process_Details[[#This Row],[LCA Data Source Class]]&amp;"[Mass Net (kg)]"),MATCH(Table_Process_Details[[#This Row],[LCA Data Source Subclass]],INDIRECT(Table_Process_Details[[#This Row],[LCA Data Source Class]]&amp;"[Name]"),0)),0)</f>
        <v>0</v>
      </c>
      <c r="BL76" s="122">
        <f ca="1">IFERROR(INDEX(INDIRECT(Table_Process_Details[[#This Row],[LCA Data Source Class]]&amp;"[Energy (MJ)]"),MATCH(Table_Process_Details[[#This Row],[LCA Data Source Subclass]],INDIRECT(Table_Process_Details[[#This Row],[LCA Data Source Class]]&amp;"[Name]"),0)),0)</f>
        <v>0</v>
      </c>
      <c r="BM76" s="122">
        <f ca="1">IFERROR(INDEX(INDIRECT(Table_Process_Details[[#This Row],[LCA Data Source Class]]&amp;"[GWP (kg CO2 equiv.)]"),MATCH(Table_Process_Details[[#This Row],[LCA Data Source Subclass]],INDIRECT(Table_Process_Details[[#This Row],[LCA Data Source Class]]&amp;"[Name]"),0)),0)</f>
        <v>0</v>
      </c>
      <c r="BN76" s="122">
        <f ca="1">IFERROR(INDEX(INDIRECT(Table_Process_Details[[#This Row],[LCA Data Source Class]]&amp;"[Acidification (kg SO2 equiv.)]"),MATCH(Table_Process_Details[[#This Row],[LCA Data Source Subclass]],INDIRECT(Table_Process_Details[[#This Row],[LCA Data Source Class]]&amp;"[Name]"),0)),0)</f>
        <v>0</v>
      </c>
      <c r="BO76" s="122">
        <f ca="1">IFERROR(INDEX(INDIRECT(Table_Process_Details[[#This Row],[LCA Data Source Class]]&amp;"[Eutrophication (kg posphate equiv.)]"),MATCH(Table_Process_Details[[#This Row],[LCA Data Source Subclass]],INDIRECT(Table_Process_Details[[#This Row],[LCA Data Source Class]]&amp;"[Name]"),0)),0)</f>
        <v>0</v>
      </c>
      <c r="BP76" s="122">
        <f ca="1">IFERROR(INDEX(INDIRECT(Table_Process_Details[[#This Row],[LCA Data Source Class]]&amp;"[Water (kg)]"),MATCH(Table_Process_Details[[#This Row],[LCA Data Source Subclass]],INDIRECT(Table_Process_Details[[#This Row],[LCA Data Source Class]]&amp;"[Name]"),0)),0)</f>
        <v>0</v>
      </c>
      <c r="BQ76" s="129">
        <f ca="1">(Table_Process_Details[[#This Row],[Input or Output]]="Input")*(Table_Process_Details[[#This Row],[LCA Data Source Class]]&lt;&gt;"Process_Steps")*Table_Process_Details[[#This Row],[Scaled Physical Mass per kg API for All Inputs &amp; Outputs]]</f>
        <v>0</v>
      </c>
      <c r="BR76" s="129">
        <f ca="1">(Table_Process_Details[[#This Row],[Material Class]]="REAGENT")*Table_Process_Details[[#This Row],[Physical Mass per kg API]]</f>
        <v>0</v>
      </c>
      <c r="BS76" s="129">
        <f ca="1">(Table_Process_Details[[#This Row],[Material Class]]="METAL")*Table_Process_Details[[#This Row],[Physical Mass per kg API]]</f>
        <v>0</v>
      </c>
      <c r="BT76" s="129">
        <f ca="1">(Table_Process_Details[[#This Row],[Material Class]]="SOLVENT")*Table_Process_Details[[#This Row],[Physical Mass per kg API]]</f>
        <v>0</v>
      </c>
      <c r="BU76" s="129">
        <f ca="1">(Table_Process_Details[[#This Row],[Material Class]]="WATER")*Table_Process_Details[[#This Row],[Physical Mass per kg API]]</f>
        <v>0</v>
      </c>
      <c r="BV76" s="129">
        <f ca="1">(Table_Process_Details[[#This Row],[Material Class]]="ENZ&amp;PLNT")*Table_Process_Details[[#This Row],[Physical Mass per kg API]]</f>
        <v>0</v>
      </c>
      <c r="BW76" s="129">
        <f ca="1">(Table_Process_Details[[#This Row],[Material Class]]="OTHER")*Table_Process_Details[[#This Row],[Physical Mass per kg API]]</f>
        <v>0</v>
      </c>
      <c r="BX76"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6"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6"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6"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6"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6"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6"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6" s="131">
        <f ca="1">SUMIFS(Table_Process_Details[RV Physical Mass per kg API],Table_Process_Details[Display Name],Table_Process_Details[[#This Row],[Unique Process Inputs]],Table_Process_Details[Input or Output],"Input")</f>
        <v>0</v>
      </c>
      <c r="CF76" s="131">
        <f ca="1">SUMIFS(Table_Process_Details[RV Physical Mass per kg API (REAGENT)],Table_Process_Details[Display Name],Table_Process_Details[[#This Row],[Unique Process Inputs]],Table_Process_Details[Input or Output],"Input")</f>
        <v>0</v>
      </c>
      <c r="CG76" s="131">
        <f ca="1">SUMIFS(Table_Process_Details[RV Physical Mass per kg API (METAL)],Table_Process_Details[Display Name],Table_Process_Details[[#This Row],[Unique Process Inputs]],Table_Process_Details[Input or Output],"Input")</f>
        <v>0</v>
      </c>
      <c r="CH76" s="131">
        <f ca="1">SUMIFS(Table_Process_Details[RV Physical Mass per kg API (SOLVENT)],Table_Process_Details[Display Name],Table_Process_Details[[#This Row],[Unique Process Inputs]],Table_Process_Details[Input or Output],"Input")</f>
        <v>0</v>
      </c>
      <c r="CI76" s="131">
        <f ca="1">SUMIFS(Table_Process_Details[RV Physical Mass per kg API (WATER)],Table_Process_Details[Display Name],Table_Process_Details[[#This Row],[Unique Process Inputs]],Table_Process_Details[Input or Output],"Input")</f>
        <v>0</v>
      </c>
      <c r="CJ76" s="131">
        <f ca="1">SUMIFS(Table_Process_Details[RV Physical Mass per kg API (ENZ&amp;PLNT)],Table_Process_Details[Display Name],Table_Process_Details[[#This Row],[Unique Process Inputs]],Table_Process_Details[Input or Output],"Input")</f>
        <v>0</v>
      </c>
      <c r="CK76" s="131">
        <f ca="1">SUMIFS(Table_Process_Details[RV Physical Mass per kg API (OTHER)],Table_Process_Details[Display Name],Table_Process_Details[[#This Row],[Unique Process Inputs]],Table_Process_Details[Input or Output],"Input")</f>
        <v>0</v>
      </c>
      <c r="CL76" s="126" t="e">
        <f ca="1">INDEX(Table_Process_Details[Unique Process Inputs],MATCH(Table_Process_Details[[#This Row],['[Physical Mass per kg API'] of Unique Inputs Sorted by '[Physical Mass per kg API']]],Table_Process_Details[Total '[Physical Mass per kg API'] of Unique Inputs],0))</f>
        <v>#N/A</v>
      </c>
      <c r="CM76" s="126" t="e">
        <f ca="1">IF(LARGE(Table_Process_Details[Total '[Physical Mass per kg API'] of Unique Inputs],Table_Process_Details[[#This Row],[Table Row]])=0,NA(),LARGE(Table_Process_Details[Total '[Physical Mass per kg API'] of Unique Inputs],Table_Process_Details[[#This Row],[Table Row]]))</f>
        <v>#N/A</v>
      </c>
      <c r="CN76" s="126" t="e">
        <f ca="1">SUM(OFFSET(Table_Process_Details['[Physical Mass per kg API'] of Unique Inputs Sorted by '[Physical Mass per kg API']],0,0,Table_Process_Details[[#This Row],[Table Row]]))</f>
        <v>#N/A</v>
      </c>
      <c r="CO76" s="126" t="e">
        <f ca="1">"("&amp;TEXT(Table_Process_Details[[#This Row],['[Physical Mass per kg API'] of Unique Inputs Sorted by '[Physical Mass per kg API']]]/SUMIF(Table_Process_Details['[Physical Mass per kg API'] of Unique Inputs Sorted by '[Physical Mass per kg API']],"&lt;&gt;#N/A"),"0%")&amp;")"</f>
        <v>#N/A</v>
      </c>
      <c r="CP76" s="126" t="e">
        <f ca="1">INDEX(Table_Process_Details[Total '[Physical Mass per kg API'] of Unique Inputs (REAGENT)],MATCH(Table_Process_Details[[#This Row],[Unique Inputs Sorted by '[Physical Mass per kg API']]],Table_Process_Details[Unique Process Inputs],0))</f>
        <v>#N/A</v>
      </c>
      <c r="CQ76" s="126" t="e">
        <f ca="1">INDEX(Table_Process_Details[Total '[Physical Mass per kg API'] of Unique Inputs (METAL)],MATCH(Table_Process_Details[[#This Row],[Unique Inputs Sorted by '[Physical Mass per kg API']]],Table_Process_Details[Unique Process Inputs],0))</f>
        <v>#N/A</v>
      </c>
      <c r="CR76" s="126" t="e">
        <f ca="1">INDEX(Table_Process_Details[Total '[Physical Mass per kg API'] of Unique Inputs (SOLVENT)],MATCH(Table_Process_Details[[#This Row],[Unique Inputs Sorted by '[Physical Mass per kg API']]],Table_Process_Details[Unique Process Inputs],0))</f>
        <v>#N/A</v>
      </c>
      <c r="CS76" s="126" t="e">
        <f ca="1">INDEX(Table_Process_Details[Total '[Physical Mass per kg API'] of Unique Inputs (WATER)],MATCH(Table_Process_Details[[#This Row],[Unique Inputs Sorted by '[Physical Mass per kg API']]],Table_Process_Details[Unique Process Inputs],0))</f>
        <v>#N/A</v>
      </c>
      <c r="CT76" s="126" t="e">
        <f ca="1">INDEX(Table_Process_Details[Total '[Physical Mass per kg API'] of Unique Inputs (ENZ&amp;PLNT)],MATCH(Table_Process_Details[[#This Row],[Unique Inputs Sorted by '[Physical Mass per kg API']]],Table_Process_Details[Unique Process Inputs],0))</f>
        <v>#N/A</v>
      </c>
      <c r="CU76" s="126" t="e">
        <f ca="1">INDEX(Table_Process_Details[Total '[Physical Mass per kg API'] of Unique Inputs (OTHER)],MATCH(Table_Process_Details[[#This Row],[Unique Inputs Sorted by '[Physical Mass per kg API']]],Table_Process_Details[Unique Process Inputs],0))</f>
        <v>#N/A</v>
      </c>
      <c r="CV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6"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6" s="126">
        <f ca="1">SUMIFS(Table_Process_Details[RV Mass Net (kg) per kg API],Table_Process_Details[Display Name],Table_Process_Details[[#This Row],[Unique Process Inputs]],Table_Process_Details[Input or Output],"Input")</f>
        <v>0</v>
      </c>
      <c r="DD76" s="126">
        <f ca="1">SUMIFS(Table_Process_Details[RV Mass Net (kg) per kg API (REAGENT)],Table_Process_Details[Display Name],Table_Process_Details[[#This Row],[Unique Process Inputs]],Table_Process_Details[Input or Output],"Input")</f>
        <v>0</v>
      </c>
      <c r="DE76" s="126">
        <f ca="1">SUMIFS(Table_Process_Details[RV Mass Net (kg) per kg API (METAL)],Table_Process_Details[Display Name],Table_Process_Details[[#This Row],[Unique Process Inputs]],Table_Process_Details[Input or Output],"Input")</f>
        <v>0</v>
      </c>
      <c r="DF76" s="126">
        <f ca="1">SUMIFS(Table_Process_Details[RV Mass Net (kg) per kg API (SOLVENT)],Table_Process_Details[Display Name],Table_Process_Details[[#This Row],[Unique Process Inputs]],Table_Process_Details[Input or Output],"Input")</f>
        <v>0</v>
      </c>
      <c r="DG76" s="126">
        <f ca="1">SUMIFS(Table_Process_Details[RV Mass Net (kg) per kg API (WATER)],Table_Process_Details[Display Name],Table_Process_Details[[#This Row],[Unique Process Inputs]],Table_Process_Details[Input or Output],"Input")</f>
        <v>0</v>
      </c>
      <c r="DH76" s="126">
        <f ca="1">SUMIFS(Table_Process_Details[RV Mass Net (kg) per kg API (ENZ&amp;PLNT)],Table_Process_Details[Display Name],Table_Process_Details[[#This Row],[Unique Process Inputs]],Table_Process_Details[Input or Output],"Input")</f>
        <v>0</v>
      </c>
      <c r="DI76" s="126">
        <f ca="1">SUMIFS(Table_Process_Details[RV Mass Net (kg) per kg API (OTHER)],Table_Process_Details[Display Name],Table_Process_Details[[#This Row],[Unique Process Inputs]],Table_Process_Details[Input or Output],"Input")</f>
        <v>0</v>
      </c>
      <c r="DJ76" s="126" t="e">
        <f ca="1">INDEX(Table_Process_Details[Unique Process Inputs],MATCH(Table_Process_Details[[#This Row],['[Mass Net (kg) per kg API'] of Unique Inputs Sorted by '[Mass Net (kg) per kg API']]],Table_Process_Details[Total '[Mass Net (kg) per kg API'] of Unique Inputs],0))</f>
        <v>#N/A</v>
      </c>
      <c r="DK76" s="126" t="e">
        <f ca="1">IF(LARGE(Table_Process_Details[Total '[Mass Net (kg) per kg API'] of Unique Inputs],Table_Process_Details[[#This Row],[Table Row]])=0,NA(),LARGE(Table_Process_Details[Total '[Mass Net (kg) per kg API'] of Unique Inputs],Table_Process_Details[[#This Row],[Table Row]]))</f>
        <v>#N/A</v>
      </c>
      <c r="DL76" s="126" t="e">
        <f ca="1">SUM(OFFSET(Table_Process_Details['[Mass Net (kg) per kg API'] of Unique Inputs Sorted by '[Mass Net (kg) per kg API']],0,0,Table_Process_Details[[#This Row],[Table Row]]))</f>
        <v>#N/A</v>
      </c>
      <c r="DM76" s="126" t="e">
        <f ca="1">"("&amp;TEXT(Table_Process_Details[[#This Row],['[Mass Net (kg) per kg API'] of Unique Inputs Sorted by '[Mass Net (kg) per kg API']]]/SUMIF(Table_Process_Details['[Mass Net (kg) per kg API'] of Unique Inputs Sorted by '[Mass Net (kg) per kg API']],"&lt;&gt;#N/A"),"0%")&amp;")"</f>
        <v>#N/A</v>
      </c>
      <c r="DN76" s="126" t="e">
        <f ca="1">INDEX(Table_Process_Details[Total '[Mass Net (kg) per kg API'] of Unique Inputs (REAGENT)], MATCH(Table_Process_Details[[#This Row],[Unique Inputs Sorted by '[Mass Net (kg) per kg API']]],Table_Process_Details[Unique Process Inputs],0))</f>
        <v>#N/A</v>
      </c>
      <c r="DO76" s="126" t="e">
        <f ca="1">INDEX(Table_Process_Details[Total '[Mass Net (kg) per kg API'] of Unique Inputs (METAL)], MATCH(Table_Process_Details[[#This Row],[Unique Inputs Sorted by '[Mass Net (kg) per kg API']]],Table_Process_Details[Unique Process Inputs],0))</f>
        <v>#N/A</v>
      </c>
      <c r="DP76" s="126" t="e">
        <f ca="1">INDEX(Table_Process_Details[Total '[Mass Net (kg) per kg API'] of Unique Inputs (SOLVENT)], MATCH(Table_Process_Details[[#This Row],[Unique Inputs Sorted by '[Mass Net (kg) per kg API']]],Table_Process_Details[Unique Process Inputs],0))</f>
        <v>#N/A</v>
      </c>
      <c r="DQ76" s="126" t="e">
        <f ca="1">INDEX(Table_Process_Details[Total '[Mass Net (kg) per kg API'] of Unique Inputs (WATER)], MATCH(Table_Process_Details[[#This Row],[Unique Inputs Sorted by '[Mass Net (kg) per kg API']]],Table_Process_Details[Unique Process Inputs],0))</f>
        <v>#N/A</v>
      </c>
      <c r="DR76" s="126" t="e">
        <f ca="1">INDEX(Table_Process_Details[Total '[Mass Net (kg) per kg API'] of Unique Inputs (ENZ&amp;PLNT)], MATCH(Table_Process_Details[[#This Row],[Unique Inputs Sorted by '[Mass Net (kg) per kg API']]],Table_Process_Details[Unique Process Inputs],0))</f>
        <v>#N/A</v>
      </c>
      <c r="DS76" s="126" t="e">
        <f ca="1">INDEX(Table_Process_Details[Total '[Mass Net (kg) per kg API'] of Unique Inputs (OTHER)], MATCH(Table_Process_Details[[#This Row],[Unique Inputs Sorted by '[Mass Net (kg) per kg API']]],Table_Process_Details[Unique Process Inputs],0))</f>
        <v>#N/A</v>
      </c>
      <c r="DT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6"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6" s="131">
        <f ca="1">SUMIFS(Table_Process_Details[RV Energy (MJ) per kg API],Table_Process_Details[Display Name],Table_Process_Details[[#This Row],[Unique Process Inputs]],Table_Process_Details[Input or Output],"Input")</f>
        <v>0</v>
      </c>
      <c r="EB76" s="131">
        <f ca="1">SUMIFS(Table_Process_Details[RV Energy (MJ) per kg API (REAGENT)],Table_Process_Details[Display Name],Table_Process_Details[[#This Row],[Unique Process Inputs]],Table_Process_Details[Input or Output],"Input")</f>
        <v>0</v>
      </c>
      <c r="EC76" s="131">
        <f ca="1">SUMIFS(Table_Process_Details[RV Energy (MJ) per kg API (METAL)],Table_Process_Details[Display Name],Table_Process_Details[[#This Row],[Unique Process Inputs]],Table_Process_Details[Input or Output],"Input")</f>
        <v>0</v>
      </c>
      <c r="ED76" s="131">
        <f ca="1">SUMIFS(Table_Process_Details[RV Energy (MJ) per kg API (SOLVENT)],Table_Process_Details[Display Name],Table_Process_Details[[#This Row],[Unique Process Inputs]],Table_Process_Details[Input or Output],"Input")</f>
        <v>0</v>
      </c>
      <c r="EE76" s="131">
        <f ca="1">SUMIFS(Table_Process_Details[RV Energy (MJ) per kg API (WATER)],Table_Process_Details[Display Name],Table_Process_Details[[#This Row],[Unique Process Inputs]],Table_Process_Details[Input or Output],"Input")</f>
        <v>0</v>
      </c>
      <c r="EF76" s="131">
        <f ca="1">SUMIFS(Table_Process_Details[RV Energy (MJ) per kg API (ENZ&amp;PLNT)],Table_Process_Details[Display Name],Table_Process_Details[[#This Row],[Unique Process Inputs]],Table_Process_Details[Input or Output],"Input")</f>
        <v>0</v>
      </c>
      <c r="EG76" s="131">
        <f ca="1">SUMIFS(Table_Process_Details[RV Energy (MJ) per kg API (OTHER)],Table_Process_Details[Display Name],Table_Process_Details[[#This Row],[Unique Process Inputs]],Table_Process_Details[Input or Output],"Input")</f>
        <v>0</v>
      </c>
      <c r="EH76" s="131" t="e">
        <f ca="1">INDEX(Table_Process_Details[Unique Process Inputs],MATCH(Table_Process_Details[[#This Row],['[Energy (MJ) per kg API'] of Unique Inputs Sorted by '[Energy (MJ) per kg API']]],Table_Process_Details[Total '[Energy (MJ) per kg API'] of Unique Inputs],0))</f>
        <v>#N/A</v>
      </c>
      <c r="EI76" s="126" t="e">
        <f ca="1">IF(LARGE(Table_Process_Details[Total '[Energy (MJ) per kg API'] of Unique Inputs],Table_Process_Details[[#This Row],[Table Row]])=0,NA(),LARGE(Table_Process_Details[Total '[Energy (MJ) per kg API'] of Unique Inputs],Table_Process_Details[[#This Row],[Table Row]]))</f>
        <v>#N/A</v>
      </c>
      <c r="EJ76" s="126" t="e">
        <f ca="1">SUM(OFFSET(Table_Process_Details['[Energy (MJ) per kg API'] of Unique Inputs Sorted by '[Energy (MJ) per kg API']],0,0,Table_Process_Details[[#This Row],[Table Row]]))</f>
        <v>#N/A</v>
      </c>
      <c r="EK76" s="126" t="e">
        <f ca="1">"("&amp;TEXT(Table_Process_Details[[#This Row],['[Energy (MJ) per kg API'] of Unique Inputs Sorted by '[Energy (MJ) per kg API']]]/SUMIF(Table_Process_Details['[Energy (MJ) per kg API'] of Unique Inputs Sorted by '[Energy (MJ) per kg API']],"&lt;&gt;#N/A"),"0%")&amp;")"</f>
        <v>#N/A</v>
      </c>
      <c r="EL76" s="126" t="e">
        <f ca="1">INDEX(Table_Process_Details[Total '[Energy (MJ) per kg API'] of Unique Inputs (REAGENT)], MATCH(Table_Process_Details[[#This Row],[Unique Inputs Sorted by '[Energy (MJ) per kg API']]],Table_Process_Details[Unique Process Inputs],0))</f>
        <v>#N/A</v>
      </c>
      <c r="EM76" s="126" t="e">
        <f ca="1">INDEX(Table_Process_Details[Total '[Energy (MJ) per kg API'] of Unique Inputs (METAL)], MATCH(Table_Process_Details[[#This Row],[Unique Inputs Sorted by '[Energy (MJ) per kg API']]],Table_Process_Details[Unique Process Inputs],0))</f>
        <v>#N/A</v>
      </c>
      <c r="EN76" s="126" t="e">
        <f ca="1">INDEX(Table_Process_Details[Total '[Energy (MJ) per kg API'] of Unique Inputs (SOLVENT)], MATCH(Table_Process_Details[[#This Row],[Unique Inputs Sorted by '[Energy (MJ) per kg API']]],Table_Process_Details[Unique Process Inputs],0))</f>
        <v>#N/A</v>
      </c>
      <c r="EO76" s="126" t="e">
        <f ca="1">INDEX(Table_Process_Details[Total '[Energy (MJ) per kg API'] of Unique Inputs (WATER)], MATCH(Table_Process_Details[[#This Row],[Unique Inputs Sorted by '[Energy (MJ) per kg API']]],Table_Process_Details[Unique Process Inputs],0))</f>
        <v>#N/A</v>
      </c>
      <c r="EP76" s="126" t="e">
        <f ca="1">INDEX(Table_Process_Details[Total '[Energy (MJ) per kg API'] of Unique Inputs (ENZ&amp;PLNT)], MATCH(Table_Process_Details[[#This Row],[Unique Inputs Sorted by '[Energy (MJ) per kg API']]],Table_Process_Details[Unique Process Inputs],0))</f>
        <v>#N/A</v>
      </c>
      <c r="EQ76" s="126" t="e">
        <f ca="1">INDEX(Table_Process_Details[Total '[Energy (MJ) per kg API'] of Unique Inputs (OTHER)], MATCH(Table_Process_Details[[#This Row],[Unique Inputs Sorted by '[Energy (MJ) per kg API']]],Table_Process_Details[Unique Process Inputs],0))</f>
        <v>#N/A</v>
      </c>
      <c r="ER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6"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6" s="126">
        <f ca="1">SUMIFS(Table_Process_Details[RV GWP (kg CO2 equiv.) per kg API],Table_Process_Details[Display Name],Table_Process_Details[[#This Row],[Unique Process Inputs]],Table_Process_Details[Input or Output],"Input")</f>
        <v>0</v>
      </c>
      <c r="EZ76" s="131">
        <f ca="1">SUMIFS(Table_Process_Details[RV GWP (kg CO2 equiv.) per kg API (REAGENT)],Table_Process_Details[Display Name],Table_Process_Details[[#This Row],[Unique Process Inputs]],Table_Process_Details[Input or Output],"Input")</f>
        <v>0</v>
      </c>
      <c r="FA76" s="131">
        <f ca="1">SUMIFS(Table_Process_Details[RV GWP (kg CO2 equiv.) per kg API (METAL)],Table_Process_Details[Display Name],Table_Process_Details[[#This Row],[Unique Process Inputs]],Table_Process_Details[Input or Output],"Input")</f>
        <v>0</v>
      </c>
      <c r="FB76" s="131">
        <f ca="1">SUMIFS(Table_Process_Details[RV GWP (kg CO2 equiv.) per kg API (SOLVENT)],Table_Process_Details[Display Name],Table_Process_Details[[#This Row],[Unique Process Inputs]],Table_Process_Details[Input or Output],"Input")</f>
        <v>0</v>
      </c>
      <c r="FC76" s="131">
        <f ca="1">SUMIFS(Table_Process_Details[RV GWP (kg CO2 equiv.) per kg API (WATER)],Table_Process_Details[Display Name],Table_Process_Details[[#This Row],[Unique Process Inputs]],Table_Process_Details[Input or Output],"Input")</f>
        <v>0</v>
      </c>
      <c r="FD76" s="131">
        <f ca="1">SUMIFS(Table_Process_Details[RV GWP (kg CO2 equiv.) per kg API (ENZ&amp;PLNT)],Table_Process_Details[Display Name],Table_Process_Details[[#This Row],[Unique Process Inputs]],Table_Process_Details[Input or Output],"Input")</f>
        <v>0</v>
      </c>
      <c r="FE76" s="131">
        <f ca="1">SUMIFS(Table_Process_Details[RV GWP (kg CO2 equiv.) per kg API (OTHER)],Table_Process_Details[Display Name],Table_Process_Details[[#This Row],[Unique Process Inputs]],Table_Process_Details[Input or Output],"Input")</f>
        <v>0</v>
      </c>
      <c r="FF76" s="126" t="e">
        <f ca="1">INDEX(Table_Process_Details[Unique Process Inputs],MATCH(Table_Process_Details[[#This Row],['[GWP (kg CO2 equiv.) per kg API'] of Unique Inputs Sorted by '[GWP (kg CO2 equiv.) per kg API']]],Table_Process_Details[Total '[GWP (kg CO2 equiv.) per kg API'] of Unique Inputs],0))</f>
        <v>#N/A</v>
      </c>
      <c r="FG76" s="126" t="e">
        <f ca="1">IF(LARGE(Table_Process_Details[Total '[GWP (kg CO2 equiv.) per kg API'] of Unique Inputs],Table_Process_Details[[#This Row],[Table Row]])=0,NA(),LARGE(Table_Process_Details[Total '[GWP (kg CO2 equiv.) per kg API'] of Unique Inputs],Table_Process_Details[[#This Row],[Table Row]]))</f>
        <v>#N/A</v>
      </c>
      <c r="FH76" s="126" t="e">
        <f ca="1">SUM(OFFSET(Table_Process_Details['[GWP (kg CO2 equiv.) per kg API'] of Unique Inputs Sorted by '[GWP (kg CO2 equiv.) per kg API']],0,0,Table_Process_Details[[#This Row],[Table Row]]))</f>
        <v>#N/A</v>
      </c>
      <c r="FI76" s="126" t="e">
        <f ca="1">"("&amp;TEXT(Table_Process_Details[[#This Row],['[GWP (kg CO2 equiv.) per kg API'] of Unique Inputs Sorted by '[GWP (kg CO2 equiv.) per kg API']]]/SUMIF(Table_Process_Details['[GWP (kg CO2 equiv.) per kg API'] of Unique Inputs Sorted by '[GWP (kg CO2 equiv.) per kg API']],"&lt;&gt;#N/A"),"0%")&amp;")"</f>
        <v>#N/A</v>
      </c>
      <c r="FJ76" s="126" t="e">
        <f ca="1">INDEX(Table_Process_Details[Total '[GWP (kg CO2 equiv.) per kg API'] of Unique Inputs (REAGENT)], MATCH(Table_Process_Details[[#This Row],[Unique Inputs Sorted by '[GWP (kg CO2 equiv.) per kg API']]],Table_Process_Details[Unique Process Inputs],0))</f>
        <v>#N/A</v>
      </c>
      <c r="FK76" s="126" t="e">
        <f ca="1">INDEX(Table_Process_Details[Total '[GWP (kg CO2 equiv.) per kg API'] of Unique Inputs (METAL)], MATCH(Table_Process_Details[[#This Row],[Unique Inputs Sorted by '[GWP (kg CO2 equiv.) per kg API']]],Table_Process_Details[Unique Process Inputs],0))</f>
        <v>#N/A</v>
      </c>
      <c r="FL76" s="126" t="e">
        <f ca="1">INDEX(Table_Process_Details[Total '[GWP (kg CO2 equiv.) per kg API'] of Unique Inputs (SOLVENT)], MATCH(Table_Process_Details[[#This Row],[Unique Inputs Sorted by '[GWP (kg CO2 equiv.) per kg API']]],Table_Process_Details[Unique Process Inputs],0))</f>
        <v>#N/A</v>
      </c>
      <c r="FM76" s="126" t="e">
        <f ca="1">INDEX(Table_Process_Details[Total '[GWP (kg CO2 equiv.) per kg API'] of Unique Inputs (WATER)], MATCH(Table_Process_Details[[#This Row],[Unique Inputs Sorted by '[GWP (kg CO2 equiv.) per kg API']]],Table_Process_Details[Unique Process Inputs],0))</f>
        <v>#N/A</v>
      </c>
      <c r="FN76" s="126" t="e">
        <f ca="1">INDEX(Table_Process_Details[Total '[GWP (kg CO2 equiv.) per kg API'] of Unique Inputs (ENZ&amp;PLNT)], MATCH(Table_Process_Details[[#This Row],[Unique Inputs Sorted by '[GWP (kg CO2 equiv.) per kg API']]],Table_Process_Details[Unique Process Inputs],0))</f>
        <v>#N/A</v>
      </c>
      <c r="FO76" s="126" t="e">
        <f ca="1">INDEX(Table_Process_Details[Total '[GWP (kg CO2 equiv.) per kg API'] of Unique Inputs (OTHER)], MATCH(Table_Process_Details[[#This Row],[Unique Inputs Sorted by '[GWP (kg CO2 equiv.) per kg API']]],Table_Process_Details[Unique Process Inputs],0))</f>
        <v>#N/A</v>
      </c>
      <c r="FP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6"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6" s="126">
        <f ca="1">SUMIFS(Table_Process_Details[RV Acidification (kg SO2 equiv.) per kg API],Table_Process_Details[Display Name],Table_Process_Details[[#This Row],[Unique Process Inputs]],Table_Process_Details[Input or Output],"Input")</f>
        <v>0</v>
      </c>
      <c r="FX76" s="131">
        <f ca="1">SUMIFS(Table_Process_Details[RV Acidification (kg SO2 equiv.) per kg API (REAGENT)],Table_Process_Details[Display Name],Table_Process_Details[[#This Row],[Unique Process Inputs]],Table_Process_Details[Input or Output],"Input")</f>
        <v>0</v>
      </c>
      <c r="FY76" s="131">
        <f ca="1">SUMIFS(Table_Process_Details[RV Acidification (kg SO2 equiv.) per kg API (METAL)],Table_Process_Details[Display Name],Table_Process_Details[[#This Row],[Unique Process Inputs]],Table_Process_Details[Input or Output],"Input")</f>
        <v>0</v>
      </c>
      <c r="FZ76" s="131">
        <f ca="1">SUMIFS(Table_Process_Details[RV Acidification (kg SO2 equiv.) per kg API (SOLVENT)],Table_Process_Details[Display Name],Table_Process_Details[[#This Row],[Unique Process Inputs]],Table_Process_Details[Input or Output],"Input")</f>
        <v>0</v>
      </c>
      <c r="GA76" s="131">
        <f ca="1">SUMIFS(Table_Process_Details[RV Acidification (kg SO2 equiv.) per kg API (WATER)],Table_Process_Details[Display Name],Table_Process_Details[[#This Row],[Unique Process Inputs]],Table_Process_Details[Input or Output],"Input")</f>
        <v>0</v>
      </c>
      <c r="GB76" s="131">
        <f ca="1">SUMIFS(Table_Process_Details[RV Acidification (kg SO2 equiv.) per kg API (ENZ&amp;PLNT)],Table_Process_Details[Display Name],Table_Process_Details[[#This Row],[Unique Process Inputs]],Table_Process_Details[Input or Output],"Input")</f>
        <v>0</v>
      </c>
      <c r="GC76" s="131">
        <f ca="1">SUMIFS(Table_Process_Details[RV Acidification (kg SO2 equiv.) per kg API (OTHER)],Table_Process_Details[Display Name],Table_Process_Details[[#This Row],[Unique Process Inputs]],Table_Process_Details[Input or Output],"Input")</f>
        <v>0</v>
      </c>
      <c r="GD76"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6"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76" s="126" t="e">
        <f ca="1">SUM(OFFSET(Table_Process_Details['[Acidification (kg SO2 equiv.) per kg API'] of Unique Inputs Sorted by '[Acidification (kg SO2 equiv.) per kg API']],0,0,Table_Process_Details[[#This Row],[Table Row]]))</f>
        <v>#N/A</v>
      </c>
      <c r="GG76"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6" s="126" t="e">
        <f ca="1">INDEX(Table_Process_Details[Total '[Acidification (kg SO2 equiv.) per kg API'] of Unique Inputs (REAGENT)], MATCH(Table_Process_Details[[#This Row],[Unique Inputs Sorted by '[Acidification (kg SO2 equiv.) per kg API']]],Table_Process_Details[Unique Process Inputs],0))</f>
        <v>#N/A</v>
      </c>
      <c r="GI76" s="126" t="e">
        <f ca="1">INDEX(Table_Process_Details[Total '[Acidification (kg SO2 equiv.) per kg API'] of Unique Inputs (METAL)], MATCH(Table_Process_Details[[#This Row],[Unique Inputs Sorted by '[Acidification (kg SO2 equiv.) per kg API']]],Table_Process_Details[Unique Process Inputs],0))</f>
        <v>#N/A</v>
      </c>
      <c r="GJ76" s="126" t="e">
        <f ca="1">INDEX(Table_Process_Details[Total '[Acidification (kg SO2 equiv.) per kg API'] of Unique Inputs (SOLVENT)], MATCH(Table_Process_Details[[#This Row],[Unique Inputs Sorted by '[Acidification (kg SO2 equiv.) per kg API']]],Table_Process_Details[Unique Process Inputs],0))</f>
        <v>#N/A</v>
      </c>
      <c r="GK76" s="126" t="e">
        <f ca="1">INDEX(Table_Process_Details[Total '[Acidification (kg SO2 equiv.) per kg API'] of Unique Inputs (WATER)], MATCH(Table_Process_Details[[#This Row],[Unique Inputs Sorted by '[Acidification (kg SO2 equiv.) per kg API']]],Table_Process_Details[Unique Process Inputs],0))</f>
        <v>#N/A</v>
      </c>
      <c r="GL76" s="126" t="e">
        <f ca="1">INDEX(Table_Process_Details[Total '[Acidification (kg SO2 equiv.) per kg API'] of Unique Inputs (ENZ&amp;PLNT)], MATCH(Table_Process_Details[[#This Row],[Unique Inputs Sorted by '[Acidification (kg SO2 equiv.) per kg API']]],Table_Process_Details[Unique Process Inputs],0))</f>
        <v>#N/A</v>
      </c>
      <c r="GM76" s="126" t="e">
        <f ca="1">INDEX(Table_Process_Details[Total '[Acidification (kg SO2 equiv.) per kg API'] of Unique Inputs (OTHER)], MATCH(Table_Process_Details[[#This Row],[Unique Inputs Sorted by '[Acidification (kg SO2 equiv.) per kg API']]],Table_Process_Details[Unique Process Inputs],0))</f>
        <v>#N/A</v>
      </c>
      <c r="GN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6"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6" s="126">
        <f ca="1">SUMIFS(Table_Process_Details[RV Eutrophication (kg phosphate equiv.) per kg API],Table_Process_Details[Display Name],Table_Process_Details[[#This Row],[Unique Process Inputs]],Table_Process_Details[Input or Output],"Input")</f>
        <v>0</v>
      </c>
      <c r="GV76" s="131">
        <f ca="1">SUMIFS(Table_Process_Details[RV Eutrophication (kg phosphate equiv.) per kg API (REAGENT)],Table_Process_Details[Display Name],Table_Process_Details[[#This Row],[Unique Process Inputs]],Table_Process_Details[Input or Output],"Input")</f>
        <v>0</v>
      </c>
      <c r="GW76" s="131">
        <f ca="1">SUMIFS(Table_Process_Details[RV Eutrophication (kg phosphate equiv.) per kg API (METAL)],Table_Process_Details[Display Name],Table_Process_Details[[#This Row],[Unique Process Inputs]],Table_Process_Details[Input or Output],"Input")</f>
        <v>0</v>
      </c>
      <c r="GX76" s="131">
        <f ca="1">SUMIFS(Table_Process_Details[RV Eutrophication (kg phosphate equiv.) per kg API (SOLVENT)],Table_Process_Details[Display Name],Table_Process_Details[[#This Row],[Unique Process Inputs]],Table_Process_Details[Input or Output],"Input")</f>
        <v>0</v>
      </c>
      <c r="GY76" s="131">
        <f ca="1">SUMIFS(Table_Process_Details[RV Eutrophication (kg phosphate equiv.) per kg API (WATER)],Table_Process_Details[Display Name],Table_Process_Details[[#This Row],[Unique Process Inputs]],Table_Process_Details[Input or Output],"Input")</f>
        <v>0</v>
      </c>
      <c r="GZ76" s="131">
        <f ca="1">SUMIFS(Table_Process_Details[RV Eutrophication (kg phosphate equiv.) per kg API (ENZ&amp;PLNT)],Table_Process_Details[Display Name],Table_Process_Details[[#This Row],[Unique Process Inputs]],Table_Process_Details[Input or Output],"Input")</f>
        <v>0</v>
      </c>
      <c r="HA76" s="131">
        <f ca="1">SUMIFS(Table_Process_Details[RV Eutrophication (kg phosphate equiv.) per kg API (OTHER)],Table_Process_Details[Display Name],Table_Process_Details[[#This Row],[Unique Process Inputs]],Table_Process_Details[Input or Output],"Input")</f>
        <v>0</v>
      </c>
      <c r="HB76"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6"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6" s="126" t="e">
        <f ca="1">SUM(OFFSET(Table_Process_Details['[Eutrophication (kg posphate equiv.) per kg API'] of Unique Inputs Sorted by '[Eutrophication (kg posphate equiv.) per kg API']],0,0,Table_Process_Details[[#This Row],[Table Row]]))</f>
        <v>#N/A</v>
      </c>
      <c r="HE76"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6" s="131" t="e">
        <f ca="1">INDEX(Table_Process_Details[Total '[Eutrophication (kg posphate equiv.) per kg API'] of Unique Inputs (REAGENT)], MATCH(Table_Process_Details[[#This Row],[Unique Inputs Sorted by '[Eutrophication (kg posphate equiv.) per kg API']]],Table_Process_Details[Unique Process Inputs],0))</f>
        <v>#N/A</v>
      </c>
      <c r="HG76" s="131" t="e">
        <f ca="1">INDEX(Table_Process_Details[Total '[Eutrophication (kg posphate equiv.) per kg API'] of Unique Inputs (METAL)], MATCH(Table_Process_Details[[#This Row],[Unique Inputs Sorted by '[Eutrophication (kg posphate equiv.) per kg API']]],Table_Process_Details[Unique Process Inputs],0))</f>
        <v>#N/A</v>
      </c>
      <c r="HH76" s="131" t="e">
        <f ca="1">INDEX(Table_Process_Details[Total '[Eutrophication (kg posphate equiv.) per kg API'] of Unique Inputs (SOLVENT)], MATCH(Table_Process_Details[[#This Row],[Unique Inputs Sorted by '[Eutrophication (kg posphate equiv.) per kg API']]],Table_Process_Details[Unique Process Inputs],0))</f>
        <v>#N/A</v>
      </c>
      <c r="HI76" s="131" t="e">
        <f ca="1">INDEX(Table_Process_Details[Total '[Eutrophication (kg posphate equiv.) per kg API'] of Unique Inputs (WATER)], MATCH(Table_Process_Details[[#This Row],[Unique Inputs Sorted by '[Eutrophication (kg posphate equiv.) per kg API']]],Table_Process_Details[Unique Process Inputs],0))</f>
        <v>#N/A</v>
      </c>
      <c r="HJ76" s="131" t="e">
        <f ca="1">INDEX(Table_Process_Details[Total '[Eutrophication (kg posphate equiv.) per kg API'] of Unique Inputs (ENZ&amp;PLNT)], MATCH(Table_Process_Details[[#This Row],[Unique Inputs Sorted by '[Eutrophication (kg posphate equiv.) per kg API']]],Table_Process_Details[Unique Process Inputs],0))</f>
        <v>#N/A</v>
      </c>
      <c r="HK76" s="131" t="e">
        <f ca="1">INDEX(Table_Process_Details[Total '[Eutrophication (kg posphate equiv.) per kg API'] of Unique Inputs (OTHER)], MATCH(Table_Process_Details[[#This Row],[Unique Inputs Sorted by '[Eutrophication (kg posphate equiv.) per kg API']]],Table_Process_Details[Unique Process Inputs],0))</f>
        <v>#N/A</v>
      </c>
      <c r="HL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6"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6" s="131">
        <f ca="1">SUMIFS(Table_Process_Details[RV Water (kg) per kg API],Table_Process_Details[Display Name],Table_Process_Details[[#This Row],[Unique Process Inputs]],Table_Process_Details[Input or Output],"Input")</f>
        <v>0</v>
      </c>
      <c r="HT76" s="131">
        <f ca="1">SUMIFS(Table_Process_Details[RV Water (kg) per kg API (REAGENT)],Table_Process_Details[Display Name],Table_Process_Details[[#This Row],[Unique Process Inputs]],Table_Process_Details[Input or Output],"Input")</f>
        <v>0</v>
      </c>
      <c r="HU76" s="131">
        <f ca="1">SUMIFS(Table_Process_Details[RV Water (kg) per kg API (METAL)],Table_Process_Details[Display Name],Table_Process_Details[[#This Row],[Unique Process Inputs]],Table_Process_Details[Input or Output],"Input")</f>
        <v>0</v>
      </c>
      <c r="HV76" s="131">
        <f ca="1">SUMIFS(Table_Process_Details[RV Water (kg) per kg API (SOLVENT)],Table_Process_Details[Display Name],Table_Process_Details[[#This Row],[Unique Process Inputs]],Table_Process_Details[Input or Output],"Input")</f>
        <v>0</v>
      </c>
      <c r="HW76" s="131">
        <f ca="1">SUMIFS(Table_Process_Details[RV Water (kg) per kg API (WATER)],Table_Process_Details[Display Name],Table_Process_Details[[#This Row],[Unique Process Inputs]],Table_Process_Details[Input or Output],"Input")</f>
        <v>0</v>
      </c>
      <c r="HX76" s="131">
        <f ca="1">SUMIFS(Table_Process_Details[RV Water (kg) per kg API (ENZ&amp;PLNT)],Table_Process_Details[Display Name],Table_Process_Details[[#This Row],[Unique Process Inputs]],Table_Process_Details[Input or Output],"Input")</f>
        <v>0</v>
      </c>
      <c r="HY76" s="131">
        <f ca="1">SUMIFS(Table_Process_Details[RV Water (kg) per kg API (OTHER)],Table_Process_Details[Display Name],Table_Process_Details[[#This Row],[Unique Process Inputs]],Table_Process_Details[Input or Output],"Input")</f>
        <v>0</v>
      </c>
      <c r="HZ76" s="126" t="e">
        <f ca="1">INDEX(Table_Process_Details[Unique Process Inputs],MATCH(Table_Process_Details[[#This Row],['[Water (kg) per kg API'] of Unique Inputs Sorted by '[Water (kg) per kg API']]],Table_Process_Details[Total '[Water (kg) per kg API'] of Unique Inputs],0))</f>
        <v>#N/A</v>
      </c>
      <c r="IA76" s="126" t="e">
        <f ca="1">IF(LARGE(Table_Process_Details[Total '[Water (kg) per kg API'] of Unique Inputs],Table_Process_Details[[#This Row],[Table Row]])=0,NA(),LARGE(Table_Process_Details[Total '[Water (kg) per kg API'] of Unique Inputs],Table_Process_Details[[#This Row],[Table Row]]))</f>
        <v>#N/A</v>
      </c>
      <c r="IB76" s="131" t="e">
        <f ca="1">SUM(OFFSET(Table_Process_Details['[Water (kg) per kg API'] of Unique Inputs Sorted by '[Water (kg) per kg API']],0,0,Table_Process_Details[[#This Row],[Table Row]]))</f>
        <v>#N/A</v>
      </c>
      <c r="IC76" s="131" t="e">
        <f ca="1">"("&amp;TEXT(Table_Process_Details[[#This Row],['[Water (kg) per kg API'] of Unique Inputs Sorted by '[Water (kg) per kg API']]]/SUMIF(Table_Process_Details['[Water (kg) per kg API'] of Unique Inputs Sorted by '[Water (kg) per kg API']],"&lt;&gt;#N/A"),"0%")&amp;")"</f>
        <v>#N/A</v>
      </c>
      <c r="ID76" s="131" t="e">
        <f ca="1">INDEX(Table_Process_Details[Total '[Water (kg) per kg API'] of Unique Inputs (REAGENT)], MATCH(Table_Process_Details[[#This Row],[Unique Inputs Sorted by '[Water (kg) per kg API']]],Table_Process_Details[Unique Process Inputs],0))</f>
        <v>#N/A</v>
      </c>
      <c r="IE76" s="131" t="e">
        <f ca="1">INDEX(Table_Process_Details[Total '[Water (kg) per kg API'] of Unique Inputs (METAL)], MATCH(Table_Process_Details[[#This Row],[Unique Inputs Sorted by '[Water (kg) per kg API']]],Table_Process_Details[Unique Process Inputs],0))</f>
        <v>#N/A</v>
      </c>
      <c r="IF76" s="131" t="e">
        <f ca="1">INDEX(Table_Process_Details[Total '[Water (kg) per kg API'] of Unique Inputs (SOLVENT)], MATCH(Table_Process_Details[[#This Row],[Unique Inputs Sorted by '[Water (kg) per kg API']]],Table_Process_Details[Unique Process Inputs],0))</f>
        <v>#N/A</v>
      </c>
      <c r="IG76" s="131" t="e">
        <f ca="1">INDEX(Table_Process_Details[Total '[Water (kg) per kg API'] of Unique Inputs (WATER)], MATCH(Table_Process_Details[[#This Row],[Unique Inputs Sorted by '[Water (kg) per kg API']]],Table_Process_Details[Unique Process Inputs],0))</f>
        <v>#N/A</v>
      </c>
      <c r="IH76" s="131" t="e">
        <f ca="1">INDEX(Table_Process_Details[Total '[Water (kg) per kg API'] of Unique Inputs (ENZ&amp;PLNT)], MATCH(Table_Process_Details[[#This Row],[Unique Inputs Sorted by '[Water (kg) per kg API']]],Table_Process_Details[Unique Process Inputs],0))</f>
        <v>#N/A</v>
      </c>
      <c r="II76" s="131" t="e">
        <f ca="1">INDEX(Table_Process_Details[Total '[Water (kg) per kg API'] of Unique Inputs (OTHER)], MATCH(Table_Process_Details[[#This Row],[Unique Inputs Sorted by '[Water (kg) per kg API']]],Table_Process_Details[Unique Process Inputs],0))</f>
        <v>#N/A</v>
      </c>
    </row>
    <row r="77" spans="1:243" customFormat="1" x14ac:dyDescent="0.25">
      <c r="A77" s="22" t="str">
        <f>'1. Define Process Steps'!A22</f>
        <v>4b) Virtual solution prep for (4): 15 wt% reagent K (inorganic) in water</v>
      </c>
      <c r="B77" s="21" t="s">
        <v>4</v>
      </c>
      <c r="C77" s="21" t="s">
        <v>7</v>
      </c>
      <c r="D77" s="22" t="s">
        <v>158</v>
      </c>
      <c r="E77" s="22" t="s">
        <v>835</v>
      </c>
      <c r="F77" s="26">
        <v>15</v>
      </c>
      <c r="G77" s="26"/>
      <c r="H77" s="26"/>
      <c r="I77" s="26"/>
      <c r="J77" s="26" t="str">
        <f>INDEX(Process_Steps[Reference],MATCH(Table_Process_Details[[#This Row],[Step Name]],Process_Steps[Name],0))</f>
        <v>Penultimate Reference Document</v>
      </c>
      <c r="K77" s="27" t="str">
        <f>INDEX(Process_Steps[Real or Virtual?],MATCH(Table_Process_Details[[#This Row],[Step Name]],Process_Steps[Name],0))</f>
        <v>Virtual</v>
      </c>
      <c r="L7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7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77" s="26">
        <f>INDEX(Table_Process_Details[Physical Mass (kg)],MATCH(1,INDEX(((Table_Process_Details[Step Name]=Table_Process_Details[[#This Row],[Step Name]])*(Table_Process_Details[Input or Output]="Output")),0),0))</f>
        <v>100</v>
      </c>
      <c r="O77" s="29">
        <f ca="1">INDEX(Process_Steps[Step Scale Factor for 1kg Packaged API],MATCH(Table_Process_Details[[#This Row],[Step Name]],Process_Steps[Name],0))</f>
        <v>5.5055973573133098E-2</v>
      </c>
      <c r="P7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15.333333333333334</v>
      </c>
      <c r="Q7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4.3333333333333321</v>
      </c>
      <c r="R77" s="26">
        <f ca="1">_xlfn.SWITCH(Run_Reset_PNG,"Reset",Table_Process_Details[[#This Row],[X Init]],"Run",Table_Process_Details[[#This Row],[X Moved]],"Freeze",Table_Process_Details[[#This Row],[X Mover]])</f>
        <v>18.128067334777143</v>
      </c>
      <c r="S77" s="26">
        <f ca="1">_xlfn.SWITCH(Run_Reset_PNG,"Reset",Table_Process_Details[[#This Row],[Y Init]],"Run",Table_Process_Details[[#This Row],[Y Moved]],"Freeze",Table_Process_Details[[#This Row],[Y Mover]])</f>
        <v>-16.214230947186895</v>
      </c>
      <c r="T77" s="26" cm="1">
        <f t="array" aca="1" ref="T7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2.0922671020330394</v>
      </c>
      <c r="U77" s="26" cm="1">
        <f t="array" aca="1" ref="U7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-4.1602043387237675</v>
      </c>
      <c r="V77" s="26" cm="1">
        <f t="array" aca="1" ref="V77" ca="1">SUM(--(SQRT((Table_Process_Details[[#This Row],[X Mover]]-Table_Process_Details[X Mover])^2+(Table_Process_Details[[#This Row],[Y Mover]]-Table_Process_Details[Y Mover])^2)&lt;Collision_Distance))</f>
        <v>6</v>
      </c>
      <c r="W77" s="26" cm="1">
        <f t="array" aca="1" ref="W7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-0.23498005128452254</v>
      </c>
      <c r="X77" s="26" cm="1">
        <f t="array" aca="1" ref="X7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0.58564483908581755</v>
      </c>
      <c r="Y77" s="26" cm="1">
        <f t="array" aca="1" ref="Y7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7" s="26">
        <f>0</f>
        <v>0</v>
      </c>
      <c r="AA77" s="26">
        <f>0</f>
        <v>0</v>
      </c>
      <c r="AB7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-9.0640336673885713</v>
      </c>
      <c r="AC77" s="26" cm="1">
        <f t="array" aca="1" ref="AC7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8.1071154735934474</v>
      </c>
      <c r="AD77" s="26">
        <f>MIN(1,COUNTA(Table_Process_Details[[#This Row],[target x]]),COUNTA(Table_Process_Details[[#This Row],[target y]]))*COUNTA(Table_Process_Details[Step Name])</f>
        <v>98</v>
      </c>
      <c r="AE7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18.149308327701643</v>
      </c>
      <c r="AF7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-16.23922782979048</v>
      </c>
      <c r="AG7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77" s="26" cm="1">
        <f t="array" aca="1" ref="AH77" ca="1">INDEX(Table_Process_Details[X Mover],MATCH(1,INDEX((Table_Process_Details[Input or Output]="Output")*(Table_Process_Details[Step Name]=Table_Process_Details[[#This Row],[Step Name]])*(Table_Process_Details[[#This Row],[Input or Output]]="Input"),0),0))</f>
        <v>16.540976308170244</v>
      </c>
      <c r="AI77" s="26" cm="1">
        <f t="array" aca="1" ref="AI77" ca="1">INDEX(Table_Process_Details[Y Mover],MATCH(1,INDEX((Table_Process_Details[Input or Output]="Output")*(Table_Process_Details[Step Name]=Table_Process_Details[[#This Row],[Step Name]])*(Table_Process_Details[[#This Row],[Input or Output]]="Input"),0),0))</f>
        <v>-12.258696578159528</v>
      </c>
      <c r="AJ77" s="26" t="e">
        <f ca="1">SQRT((Table_Process_Details[[#This Row],[X End (To Node Center)]]-Table_Process_Details[[#This Row],[X Guide]])^2+(Table_Process_Details[[#This Row],[Y End (to Node Center)]]-Table_Process_Details[[#This Row],[Y Guide]])^2)</f>
        <v>#N/A</v>
      </c>
      <c r="AK77" s="26" t="e" cm="1">
        <f t="array" ref="AK77">INDEX(Table_Process_Details[X Mover],MATCH(1,INDEX((Table_Process_Details[Step Name]=Table_Process_Details[[#This Row],[LCA Data Source Subclass]])*(Table_Process_Details[Input or Output]="Output"),0)*(Table_Process_Details[[#This Row],[Input or Output]]="Input"),0))</f>
        <v>#N/A</v>
      </c>
      <c r="AL77" s="26" cm="1">
        <f t="array" aca="1" ref="AL77" ca="1">INDEX(Table_Process_Details[X Mover],MATCH(1,INDEX(((Table_Process_Details[Table Row]=Table_Process_Details[[#This Row],[Table Row]])*(1)),0)*(Table_Process_Details[[#This Row],[Input or Output]]="Input"),0))</f>
        <v>18.128067334777143</v>
      </c>
      <c r="AM77" s="26" t="e" cm="1">
        <f t="array" aca="1" ref="AM77" ca="1">(Table_Process_Details[[#This Row],[X End (To Node Center)]]*Table_Process_Details[[#This Row],[r0]]-Table_Process_Details[[#This Row],[X End (To Node Center)]]*Arrow_Offset+Table_Process_Details[[#This Row],[X Guide]]*Arrow_Offset)/Table_Process_Details[[#This Row],[r0]]</f>
        <v>#N/A</v>
      </c>
      <c r="AN77" s="26" t="e">
        <f>IF(NOT(Table_Process_Details[[#This Row],[Display As]]="None"),Table_Process_Details[[#This Row],[X Start Prefilter]],NA())</f>
        <v>#N/A</v>
      </c>
      <c r="AO77" s="26" t="e">
        <f>IF(NOT(Table_Process_Details[[#This Row],[Display As]]="None"),Table_Process_Details[[#This Row],[X Guide Prefilter]],NA())</f>
        <v>#N/A</v>
      </c>
      <c r="AP77" s="26" t="e">
        <f>IF(NOT(Table_Process_Details[[#This Row],[Display As]]="None"),Table_Process_Details[[#This Row],[X End (to Stop Radius) Prefilter]],NA())</f>
        <v>#N/A</v>
      </c>
      <c r="AQ77" s="26" t="e">
        <f>NA()</f>
        <v>#N/A</v>
      </c>
      <c r="AR77" s="26" t="e" cm="1">
        <f t="array" ref="AR77">INDEX(Table_Process_Details[Y Mover],MATCH(1,INDEX((Table_Process_Details[Step Name]=Table_Process_Details[[#This Row],[LCA Data Source Subclass]])*(Table_Process_Details[Input or Output]="Output"),0)*(Table_Process_Details[[#This Row],[Input or Output]]="Input"),0))</f>
        <v>#N/A</v>
      </c>
      <c r="AS77" s="26" cm="1">
        <f t="array" aca="1" ref="AS77" ca="1">INDEX(Table_Process_Details[Y Mover],MATCH(1,INDEX(((Table_Process_Details[Table Row]=Table_Process_Details[[#This Row],[Table Row]])*(1)),0)*(Table_Process_Details[[#This Row],[Input or Output]]="Input"),0))</f>
        <v>-16.214230947186895</v>
      </c>
      <c r="AT77" s="26" t="e" cm="1">
        <f t="array" aca="1" ref="AT77" ca="1">(Table_Process_Details[[#This Row],[Y Guide]]*Arrow_Offset-Table_Process_Details[[#This Row],[Y End (to Node Center)]]*Arrow_Offset+Table_Process_Details[[#This Row],[Y End (to Node Center)]]*Table_Process_Details[[#This Row],[r0]])/Table_Process_Details[[#This Row],[r0]]</f>
        <v>#N/A</v>
      </c>
      <c r="AU77" s="26" t="e">
        <f>IF(NOT(Table_Process_Details[[#This Row],[Display As]]="None"),Table_Process_Details[[#This Row],[Y Start Prefilter]],NA())</f>
        <v>#N/A</v>
      </c>
      <c r="AV77" s="26" t="e">
        <f>IF(NOT(Table_Process_Details[[#This Row],[Display As]]="None"),Table_Process_Details[[#This Row],[Y Guide Prefilter]],NA())</f>
        <v>#N/A</v>
      </c>
      <c r="AW77" s="26" t="e">
        <f>IF(NOT(Table_Process_Details[[#This Row],[Display As]]="None"),Table_Process_Details[[#This Row],[Y End (to Stop Radius) Prefilter]],NA())</f>
        <v>#N/A</v>
      </c>
      <c r="AX77" s="26" t="e">
        <f>NA()</f>
        <v>#N/A</v>
      </c>
      <c r="AY77" s="26" t="e">
        <f>IF(Table_Process_Details[[#This Row],[Display As]]="Real Step",Table_Process_Details[[#This Row],[X Mover]],NA())</f>
        <v>#N/A</v>
      </c>
      <c r="AZ77" s="26" t="e">
        <f>IF(Table_Process_Details[[#This Row],[Display As]]="Real Step",Table_Process_Details[[#This Row],[Y Mover]],NA())</f>
        <v>#N/A</v>
      </c>
      <c r="BA77" s="26" t="e">
        <f>IF(Table_Process_Details[[#This Row],[Display As]]="Raw Material",Table_Process_Details[[#This Row],[X Mover]],NA())</f>
        <v>#N/A</v>
      </c>
      <c r="BB77" s="26" t="e">
        <f>IF(Table_Process_Details[[#This Row],[Display As]]="Raw Material",Table_Process_Details[[#This Row],[Y Mover]],NA())</f>
        <v>#N/A</v>
      </c>
      <c r="BC77" s="26" t="e">
        <f>IF(OR(Table_Process_Details[[#This Row],[Display As]]="Real Step",Table_Process_Details[[#This Row],[Display As]]="Raw Material"),Table_Process_Details[[#This Row],[X Mover]],NA())</f>
        <v>#N/A</v>
      </c>
      <c r="BD77" s="26" t="e">
        <f>IF(OR(Table_Process_Details[[#This Row],[Display As]]="Real Step",Table_Process_Details[[#This Row],[Display As]]="Raw Material"),Table_Process_Details[[#This Row],[Y Mover]],NA())</f>
        <v>#N/A</v>
      </c>
      <c r="BE77" s="22">
        <f>ROW()-ROW(Table_Process_Details[[#Headers],[Table Row]])</f>
        <v>73</v>
      </c>
      <c r="BF77" s="23" t="e" cm="1">
        <f t="array" aca="1" ref="BF77" ca="1">INDEX(Table_Process_Details[Display Name],MATCH(0,IF(Table_Process_Details[Input or Output]="Input",INDEX(COUNTIF(OFFSET(Table_Process_Details[[#Headers],[Unique Process Inputs]],0,0,Table_Process_Details[[#This Row],[Table Row]],1),Table_Process_Details[Display Name]),),""),0))</f>
        <v>#N/A</v>
      </c>
      <c r="BG77" s="23">
        <f ca="1">Table_Process_Details[[#This Row],[Physical Mass (kg)]]*Table_Process_Details[[#This Row],[Step Scale Factor for 1kg Packaged API]]</f>
        <v>0.82583960359699649</v>
      </c>
      <c r="BH7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7" s="23">
        <f ca="1">MATCH(Table_Process_Details[[#This Row],[LCA Data Source Class]],INDIRECT(Table_Process_Details[[#This Row],[Input or Output]]),0)</f>
        <v>6</v>
      </c>
      <c r="BJ77" s="23">
        <f ca="1">MATCH(Table_Process_Details[[#This Row],[LCA Data Source Subclass]],INDIRECT(Table_Process_Details[[#This Row],[LCA Data Source Class]]&amp;"[Name]"),0)</f>
        <v>1</v>
      </c>
      <c r="BK77" s="23">
        <f ca="1">IFERROR(INDEX(INDIRECT(Table_Process_Details[[#This Row],[LCA Data Source Class]]&amp;"[Mass Net (kg)]"),MATCH(Table_Process_Details[[#This Row],[LCA Data Source Subclass]],INDIRECT(Table_Process_Details[[#This Row],[LCA Data Source Class]]&amp;"[Name]"),0)),0)</f>
        <v>1.34</v>
      </c>
      <c r="BL77" s="23">
        <f ca="1">IFERROR(INDEX(INDIRECT(Table_Process_Details[[#This Row],[LCA Data Source Class]]&amp;"[Energy (MJ)]"),MATCH(Table_Process_Details[[#This Row],[LCA Data Source Subclass]],INDIRECT(Table_Process_Details[[#This Row],[LCA Data Source Class]]&amp;"[Name]"),0)),0)</f>
        <v>10.63</v>
      </c>
      <c r="BM77" s="23">
        <f ca="1">IFERROR(INDEX(INDIRECT(Table_Process_Details[[#This Row],[LCA Data Source Class]]&amp;"[GWP (kg CO2 equiv.)]"),MATCH(Table_Process_Details[[#This Row],[LCA Data Source Subclass]],INDIRECT(Table_Process_Details[[#This Row],[LCA Data Source Class]]&amp;"[Name]"),0)),0)</f>
        <v>1.3854</v>
      </c>
      <c r="BN77" s="23">
        <f ca="1">IFERROR(INDEX(INDIRECT(Table_Process_Details[[#This Row],[LCA Data Source Class]]&amp;"[Acidification (kg SO2 equiv.)]"),MATCH(Table_Process_Details[[#This Row],[LCA Data Source Subclass]],INDIRECT(Table_Process_Details[[#This Row],[LCA Data Source Class]]&amp;"[Name]"),0)),0)</f>
        <v>1.3899999999999999E-2</v>
      </c>
      <c r="BO77" s="23">
        <f ca="1">IFERROR(INDEX(INDIRECT(Table_Process_Details[[#This Row],[LCA Data Source Class]]&amp;"[Eutrophication (kg posphate equiv.)]"),MATCH(Table_Process_Details[[#This Row],[LCA Data Source Subclass]],INDIRECT(Table_Process_Details[[#This Row],[LCA Data Source Class]]&amp;"[Name]"),0)),0)</f>
        <v>6.9999999999999999E-4</v>
      </c>
      <c r="BP77" s="23">
        <f ca="1">IFERROR(INDEX(INDIRECT(Table_Process_Details[[#This Row],[LCA Data Source Class]]&amp;"[Water (kg)]"),MATCH(Table_Process_Details[[#This Row],[LCA Data Source Subclass]],INDIRECT(Table_Process_Details[[#This Row],[LCA Data Source Class]]&amp;"[Name]"),0)),0)</f>
        <v>0.69123000000000001</v>
      </c>
      <c r="BQ77" s="27">
        <f ca="1">(Table_Process_Details[[#This Row],[Input or Output]]="Input")*(Table_Process_Details[[#This Row],[LCA Data Source Class]]&lt;&gt;"Process_Steps")*Table_Process_Details[[#This Row],[Scaled Physical Mass per kg API for All Inputs &amp; Outputs]]</f>
        <v>0.82583960359699649</v>
      </c>
      <c r="BR77" s="27">
        <f ca="1">(Table_Process_Details[[#This Row],[Material Class]]="REAGENT")*Table_Process_Details[[#This Row],[Physical Mass per kg API]]</f>
        <v>0.82583960359699649</v>
      </c>
      <c r="BS77" s="27">
        <f ca="1">(Table_Process_Details[[#This Row],[Material Class]]="METAL")*Table_Process_Details[[#This Row],[Physical Mass per kg API]]</f>
        <v>0</v>
      </c>
      <c r="BT77" s="27">
        <f ca="1">(Table_Process_Details[[#This Row],[Material Class]]="SOLVENT")*Table_Process_Details[[#This Row],[Physical Mass per kg API]]</f>
        <v>0</v>
      </c>
      <c r="BU77" s="27">
        <f ca="1">(Table_Process_Details[[#This Row],[Material Class]]="WATER")*Table_Process_Details[[#This Row],[Physical Mass per kg API]]</f>
        <v>0</v>
      </c>
      <c r="BV77" s="27">
        <f ca="1">(Table_Process_Details[[#This Row],[Material Class]]="ENZ&amp;PLNT")*Table_Process_Details[[#This Row],[Physical Mass per kg API]]</f>
        <v>0</v>
      </c>
      <c r="BW77" s="27">
        <f ca="1">(Table_Process_Details[[#This Row],[Material Class]]="OTHER")*Table_Process_Details[[#This Row],[Physical Mass per kg API]]</f>
        <v>0</v>
      </c>
      <c r="BX7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7" s="1">
        <f ca="1">SUMIFS(Table_Process_Details[RV Physical Mass per kg API],Table_Process_Details[Display Name],Table_Process_Details[[#This Row],[Unique Process Inputs]],Table_Process_Details[Input or Output],"Input")</f>
        <v>0</v>
      </c>
      <c r="CF77" s="1">
        <f ca="1">SUMIFS(Table_Process_Details[RV Physical Mass per kg API (REAGENT)],Table_Process_Details[Display Name],Table_Process_Details[[#This Row],[Unique Process Inputs]],Table_Process_Details[Input or Output],"Input")</f>
        <v>0</v>
      </c>
      <c r="CG77" s="1">
        <f ca="1">SUMIFS(Table_Process_Details[RV Physical Mass per kg API (METAL)],Table_Process_Details[Display Name],Table_Process_Details[[#This Row],[Unique Process Inputs]],Table_Process_Details[Input or Output],"Input")</f>
        <v>0</v>
      </c>
      <c r="CH77" s="1">
        <f ca="1">SUMIFS(Table_Process_Details[RV Physical Mass per kg API (SOLVENT)],Table_Process_Details[Display Name],Table_Process_Details[[#This Row],[Unique Process Inputs]],Table_Process_Details[Input or Output],"Input")</f>
        <v>0</v>
      </c>
      <c r="CI77" s="1">
        <f ca="1">SUMIFS(Table_Process_Details[RV Physical Mass per kg API (WATER)],Table_Process_Details[Display Name],Table_Process_Details[[#This Row],[Unique Process Inputs]],Table_Process_Details[Input or Output],"Input")</f>
        <v>0</v>
      </c>
      <c r="CJ77" s="1">
        <f ca="1">SUMIFS(Table_Process_Details[RV Physical Mass per kg API (ENZ&amp;PLNT)],Table_Process_Details[Display Name],Table_Process_Details[[#This Row],[Unique Process Inputs]],Table_Process_Details[Input or Output],"Input")</f>
        <v>0</v>
      </c>
      <c r="CK77" s="1">
        <f ca="1">SUMIFS(Table_Process_Details[RV Physical Mass per kg API (OTHER)],Table_Process_Details[Display Name],Table_Process_Details[[#This Row],[Unique Process Inputs]],Table_Process_Details[Input or Output],"Input")</f>
        <v>0</v>
      </c>
      <c r="CL77" s="22" t="e">
        <f ca="1">INDEX(Table_Process_Details[Unique Process Inputs],MATCH(Table_Process_Details[[#This Row],['[Physical Mass per kg API'] of Unique Inputs Sorted by '[Physical Mass per kg API']]],Table_Process_Details[Total '[Physical Mass per kg API'] of Unique Inputs],0))</f>
        <v>#N/A</v>
      </c>
      <c r="CM77" s="22" t="e">
        <f ca="1">IF(LARGE(Table_Process_Details[Total '[Physical Mass per kg API'] of Unique Inputs],Table_Process_Details[[#This Row],[Table Row]])=0,NA(),LARGE(Table_Process_Details[Total '[Physical Mass per kg API'] of Unique Inputs],Table_Process_Details[[#This Row],[Table Row]]))</f>
        <v>#N/A</v>
      </c>
      <c r="CN77" s="22" t="e">
        <f ca="1">SUM(OFFSET(Table_Process_Details['[Physical Mass per kg API'] of Unique Inputs Sorted by '[Physical Mass per kg API']],0,0,Table_Process_Details[[#This Row],[Table Row]]))</f>
        <v>#N/A</v>
      </c>
      <c r="CO77" s="22" t="e">
        <f ca="1">"("&amp;TEXT(Table_Process_Details[[#This Row],['[Physical Mass per kg API'] of Unique Inputs Sorted by '[Physical Mass per kg API']]]/SUMIF(Table_Process_Details['[Physical Mass per kg API'] of Unique Inputs Sorted by '[Physical Mass per kg API']],"&lt;&gt;#N/A"),"0%")&amp;")"</f>
        <v>#N/A</v>
      </c>
      <c r="CP77" s="22" t="e">
        <f ca="1">INDEX(Table_Process_Details[Total '[Physical Mass per kg API'] of Unique Inputs (REAGENT)],MATCH(Table_Process_Details[[#This Row],[Unique Inputs Sorted by '[Physical Mass per kg API']]],Table_Process_Details[Unique Process Inputs],0))</f>
        <v>#N/A</v>
      </c>
      <c r="CQ77" s="22" t="e">
        <f ca="1">INDEX(Table_Process_Details[Total '[Physical Mass per kg API'] of Unique Inputs (METAL)],MATCH(Table_Process_Details[[#This Row],[Unique Inputs Sorted by '[Physical Mass per kg API']]],Table_Process_Details[Unique Process Inputs],0))</f>
        <v>#N/A</v>
      </c>
      <c r="CR77" s="22" t="e">
        <f ca="1">INDEX(Table_Process_Details[Total '[Physical Mass per kg API'] of Unique Inputs (SOLVENT)],MATCH(Table_Process_Details[[#This Row],[Unique Inputs Sorted by '[Physical Mass per kg API']]],Table_Process_Details[Unique Process Inputs],0))</f>
        <v>#N/A</v>
      </c>
      <c r="CS77" s="22" t="e">
        <f ca="1">INDEX(Table_Process_Details[Total '[Physical Mass per kg API'] of Unique Inputs (WATER)],MATCH(Table_Process_Details[[#This Row],[Unique Inputs Sorted by '[Physical Mass per kg API']]],Table_Process_Details[Unique Process Inputs],0))</f>
        <v>#N/A</v>
      </c>
      <c r="CT77" s="22" t="e">
        <f ca="1">INDEX(Table_Process_Details[Total '[Physical Mass per kg API'] of Unique Inputs (ENZ&amp;PLNT)],MATCH(Table_Process_Details[[#This Row],[Unique Inputs Sorted by '[Physical Mass per kg API']]],Table_Process_Details[Unique Process Inputs],0))</f>
        <v>#N/A</v>
      </c>
      <c r="CU77" s="22" t="e">
        <f ca="1">INDEX(Table_Process_Details[Total '[Physical Mass per kg API'] of Unique Inputs (OTHER)],MATCH(Table_Process_Details[[#This Row],[Unique Inputs Sorted by '[Physical Mass per kg API']]],Table_Process_Details[Unique Process Inputs],0))</f>
        <v>#N/A</v>
      </c>
      <c r="CV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7" s="22">
        <f ca="1">SUMIFS(Table_Process_Details[RV Mass Net (kg) per kg API],Table_Process_Details[Display Name],Table_Process_Details[[#This Row],[Unique Process Inputs]],Table_Process_Details[Input or Output],"Input")</f>
        <v>0</v>
      </c>
      <c r="DD77" s="22">
        <f ca="1">SUMIFS(Table_Process_Details[RV Mass Net (kg) per kg API (REAGENT)],Table_Process_Details[Display Name],Table_Process_Details[[#This Row],[Unique Process Inputs]],Table_Process_Details[Input or Output],"Input")</f>
        <v>0</v>
      </c>
      <c r="DE77" s="22">
        <f ca="1">SUMIFS(Table_Process_Details[RV Mass Net (kg) per kg API (METAL)],Table_Process_Details[Display Name],Table_Process_Details[[#This Row],[Unique Process Inputs]],Table_Process_Details[Input or Output],"Input")</f>
        <v>0</v>
      </c>
      <c r="DF77" s="22">
        <f ca="1">SUMIFS(Table_Process_Details[RV Mass Net (kg) per kg API (SOLVENT)],Table_Process_Details[Display Name],Table_Process_Details[[#This Row],[Unique Process Inputs]],Table_Process_Details[Input or Output],"Input")</f>
        <v>0</v>
      </c>
      <c r="DG77" s="22">
        <f ca="1">SUMIFS(Table_Process_Details[RV Mass Net (kg) per kg API (WATER)],Table_Process_Details[Display Name],Table_Process_Details[[#This Row],[Unique Process Inputs]],Table_Process_Details[Input or Output],"Input")</f>
        <v>0</v>
      </c>
      <c r="DH77" s="22">
        <f ca="1">SUMIFS(Table_Process_Details[RV Mass Net (kg) per kg API (ENZ&amp;PLNT)],Table_Process_Details[Display Name],Table_Process_Details[[#This Row],[Unique Process Inputs]],Table_Process_Details[Input or Output],"Input")</f>
        <v>0</v>
      </c>
      <c r="DI77" s="22">
        <f ca="1">SUMIFS(Table_Process_Details[RV Mass Net (kg) per kg API (OTHER)],Table_Process_Details[Display Name],Table_Process_Details[[#This Row],[Unique Process Inputs]],Table_Process_Details[Input or Output],"Input")</f>
        <v>0</v>
      </c>
      <c r="DJ77" s="22" t="e">
        <f ca="1">INDEX(Table_Process_Details[Unique Process Inputs],MATCH(Table_Process_Details[[#This Row],['[Mass Net (kg) per kg API'] of Unique Inputs Sorted by '[Mass Net (kg) per kg API']]],Table_Process_Details[Total '[Mass Net (kg) per kg API'] of Unique Inputs],0))</f>
        <v>#N/A</v>
      </c>
      <c r="DK77" s="22" t="e">
        <f ca="1">IF(LARGE(Table_Process_Details[Total '[Mass Net (kg) per kg API'] of Unique Inputs],Table_Process_Details[[#This Row],[Table Row]])=0,NA(),LARGE(Table_Process_Details[Total '[Mass Net (kg) per kg API'] of Unique Inputs],Table_Process_Details[[#This Row],[Table Row]]))</f>
        <v>#N/A</v>
      </c>
      <c r="DL77" s="22" t="e">
        <f ca="1">SUM(OFFSET(Table_Process_Details['[Mass Net (kg) per kg API'] of Unique Inputs Sorted by '[Mass Net (kg) per kg API']],0,0,Table_Process_Details[[#This Row],[Table Row]]))</f>
        <v>#N/A</v>
      </c>
      <c r="DM77" s="22" t="e">
        <f ca="1">"("&amp;TEXT(Table_Process_Details[[#This Row],['[Mass Net (kg) per kg API'] of Unique Inputs Sorted by '[Mass Net (kg) per kg API']]]/SUMIF(Table_Process_Details['[Mass Net (kg) per kg API'] of Unique Inputs Sorted by '[Mass Net (kg) per kg API']],"&lt;&gt;#N/A"),"0%")&amp;")"</f>
        <v>#N/A</v>
      </c>
      <c r="DN77" s="22" t="e">
        <f ca="1">INDEX(Table_Process_Details[Total '[Mass Net (kg) per kg API'] of Unique Inputs (REAGENT)], MATCH(Table_Process_Details[[#This Row],[Unique Inputs Sorted by '[Mass Net (kg) per kg API']]],Table_Process_Details[Unique Process Inputs],0))</f>
        <v>#N/A</v>
      </c>
      <c r="DO77" s="22" t="e">
        <f ca="1">INDEX(Table_Process_Details[Total '[Mass Net (kg) per kg API'] of Unique Inputs (METAL)], MATCH(Table_Process_Details[[#This Row],[Unique Inputs Sorted by '[Mass Net (kg) per kg API']]],Table_Process_Details[Unique Process Inputs],0))</f>
        <v>#N/A</v>
      </c>
      <c r="DP77" s="22" t="e">
        <f ca="1">INDEX(Table_Process_Details[Total '[Mass Net (kg) per kg API'] of Unique Inputs (SOLVENT)], MATCH(Table_Process_Details[[#This Row],[Unique Inputs Sorted by '[Mass Net (kg) per kg API']]],Table_Process_Details[Unique Process Inputs],0))</f>
        <v>#N/A</v>
      </c>
      <c r="DQ77" s="22" t="e">
        <f ca="1">INDEX(Table_Process_Details[Total '[Mass Net (kg) per kg API'] of Unique Inputs (WATER)], MATCH(Table_Process_Details[[#This Row],[Unique Inputs Sorted by '[Mass Net (kg) per kg API']]],Table_Process_Details[Unique Process Inputs],0))</f>
        <v>#N/A</v>
      </c>
      <c r="DR77" s="22" t="e">
        <f ca="1">INDEX(Table_Process_Details[Total '[Mass Net (kg) per kg API'] of Unique Inputs (ENZ&amp;PLNT)], MATCH(Table_Process_Details[[#This Row],[Unique Inputs Sorted by '[Mass Net (kg) per kg API']]],Table_Process_Details[Unique Process Inputs],0))</f>
        <v>#N/A</v>
      </c>
      <c r="DS77" s="22" t="e">
        <f ca="1">INDEX(Table_Process_Details[Total '[Mass Net (kg) per kg API'] of Unique Inputs (OTHER)], MATCH(Table_Process_Details[[#This Row],[Unique Inputs Sorted by '[Mass Net (kg) per kg API']]],Table_Process_Details[Unique Process Inputs],0))</f>
        <v>#N/A</v>
      </c>
      <c r="DT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7" s="1">
        <f ca="1">SUMIFS(Table_Process_Details[RV Energy (MJ) per kg API],Table_Process_Details[Display Name],Table_Process_Details[[#This Row],[Unique Process Inputs]],Table_Process_Details[Input or Output],"Input")</f>
        <v>0</v>
      </c>
      <c r="EB77" s="1">
        <f ca="1">SUMIFS(Table_Process_Details[RV Energy (MJ) per kg API (REAGENT)],Table_Process_Details[Display Name],Table_Process_Details[[#This Row],[Unique Process Inputs]],Table_Process_Details[Input or Output],"Input")</f>
        <v>0</v>
      </c>
      <c r="EC77" s="1">
        <f ca="1">SUMIFS(Table_Process_Details[RV Energy (MJ) per kg API (METAL)],Table_Process_Details[Display Name],Table_Process_Details[[#This Row],[Unique Process Inputs]],Table_Process_Details[Input or Output],"Input")</f>
        <v>0</v>
      </c>
      <c r="ED77" s="1">
        <f ca="1">SUMIFS(Table_Process_Details[RV Energy (MJ) per kg API (SOLVENT)],Table_Process_Details[Display Name],Table_Process_Details[[#This Row],[Unique Process Inputs]],Table_Process_Details[Input or Output],"Input")</f>
        <v>0</v>
      </c>
      <c r="EE77" s="1">
        <f ca="1">SUMIFS(Table_Process_Details[RV Energy (MJ) per kg API (WATER)],Table_Process_Details[Display Name],Table_Process_Details[[#This Row],[Unique Process Inputs]],Table_Process_Details[Input or Output],"Input")</f>
        <v>0</v>
      </c>
      <c r="EF77" s="1">
        <f ca="1">SUMIFS(Table_Process_Details[RV Energy (MJ) per kg API (ENZ&amp;PLNT)],Table_Process_Details[Display Name],Table_Process_Details[[#This Row],[Unique Process Inputs]],Table_Process_Details[Input or Output],"Input")</f>
        <v>0</v>
      </c>
      <c r="EG77" s="1">
        <f ca="1">SUMIFS(Table_Process_Details[RV Energy (MJ) per kg API (OTHER)],Table_Process_Details[Display Name],Table_Process_Details[[#This Row],[Unique Process Inputs]],Table_Process_Details[Input or Output],"Input")</f>
        <v>0</v>
      </c>
      <c r="EH77" s="1" t="e">
        <f ca="1">INDEX(Table_Process_Details[Unique Process Inputs],MATCH(Table_Process_Details[[#This Row],['[Energy (MJ) per kg API'] of Unique Inputs Sorted by '[Energy (MJ) per kg API']]],Table_Process_Details[Total '[Energy (MJ) per kg API'] of Unique Inputs],0))</f>
        <v>#N/A</v>
      </c>
      <c r="EI77" s="22" t="e">
        <f ca="1">IF(LARGE(Table_Process_Details[Total '[Energy (MJ) per kg API'] of Unique Inputs],Table_Process_Details[[#This Row],[Table Row]])=0,NA(),LARGE(Table_Process_Details[Total '[Energy (MJ) per kg API'] of Unique Inputs],Table_Process_Details[[#This Row],[Table Row]]))</f>
        <v>#N/A</v>
      </c>
      <c r="EJ77" s="22" t="e">
        <f ca="1">SUM(OFFSET(Table_Process_Details['[Energy (MJ) per kg API'] of Unique Inputs Sorted by '[Energy (MJ) per kg API']],0,0,Table_Process_Details[[#This Row],[Table Row]]))</f>
        <v>#N/A</v>
      </c>
      <c r="EK77" s="22" t="e">
        <f ca="1">"("&amp;TEXT(Table_Process_Details[[#This Row],['[Energy (MJ) per kg API'] of Unique Inputs Sorted by '[Energy (MJ) per kg API']]]/SUMIF(Table_Process_Details['[Energy (MJ) per kg API'] of Unique Inputs Sorted by '[Energy (MJ) per kg API']],"&lt;&gt;#N/A"),"0%")&amp;")"</f>
        <v>#N/A</v>
      </c>
      <c r="EL77" s="22" t="e">
        <f ca="1">INDEX(Table_Process_Details[Total '[Energy (MJ) per kg API'] of Unique Inputs (REAGENT)], MATCH(Table_Process_Details[[#This Row],[Unique Inputs Sorted by '[Energy (MJ) per kg API']]],Table_Process_Details[Unique Process Inputs],0))</f>
        <v>#N/A</v>
      </c>
      <c r="EM77" s="22" t="e">
        <f ca="1">INDEX(Table_Process_Details[Total '[Energy (MJ) per kg API'] of Unique Inputs (METAL)], MATCH(Table_Process_Details[[#This Row],[Unique Inputs Sorted by '[Energy (MJ) per kg API']]],Table_Process_Details[Unique Process Inputs],0))</f>
        <v>#N/A</v>
      </c>
      <c r="EN77" s="22" t="e">
        <f ca="1">INDEX(Table_Process_Details[Total '[Energy (MJ) per kg API'] of Unique Inputs (SOLVENT)], MATCH(Table_Process_Details[[#This Row],[Unique Inputs Sorted by '[Energy (MJ) per kg API']]],Table_Process_Details[Unique Process Inputs],0))</f>
        <v>#N/A</v>
      </c>
      <c r="EO77" s="22" t="e">
        <f ca="1">INDEX(Table_Process_Details[Total '[Energy (MJ) per kg API'] of Unique Inputs (WATER)], MATCH(Table_Process_Details[[#This Row],[Unique Inputs Sorted by '[Energy (MJ) per kg API']]],Table_Process_Details[Unique Process Inputs],0))</f>
        <v>#N/A</v>
      </c>
      <c r="EP77" s="22" t="e">
        <f ca="1">INDEX(Table_Process_Details[Total '[Energy (MJ) per kg API'] of Unique Inputs (ENZ&amp;PLNT)], MATCH(Table_Process_Details[[#This Row],[Unique Inputs Sorted by '[Energy (MJ) per kg API']]],Table_Process_Details[Unique Process Inputs],0))</f>
        <v>#N/A</v>
      </c>
      <c r="EQ77" s="22" t="e">
        <f ca="1">INDEX(Table_Process_Details[Total '[Energy (MJ) per kg API'] of Unique Inputs (OTHER)], MATCH(Table_Process_Details[[#This Row],[Unique Inputs Sorted by '[Energy (MJ) per kg API']]],Table_Process_Details[Unique Process Inputs],0))</f>
        <v>#N/A</v>
      </c>
      <c r="ER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7" s="22">
        <f ca="1">SUMIFS(Table_Process_Details[RV GWP (kg CO2 equiv.) per kg API],Table_Process_Details[Display Name],Table_Process_Details[[#This Row],[Unique Process Inputs]],Table_Process_Details[Input or Output],"Input")</f>
        <v>0</v>
      </c>
      <c r="EZ77" s="1">
        <f ca="1">SUMIFS(Table_Process_Details[RV GWP (kg CO2 equiv.) per kg API (REAGENT)],Table_Process_Details[Display Name],Table_Process_Details[[#This Row],[Unique Process Inputs]],Table_Process_Details[Input or Output],"Input")</f>
        <v>0</v>
      </c>
      <c r="FA77" s="1">
        <f ca="1">SUMIFS(Table_Process_Details[RV GWP (kg CO2 equiv.) per kg API (METAL)],Table_Process_Details[Display Name],Table_Process_Details[[#This Row],[Unique Process Inputs]],Table_Process_Details[Input or Output],"Input")</f>
        <v>0</v>
      </c>
      <c r="FB77" s="1">
        <f ca="1">SUMIFS(Table_Process_Details[RV GWP (kg CO2 equiv.) per kg API (SOLVENT)],Table_Process_Details[Display Name],Table_Process_Details[[#This Row],[Unique Process Inputs]],Table_Process_Details[Input or Output],"Input")</f>
        <v>0</v>
      </c>
      <c r="FC77" s="1">
        <f ca="1">SUMIFS(Table_Process_Details[RV GWP (kg CO2 equiv.) per kg API (WATER)],Table_Process_Details[Display Name],Table_Process_Details[[#This Row],[Unique Process Inputs]],Table_Process_Details[Input or Output],"Input")</f>
        <v>0</v>
      </c>
      <c r="FD77" s="1">
        <f ca="1">SUMIFS(Table_Process_Details[RV GWP (kg CO2 equiv.) per kg API (ENZ&amp;PLNT)],Table_Process_Details[Display Name],Table_Process_Details[[#This Row],[Unique Process Inputs]],Table_Process_Details[Input or Output],"Input")</f>
        <v>0</v>
      </c>
      <c r="FE77" s="1">
        <f ca="1">SUMIFS(Table_Process_Details[RV GWP (kg CO2 equiv.) per kg API (OTHER)],Table_Process_Details[Display Name],Table_Process_Details[[#This Row],[Unique Process Inputs]],Table_Process_Details[Input or Output],"Input")</f>
        <v>0</v>
      </c>
      <c r="FF77" s="22" t="e">
        <f ca="1">INDEX(Table_Process_Details[Unique Process Inputs],MATCH(Table_Process_Details[[#This Row],['[GWP (kg CO2 equiv.) per kg API'] of Unique Inputs Sorted by '[GWP (kg CO2 equiv.) per kg API']]],Table_Process_Details[Total '[GWP (kg CO2 equiv.) per kg API'] of Unique Inputs],0))</f>
        <v>#N/A</v>
      </c>
      <c r="FG77" s="22" t="e">
        <f ca="1">IF(LARGE(Table_Process_Details[Total '[GWP (kg CO2 equiv.) per kg API'] of Unique Inputs],Table_Process_Details[[#This Row],[Table Row]])=0,NA(),LARGE(Table_Process_Details[Total '[GWP (kg CO2 equiv.) per kg API'] of Unique Inputs],Table_Process_Details[[#This Row],[Table Row]]))</f>
        <v>#N/A</v>
      </c>
      <c r="FH77" s="22" t="e">
        <f ca="1">SUM(OFFSET(Table_Process_Details['[GWP (kg CO2 equiv.) per kg API'] of Unique Inputs Sorted by '[GWP (kg CO2 equiv.) per kg API']],0,0,Table_Process_Details[[#This Row],[Table Row]]))</f>
        <v>#N/A</v>
      </c>
      <c r="FI77" s="22" t="e">
        <f ca="1">"("&amp;TEXT(Table_Process_Details[[#This Row],['[GWP (kg CO2 equiv.) per kg API'] of Unique Inputs Sorted by '[GWP (kg CO2 equiv.) per kg API']]]/SUMIF(Table_Process_Details['[GWP (kg CO2 equiv.) per kg API'] of Unique Inputs Sorted by '[GWP (kg CO2 equiv.) per kg API']],"&lt;&gt;#N/A"),"0%")&amp;")"</f>
        <v>#N/A</v>
      </c>
      <c r="FJ77" s="22" t="e">
        <f ca="1">INDEX(Table_Process_Details[Total '[GWP (kg CO2 equiv.) per kg API'] of Unique Inputs (REAGENT)], MATCH(Table_Process_Details[[#This Row],[Unique Inputs Sorted by '[GWP (kg CO2 equiv.) per kg API']]],Table_Process_Details[Unique Process Inputs],0))</f>
        <v>#N/A</v>
      </c>
      <c r="FK77" s="22" t="e">
        <f ca="1">INDEX(Table_Process_Details[Total '[GWP (kg CO2 equiv.) per kg API'] of Unique Inputs (METAL)], MATCH(Table_Process_Details[[#This Row],[Unique Inputs Sorted by '[GWP (kg CO2 equiv.) per kg API']]],Table_Process_Details[Unique Process Inputs],0))</f>
        <v>#N/A</v>
      </c>
      <c r="FL77" s="22" t="e">
        <f ca="1">INDEX(Table_Process_Details[Total '[GWP (kg CO2 equiv.) per kg API'] of Unique Inputs (SOLVENT)], MATCH(Table_Process_Details[[#This Row],[Unique Inputs Sorted by '[GWP (kg CO2 equiv.) per kg API']]],Table_Process_Details[Unique Process Inputs],0))</f>
        <v>#N/A</v>
      </c>
      <c r="FM77" s="22" t="e">
        <f ca="1">INDEX(Table_Process_Details[Total '[GWP (kg CO2 equiv.) per kg API'] of Unique Inputs (WATER)], MATCH(Table_Process_Details[[#This Row],[Unique Inputs Sorted by '[GWP (kg CO2 equiv.) per kg API']]],Table_Process_Details[Unique Process Inputs],0))</f>
        <v>#N/A</v>
      </c>
      <c r="FN77" s="22" t="e">
        <f ca="1">INDEX(Table_Process_Details[Total '[GWP (kg CO2 equiv.) per kg API'] of Unique Inputs (ENZ&amp;PLNT)], MATCH(Table_Process_Details[[#This Row],[Unique Inputs Sorted by '[GWP (kg CO2 equiv.) per kg API']]],Table_Process_Details[Unique Process Inputs],0))</f>
        <v>#N/A</v>
      </c>
      <c r="FO77" s="22" t="e">
        <f ca="1">INDEX(Table_Process_Details[Total '[GWP (kg CO2 equiv.) per kg API'] of Unique Inputs (OTHER)], MATCH(Table_Process_Details[[#This Row],[Unique Inputs Sorted by '[GWP (kg CO2 equiv.) per kg API']]],Table_Process_Details[Unique Process Inputs],0))</f>
        <v>#N/A</v>
      </c>
      <c r="FP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7" s="22">
        <f ca="1">SUMIFS(Table_Process_Details[RV Acidification (kg SO2 equiv.) per kg API],Table_Process_Details[Display Name],Table_Process_Details[[#This Row],[Unique Process Inputs]],Table_Process_Details[Input or Output],"Input")</f>
        <v>0</v>
      </c>
      <c r="FX77" s="1">
        <f ca="1">SUMIFS(Table_Process_Details[RV Acidification (kg SO2 equiv.) per kg API (REAGENT)],Table_Process_Details[Display Name],Table_Process_Details[[#This Row],[Unique Process Inputs]],Table_Process_Details[Input or Output],"Input")</f>
        <v>0</v>
      </c>
      <c r="FY77" s="1">
        <f ca="1">SUMIFS(Table_Process_Details[RV Acidification (kg SO2 equiv.) per kg API (METAL)],Table_Process_Details[Display Name],Table_Process_Details[[#This Row],[Unique Process Inputs]],Table_Process_Details[Input or Output],"Input")</f>
        <v>0</v>
      </c>
      <c r="FZ77" s="1">
        <f ca="1">SUMIFS(Table_Process_Details[RV Acidification (kg SO2 equiv.) per kg API (SOLVENT)],Table_Process_Details[Display Name],Table_Process_Details[[#This Row],[Unique Process Inputs]],Table_Process_Details[Input or Output],"Input")</f>
        <v>0</v>
      </c>
      <c r="GA77" s="1">
        <f ca="1">SUMIFS(Table_Process_Details[RV Acidification (kg SO2 equiv.) per kg API (WATER)],Table_Process_Details[Display Name],Table_Process_Details[[#This Row],[Unique Process Inputs]],Table_Process_Details[Input or Output],"Input")</f>
        <v>0</v>
      </c>
      <c r="GB77" s="1">
        <f ca="1">SUMIFS(Table_Process_Details[RV Acidification (kg SO2 equiv.) per kg API (ENZ&amp;PLNT)],Table_Process_Details[Display Name],Table_Process_Details[[#This Row],[Unique Process Inputs]],Table_Process_Details[Input or Output],"Input")</f>
        <v>0</v>
      </c>
      <c r="GC77" s="1">
        <f ca="1">SUMIFS(Table_Process_Details[RV Acidification (kg SO2 equiv.) per kg API (OTHER)],Table_Process_Details[Display Name],Table_Process_Details[[#This Row],[Unique Process Inputs]],Table_Process_Details[Input or Output],"Input")</f>
        <v>0</v>
      </c>
      <c r="GD7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7" s="22" t="e">
        <f ca="1">SUM(OFFSET(Table_Process_Details['[Acidification (kg SO2 equiv.) per kg API'] of Unique Inputs Sorted by '[Acidification (kg SO2 equiv.) per kg API']],0,0,Table_Process_Details[[#This Row],[Table Row]]))</f>
        <v>#N/A</v>
      </c>
      <c r="GG7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7" s="22" t="e">
        <f ca="1">INDEX(Table_Process_Details[Total '[Acidification (kg SO2 equiv.) per kg API'] of Unique Inputs (REAGENT)], MATCH(Table_Process_Details[[#This Row],[Unique Inputs Sorted by '[Acidification (kg SO2 equiv.) per kg API']]],Table_Process_Details[Unique Process Inputs],0))</f>
        <v>#N/A</v>
      </c>
      <c r="GI77" s="22" t="e">
        <f ca="1">INDEX(Table_Process_Details[Total '[Acidification (kg SO2 equiv.) per kg API'] of Unique Inputs (METAL)], MATCH(Table_Process_Details[[#This Row],[Unique Inputs Sorted by '[Acidification (kg SO2 equiv.) per kg API']]],Table_Process_Details[Unique Process Inputs],0))</f>
        <v>#N/A</v>
      </c>
      <c r="GJ77" s="22" t="e">
        <f ca="1">INDEX(Table_Process_Details[Total '[Acidification (kg SO2 equiv.) per kg API'] of Unique Inputs (SOLVENT)], MATCH(Table_Process_Details[[#This Row],[Unique Inputs Sorted by '[Acidification (kg SO2 equiv.) per kg API']]],Table_Process_Details[Unique Process Inputs],0))</f>
        <v>#N/A</v>
      </c>
      <c r="GK77" s="22" t="e">
        <f ca="1">INDEX(Table_Process_Details[Total '[Acidification (kg SO2 equiv.) per kg API'] of Unique Inputs (WATER)], MATCH(Table_Process_Details[[#This Row],[Unique Inputs Sorted by '[Acidification (kg SO2 equiv.) per kg API']]],Table_Process_Details[Unique Process Inputs],0))</f>
        <v>#N/A</v>
      </c>
      <c r="GL77" s="22" t="e">
        <f ca="1">INDEX(Table_Process_Details[Total '[Acidification (kg SO2 equiv.) per kg API'] of Unique Inputs (ENZ&amp;PLNT)], MATCH(Table_Process_Details[[#This Row],[Unique Inputs Sorted by '[Acidification (kg SO2 equiv.) per kg API']]],Table_Process_Details[Unique Process Inputs],0))</f>
        <v>#N/A</v>
      </c>
      <c r="GM77" s="22" t="e">
        <f ca="1">INDEX(Table_Process_Details[Total '[Acidification (kg SO2 equiv.) per kg API'] of Unique Inputs (OTHER)], MATCH(Table_Process_Details[[#This Row],[Unique Inputs Sorted by '[Acidification (kg SO2 equiv.) per kg API']]],Table_Process_Details[Unique Process Inputs],0))</f>
        <v>#N/A</v>
      </c>
      <c r="GN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7" s="22">
        <f ca="1">SUMIFS(Table_Process_Details[RV Eutrophication (kg phosphate equiv.) per kg API],Table_Process_Details[Display Name],Table_Process_Details[[#This Row],[Unique Process Inputs]],Table_Process_Details[Input or Output],"Input")</f>
        <v>0</v>
      </c>
      <c r="GV77" s="1">
        <f ca="1">SUMIFS(Table_Process_Details[RV Eutrophication (kg phosphate equiv.) per kg API (REAGENT)],Table_Process_Details[Display Name],Table_Process_Details[[#This Row],[Unique Process Inputs]],Table_Process_Details[Input or Output],"Input")</f>
        <v>0</v>
      </c>
      <c r="GW77" s="1">
        <f ca="1">SUMIFS(Table_Process_Details[RV Eutrophication (kg phosphate equiv.) per kg API (METAL)],Table_Process_Details[Display Name],Table_Process_Details[[#This Row],[Unique Process Inputs]],Table_Process_Details[Input or Output],"Input")</f>
        <v>0</v>
      </c>
      <c r="GX77" s="1">
        <f ca="1">SUMIFS(Table_Process_Details[RV Eutrophication (kg phosphate equiv.) per kg API (SOLVENT)],Table_Process_Details[Display Name],Table_Process_Details[[#This Row],[Unique Process Inputs]],Table_Process_Details[Input or Output],"Input")</f>
        <v>0</v>
      </c>
      <c r="GY77" s="1">
        <f ca="1">SUMIFS(Table_Process_Details[RV Eutrophication (kg phosphate equiv.) per kg API (WATER)],Table_Process_Details[Display Name],Table_Process_Details[[#This Row],[Unique Process Inputs]],Table_Process_Details[Input or Output],"Input")</f>
        <v>0</v>
      </c>
      <c r="GZ77" s="1">
        <f ca="1">SUMIFS(Table_Process_Details[RV Eutrophication (kg phosphate equiv.) per kg API (ENZ&amp;PLNT)],Table_Process_Details[Display Name],Table_Process_Details[[#This Row],[Unique Process Inputs]],Table_Process_Details[Input or Output],"Input")</f>
        <v>0</v>
      </c>
      <c r="HA77" s="1">
        <f ca="1">SUMIFS(Table_Process_Details[RV Eutrophication (kg phosphate equiv.) per kg API (OTHER)],Table_Process_Details[Display Name],Table_Process_Details[[#This Row],[Unique Process Inputs]],Table_Process_Details[Input or Output],"Input")</f>
        <v>0</v>
      </c>
      <c r="HB7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7" s="22" t="e">
        <f ca="1">SUM(OFFSET(Table_Process_Details['[Eutrophication (kg posphate equiv.) per kg API'] of Unique Inputs Sorted by '[Eutrophication (kg posphate equiv.) per kg API']],0,0,Table_Process_Details[[#This Row],[Table Row]]))</f>
        <v>#N/A</v>
      </c>
      <c r="HE7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7" s="1" t="e">
        <f ca="1">INDEX(Table_Process_Details[Total '[Eutrophication (kg posphate equiv.) per kg API'] of Unique Inputs (REAGENT)], MATCH(Table_Process_Details[[#This Row],[Unique Inputs Sorted by '[Eutrophication (kg posphate equiv.) per kg API']]],Table_Process_Details[Unique Process Inputs],0))</f>
        <v>#N/A</v>
      </c>
      <c r="HG77" s="1" t="e">
        <f ca="1">INDEX(Table_Process_Details[Total '[Eutrophication (kg posphate equiv.) per kg API'] of Unique Inputs (METAL)], MATCH(Table_Process_Details[[#This Row],[Unique Inputs Sorted by '[Eutrophication (kg posphate equiv.) per kg API']]],Table_Process_Details[Unique Process Inputs],0))</f>
        <v>#N/A</v>
      </c>
      <c r="HH77" s="1" t="e">
        <f ca="1">INDEX(Table_Process_Details[Total '[Eutrophication (kg posphate equiv.) per kg API'] of Unique Inputs (SOLVENT)], MATCH(Table_Process_Details[[#This Row],[Unique Inputs Sorted by '[Eutrophication (kg posphate equiv.) per kg API']]],Table_Process_Details[Unique Process Inputs],0))</f>
        <v>#N/A</v>
      </c>
      <c r="HI77" s="1" t="e">
        <f ca="1">INDEX(Table_Process_Details[Total '[Eutrophication (kg posphate equiv.) per kg API'] of Unique Inputs (WATER)], MATCH(Table_Process_Details[[#This Row],[Unique Inputs Sorted by '[Eutrophication (kg posphate equiv.) per kg API']]],Table_Process_Details[Unique Process Inputs],0))</f>
        <v>#N/A</v>
      </c>
      <c r="HJ77" s="1" t="e">
        <f ca="1">INDEX(Table_Process_Details[Total '[Eutrophication (kg posphate equiv.) per kg API'] of Unique Inputs (ENZ&amp;PLNT)], MATCH(Table_Process_Details[[#This Row],[Unique Inputs Sorted by '[Eutrophication (kg posphate equiv.) per kg API']]],Table_Process_Details[Unique Process Inputs],0))</f>
        <v>#N/A</v>
      </c>
      <c r="HK77" s="1" t="e">
        <f ca="1">INDEX(Table_Process_Details[Total '[Eutrophication (kg posphate equiv.) per kg API'] of Unique Inputs (OTHER)], MATCH(Table_Process_Details[[#This Row],[Unique Inputs Sorted by '[Eutrophication (kg posphate equiv.) per kg API']]],Table_Process_Details[Unique Process Inputs],0))</f>
        <v>#N/A</v>
      </c>
      <c r="HL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7" s="1">
        <f ca="1">SUMIFS(Table_Process_Details[RV Water (kg) per kg API],Table_Process_Details[Display Name],Table_Process_Details[[#This Row],[Unique Process Inputs]],Table_Process_Details[Input or Output],"Input")</f>
        <v>0</v>
      </c>
      <c r="HT77" s="1">
        <f ca="1">SUMIFS(Table_Process_Details[RV Water (kg) per kg API (REAGENT)],Table_Process_Details[Display Name],Table_Process_Details[[#This Row],[Unique Process Inputs]],Table_Process_Details[Input or Output],"Input")</f>
        <v>0</v>
      </c>
      <c r="HU77" s="1">
        <f ca="1">SUMIFS(Table_Process_Details[RV Water (kg) per kg API (METAL)],Table_Process_Details[Display Name],Table_Process_Details[[#This Row],[Unique Process Inputs]],Table_Process_Details[Input or Output],"Input")</f>
        <v>0</v>
      </c>
      <c r="HV77" s="1">
        <f ca="1">SUMIFS(Table_Process_Details[RV Water (kg) per kg API (SOLVENT)],Table_Process_Details[Display Name],Table_Process_Details[[#This Row],[Unique Process Inputs]],Table_Process_Details[Input or Output],"Input")</f>
        <v>0</v>
      </c>
      <c r="HW77" s="1">
        <f ca="1">SUMIFS(Table_Process_Details[RV Water (kg) per kg API (WATER)],Table_Process_Details[Display Name],Table_Process_Details[[#This Row],[Unique Process Inputs]],Table_Process_Details[Input or Output],"Input")</f>
        <v>0</v>
      </c>
      <c r="HX77" s="1">
        <f ca="1">SUMIFS(Table_Process_Details[RV Water (kg) per kg API (ENZ&amp;PLNT)],Table_Process_Details[Display Name],Table_Process_Details[[#This Row],[Unique Process Inputs]],Table_Process_Details[Input or Output],"Input")</f>
        <v>0</v>
      </c>
      <c r="HY77" s="1">
        <f ca="1">SUMIFS(Table_Process_Details[RV Water (kg) per kg API (OTHER)],Table_Process_Details[Display Name],Table_Process_Details[[#This Row],[Unique Process Inputs]],Table_Process_Details[Input or Output],"Input")</f>
        <v>0</v>
      </c>
      <c r="HZ77" s="22" t="e">
        <f ca="1">INDEX(Table_Process_Details[Unique Process Inputs],MATCH(Table_Process_Details[[#This Row],['[Water (kg) per kg API'] of Unique Inputs Sorted by '[Water (kg) per kg API']]],Table_Process_Details[Total '[Water (kg) per kg API'] of Unique Inputs],0))</f>
        <v>#N/A</v>
      </c>
      <c r="IA77" s="22" t="e">
        <f ca="1">IF(LARGE(Table_Process_Details[Total '[Water (kg) per kg API'] of Unique Inputs],Table_Process_Details[[#This Row],[Table Row]])=0,NA(),LARGE(Table_Process_Details[Total '[Water (kg) per kg API'] of Unique Inputs],Table_Process_Details[[#This Row],[Table Row]]))</f>
        <v>#N/A</v>
      </c>
      <c r="IB77" s="1" t="e">
        <f ca="1">SUM(OFFSET(Table_Process_Details['[Water (kg) per kg API'] of Unique Inputs Sorted by '[Water (kg) per kg API']],0,0,Table_Process_Details[[#This Row],[Table Row]]))</f>
        <v>#N/A</v>
      </c>
      <c r="IC77" s="1" t="e">
        <f ca="1">"("&amp;TEXT(Table_Process_Details[[#This Row],['[Water (kg) per kg API'] of Unique Inputs Sorted by '[Water (kg) per kg API']]]/SUMIF(Table_Process_Details['[Water (kg) per kg API'] of Unique Inputs Sorted by '[Water (kg) per kg API']],"&lt;&gt;#N/A"),"0%")&amp;")"</f>
        <v>#N/A</v>
      </c>
      <c r="ID77" s="1" t="e">
        <f ca="1">INDEX(Table_Process_Details[Total '[Water (kg) per kg API'] of Unique Inputs (REAGENT)], MATCH(Table_Process_Details[[#This Row],[Unique Inputs Sorted by '[Water (kg) per kg API']]],Table_Process_Details[Unique Process Inputs],0))</f>
        <v>#N/A</v>
      </c>
      <c r="IE77" s="1" t="e">
        <f ca="1">INDEX(Table_Process_Details[Total '[Water (kg) per kg API'] of Unique Inputs (METAL)], MATCH(Table_Process_Details[[#This Row],[Unique Inputs Sorted by '[Water (kg) per kg API']]],Table_Process_Details[Unique Process Inputs],0))</f>
        <v>#N/A</v>
      </c>
      <c r="IF77" s="1" t="e">
        <f ca="1">INDEX(Table_Process_Details[Total '[Water (kg) per kg API'] of Unique Inputs (SOLVENT)], MATCH(Table_Process_Details[[#This Row],[Unique Inputs Sorted by '[Water (kg) per kg API']]],Table_Process_Details[Unique Process Inputs],0))</f>
        <v>#N/A</v>
      </c>
      <c r="IG77" s="1" t="e">
        <f ca="1">INDEX(Table_Process_Details[Total '[Water (kg) per kg API'] of Unique Inputs (WATER)], MATCH(Table_Process_Details[[#This Row],[Unique Inputs Sorted by '[Water (kg) per kg API']]],Table_Process_Details[Unique Process Inputs],0))</f>
        <v>#N/A</v>
      </c>
      <c r="IH77" s="1" t="e">
        <f ca="1">INDEX(Table_Process_Details[Total '[Water (kg) per kg API'] of Unique Inputs (ENZ&amp;PLNT)], MATCH(Table_Process_Details[[#This Row],[Unique Inputs Sorted by '[Water (kg) per kg API']]],Table_Process_Details[Unique Process Inputs],0))</f>
        <v>#N/A</v>
      </c>
      <c r="II77" s="1" t="e">
        <f ca="1">INDEX(Table_Process_Details[Total '[Water (kg) per kg API'] of Unique Inputs (OTHER)], MATCH(Table_Process_Details[[#This Row],[Unique Inputs Sorted by '[Water (kg) per kg API']]],Table_Process_Details[Unique Process Inputs],0))</f>
        <v>#N/A</v>
      </c>
    </row>
    <row r="78" spans="1:243" customFormat="1" x14ac:dyDescent="0.25">
      <c r="A78" s="22" t="str">
        <f>A77</f>
        <v>4b) Virtual solution prep for (4): 15 wt% reagent K (inorganic) in water</v>
      </c>
      <c r="B78" s="21" t="s">
        <v>4</v>
      </c>
      <c r="C78" s="21" t="s">
        <v>6</v>
      </c>
      <c r="D78" s="22" t="s">
        <v>146</v>
      </c>
      <c r="E78" s="22" t="s">
        <v>814</v>
      </c>
      <c r="F78" s="26">
        <v>85</v>
      </c>
      <c r="G78" s="26"/>
      <c r="H78" s="26"/>
      <c r="I78" s="26"/>
      <c r="J78" s="26" t="str">
        <f>INDEX(Process_Steps[Reference],MATCH(Table_Process_Details[[#This Row],[Step Name]],Process_Steps[Name],0))</f>
        <v>Penultimate Reference Document</v>
      </c>
      <c r="K78" s="27" t="str">
        <f>INDEX(Process_Steps[Real or Virtual?],MATCH(Table_Process_Details[[#This Row],[Step Name]],Process_Steps[Name],0))</f>
        <v>Virtual</v>
      </c>
      <c r="L7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7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78" s="26">
        <f>INDEX(Table_Process_Details[Physical Mass (kg)],MATCH(1,INDEX(((Table_Process_Details[Step Name]=Table_Process_Details[[#This Row],[Step Name]])*(Table_Process_Details[Input or Output]="Output")),0),0))</f>
        <v>100</v>
      </c>
      <c r="O78" s="29">
        <f ca="1">INDEX(Process_Steps[Step Scale Factor for 1kg Packaged API],MATCH(Table_Process_Details[[#This Row],[Step Name]],Process_Steps[Name],0))</f>
        <v>5.5055973573133098E-2</v>
      </c>
      <c r="P7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15.666666666666666</v>
      </c>
      <c r="Q7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4.6666666666666679</v>
      </c>
      <c r="R78" s="26">
        <f ca="1">_xlfn.SWITCH(Run_Reset_PNG,"Reset",Table_Process_Details[[#This Row],[X Init]],"Run",Table_Process_Details[[#This Row],[X Moved]],"Freeze",Table_Process_Details[[#This Row],[X Mover]])</f>
        <v>13.294540506371062</v>
      </c>
      <c r="S78" s="26">
        <f ca="1">_xlfn.SWITCH(Run_Reset_PNG,"Reset",Table_Process_Details[[#This Row],[Y Init]],"Run",Table_Process_Details[[#This Row],[Y Moved]],"Freeze",Table_Process_Details[[#This Row],[Y Mover]])</f>
        <v>-15.288248570268166</v>
      </c>
      <c r="T78" s="26" cm="1">
        <f t="array" aca="1" ref="T7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-3.1645244109298059</v>
      </c>
      <c r="U78" s="26" cm="1">
        <f t="array" aca="1" ref="U7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-4.2040408068993056</v>
      </c>
      <c r="V78" s="26" cm="1">
        <f t="array" aca="1" ref="V78" ca="1">SUM(--(SQRT((Table_Process_Details[[#This Row],[X Mover]]-Table_Process_Details[X Mover])^2+(Table_Process_Details[[#This Row],[Y Mover]]-Table_Process_Details[Y Mover])^2)&lt;Collision_Distance))</f>
        <v>7</v>
      </c>
      <c r="W78" s="26" cm="1">
        <f t="array" aca="1" ref="W7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0.52655837477863965</v>
      </c>
      <c r="X78" s="26" cm="1">
        <f t="array" aca="1" ref="X7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0.49138072355782658</v>
      </c>
      <c r="Y78" s="26" cm="1">
        <f t="array" aca="1" ref="Y7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78" s="26">
        <f>0</f>
        <v>0</v>
      </c>
      <c r="AA78" s="26">
        <f>0</f>
        <v>0</v>
      </c>
      <c r="AB7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-6.647270253185531</v>
      </c>
      <c r="AC78" s="26" cm="1">
        <f t="array" aca="1" ref="AC7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7.6441242851340832</v>
      </c>
      <c r="AD78" s="26">
        <f>MIN(1,COUNTA(Table_Process_Details[[#This Row],[target x]]),COUNTA(Table_Process_Details[[#This Row],[target y]]))*COUNTA(Table_Process_Details[Step Name])</f>
        <v>98</v>
      </c>
      <c r="AE7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13.301194677004775</v>
      </c>
      <c r="AF7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-15.319443836623158</v>
      </c>
      <c r="AG7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78" s="26" cm="1">
        <f t="array" aca="1" ref="AH78" ca="1">INDEX(Table_Process_Details[X Mover],MATCH(1,INDEX((Table_Process_Details[Input or Output]="Output")*(Table_Process_Details[Step Name]=Table_Process_Details[[#This Row],[Step Name]])*(Table_Process_Details[[#This Row],[Input or Output]]="Input"),0),0))</f>
        <v>16.540976308170244</v>
      </c>
      <c r="AI78" s="26" cm="1">
        <f t="array" aca="1" ref="AI78" ca="1">INDEX(Table_Process_Details[Y Mover],MATCH(1,INDEX((Table_Process_Details[Input or Output]="Output")*(Table_Process_Details[Step Name]=Table_Process_Details[[#This Row],[Step Name]])*(Table_Process_Details[[#This Row],[Input or Output]]="Input"),0),0))</f>
        <v>-12.258696578159528</v>
      </c>
      <c r="AJ78" s="26" t="e">
        <f ca="1">SQRT((Table_Process_Details[[#This Row],[X End (To Node Center)]]-Table_Process_Details[[#This Row],[X Guide]])^2+(Table_Process_Details[[#This Row],[Y End (to Node Center)]]-Table_Process_Details[[#This Row],[Y Guide]])^2)</f>
        <v>#N/A</v>
      </c>
      <c r="AK78" s="26" t="e" cm="1">
        <f t="array" ref="AK78">INDEX(Table_Process_Details[X Mover],MATCH(1,INDEX((Table_Process_Details[Step Name]=Table_Process_Details[[#This Row],[LCA Data Source Subclass]])*(Table_Process_Details[Input or Output]="Output"),0)*(Table_Process_Details[[#This Row],[Input or Output]]="Input"),0))</f>
        <v>#N/A</v>
      </c>
      <c r="AL78" s="26" cm="1">
        <f t="array" aca="1" ref="AL78" ca="1">INDEX(Table_Process_Details[X Mover],MATCH(1,INDEX(((Table_Process_Details[Table Row]=Table_Process_Details[[#This Row],[Table Row]])*(1)),0)*(Table_Process_Details[[#This Row],[Input or Output]]="Input"),0))</f>
        <v>13.294540506371062</v>
      </c>
      <c r="AM78" s="26" t="e" cm="1">
        <f t="array" aca="1" ref="AM78" ca="1">(Table_Process_Details[[#This Row],[X End (To Node Center)]]*Table_Process_Details[[#This Row],[r0]]-Table_Process_Details[[#This Row],[X End (To Node Center)]]*Arrow_Offset+Table_Process_Details[[#This Row],[X Guide]]*Arrow_Offset)/Table_Process_Details[[#This Row],[r0]]</f>
        <v>#N/A</v>
      </c>
      <c r="AN78" s="26" t="e">
        <f>IF(NOT(Table_Process_Details[[#This Row],[Display As]]="None"),Table_Process_Details[[#This Row],[X Start Prefilter]],NA())</f>
        <v>#N/A</v>
      </c>
      <c r="AO78" s="26" t="e">
        <f>IF(NOT(Table_Process_Details[[#This Row],[Display As]]="None"),Table_Process_Details[[#This Row],[X Guide Prefilter]],NA())</f>
        <v>#N/A</v>
      </c>
      <c r="AP78" s="26" t="e">
        <f>IF(NOT(Table_Process_Details[[#This Row],[Display As]]="None"),Table_Process_Details[[#This Row],[X End (to Stop Radius) Prefilter]],NA())</f>
        <v>#N/A</v>
      </c>
      <c r="AQ78" s="26" t="e">
        <f>NA()</f>
        <v>#N/A</v>
      </c>
      <c r="AR78" s="26" t="e" cm="1">
        <f t="array" ref="AR78">INDEX(Table_Process_Details[Y Mover],MATCH(1,INDEX((Table_Process_Details[Step Name]=Table_Process_Details[[#This Row],[LCA Data Source Subclass]])*(Table_Process_Details[Input or Output]="Output"),0)*(Table_Process_Details[[#This Row],[Input or Output]]="Input"),0))</f>
        <v>#N/A</v>
      </c>
      <c r="AS78" s="26" cm="1">
        <f t="array" aca="1" ref="AS78" ca="1">INDEX(Table_Process_Details[Y Mover],MATCH(1,INDEX(((Table_Process_Details[Table Row]=Table_Process_Details[[#This Row],[Table Row]])*(1)),0)*(Table_Process_Details[[#This Row],[Input or Output]]="Input"),0))</f>
        <v>-15.288248570268166</v>
      </c>
      <c r="AT78" s="26" t="e" cm="1">
        <f t="array" aca="1" ref="AT78" ca="1">(Table_Process_Details[[#This Row],[Y Guide]]*Arrow_Offset-Table_Process_Details[[#This Row],[Y End (to Node Center)]]*Arrow_Offset+Table_Process_Details[[#This Row],[Y End (to Node Center)]]*Table_Process_Details[[#This Row],[r0]])/Table_Process_Details[[#This Row],[r0]]</f>
        <v>#N/A</v>
      </c>
      <c r="AU78" s="26" t="e">
        <f>IF(NOT(Table_Process_Details[[#This Row],[Display As]]="None"),Table_Process_Details[[#This Row],[Y Start Prefilter]],NA())</f>
        <v>#N/A</v>
      </c>
      <c r="AV78" s="26" t="e">
        <f>IF(NOT(Table_Process_Details[[#This Row],[Display As]]="None"),Table_Process_Details[[#This Row],[Y Guide Prefilter]],NA())</f>
        <v>#N/A</v>
      </c>
      <c r="AW78" s="26" t="e">
        <f>IF(NOT(Table_Process_Details[[#This Row],[Display As]]="None"),Table_Process_Details[[#This Row],[Y End (to Stop Radius) Prefilter]],NA())</f>
        <v>#N/A</v>
      </c>
      <c r="AX78" s="26" t="e">
        <f>NA()</f>
        <v>#N/A</v>
      </c>
      <c r="AY78" s="26" t="e">
        <f>IF(Table_Process_Details[[#This Row],[Display As]]="Real Step",Table_Process_Details[[#This Row],[X Mover]],NA())</f>
        <v>#N/A</v>
      </c>
      <c r="AZ78" s="26" t="e">
        <f>IF(Table_Process_Details[[#This Row],[Display As]]="Real Step",Table_Process_Details[[#This Row],[Y Mover]],NA())</f>
        <v>#N/A</v>
      </c>
      <c r="BA78" s="26" t="e">
        <f>IF(Table_Process_Details[[#This Row],[Display As]]="Raw Material",Table_Process_Details[[#This Row],[X Mover]],NA())</f>
        <v>#N/A</v>
      </c>
      <c r="BB78" s="26" t="e">
        <f>IF(Table_Process_Details[[#This Row],[Display As]]="Raw Material",Table_Process_Details[[#This Row],[Y Mover]],NA())</f>
        <v>#N/A</v>
      </c>
      <c r="BC78" s="26" t="e">
        <f>IF(OR(Table_Process_Details[[#This Row],[Display As]]="Real Step",Table_Process_Details[[#This Row],[Display As]]="Raw Material"),Table_Process_Details[[#This Row],[X Mover]],NA())</f>
        <v>#N/A</v>
      </c>
      <c r="BD78" s="26" t="e">
        <f>IF(OR(Table_Process_Details[[#This Row],[Display As]]="Real Step",Table_Process_Details[[#This Row],[Display As]]="Raw Material"),Table_Process_Details[[#This Row],[Y Mover]],NA())</f>
        <v>#N/A</v>
      </c>
      <c r="BE78" s="22">
        <f>ROW()-ROW(Table_Process_Details[[#Headers],[Table Row]])</f>
        <v>74</v>
      </c>
      <c r="BF78" s="23" t="e" cm="1">
        <f t="array" aca="1" ref="BF78" ca="1">INDEX(Table_Process_Details[Display Name],MATCH(0,IF(Table_Process_Details[Input or Output]="Input",INDEX(COUNTIF(OFFSET(Table_Process_Details[[#Headers],[Unique Process Inputs]],0,0,Table_Process_Details[[#This Row],[Table Row]],1),Table_Process_Details[Display Name]),),""),0))</f>
        <v>#N/A</v>
      </c>
      <c r="BG78" s="23">
        <f ca="1">Table_Process_Details[[#This Row],[Physical Mass (kg)]]*Table_Process_Details[[#This Row],[Step Scale Factor for 1kg Packaged API]]</f>
        <v>4.6797577537163129</v>
      </c>
      <c r="BH7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8" s="23">
        <f ca="1">MATCH(Table_Process_Details[[#This Row],[LCA Data Source Class]],INDIRECT(Table_Process_Details[[#This Row],[Input or Output]]),0)</f>
        <v>2</v>
      </c>
      <c r="BJ78" s="23">
        <f ca="1">MATCH(Table_Process_Details[[#This Row],[LCA Data Source Subclass]],INDIRECT(Table_Process_Details[[#This Row],[LCA Data Source Class]]&amp;"[Name]"),0)</f>
        <v>64</v>
      </c>
      <c r="BK78" s="23">
        <f ca="1">IFERROR(INDEX(INDIRECT(Table_Process_Details[[#This Row],[LCA Data Source Class]]&amp;"[Mass Net (kg)]"),MATCH(Table_Process_Details[[#This Row],[LCA Data Source Subclass]],INDIRECT(Table_Process_Details[[#This Row],[LCA Data Source Class]]&amp;"[Name]"),0)),0)</f>
        <v>1.5302652999999999E-3</v>
      </c>
      <c r="BL78" s="23">
        <f ca="1">IFERROR(INDEX(INDIRECT(Table_Process_Details[[#This Row],[LCA Data Source Class]]&amp;"[Energy (MJ)]"),MATCH(Table_Process_Details[[#This Row],[LCA Data Source Subclass]],INDIRECT(Table_Process_Details[[#This Row],[LCA Data Source Class]]&amp;"[Name]"),0)),0)</f>
        <v>1.9058192000000002E-2</v>
      </c>
      <c r="BM78" s="23">
        <f ca="1">IFERROR(INDEX(INDIRECT(Table_Process_Details[[#This Row],[LCA Data Source Class]]&amp;"[GWP (kg CO2 equiv.)]"),MATCH(Table_Process_Details[[#This Row],[LCA Data Source Subclass]],INDIRECT(Table_Process_Details[[#This Row],[LCA Data Source Class]]&amp;"[Name]"),0)),0)</f>
        <v>1.015742E-3</v>
      </c>
      <c r="BN78" s="23">
        <f ca="1">IFERROR(INDEX(INDIRECT(Table_Process_Details[[#This Row],[LCA Data Source Class]]&amp;"[Acidification (kg SO2 equiv.)]"),MATCH(Table_Process_Details[[#This Row],[LCA Data Source Subclass]],INDIRECT(Table_Process_Details[[#This Row],[LCA Data Source Class]]&amp;"[Name]"),0)),0)</f>
        <v>3.8914349999999996E-6</v>
      </c>
      <c r="BO78" s="23">
        <f ca="1">IFERROR(INDEX(INDIRECT(Table_Process_Details[[#This Row],[LCA Data Source Class]]&amp;"[Eutrophication (kg posphate equiv.)]"),MATCH(Table_Process_Details[[#This Row],[LCA Data Source Subclass]],INDIRECT(Table_Process_Details[[#This Row],[LCA Data Source Class]]&amp;"[Name]"),0)),0)</f>
        <v>2.3181694000000001E-6</v>
      </c>
      <c r="BP78" s="23">
        <f ca="1">IFERROR(INDEX(INDIRECT(Table_Process_Details[[#This Row],[LCA Data Source Class]]&amp;"[Water (kg)]"),MATCH(Table_Process_Details[[#This Row],[LCA Data Source Subclass]],INDIRECT(Table_Process_Details[[#This Row],[LCA Data Source Class]]&amp;"[Name]"),0)),0)</f>
        <v>1.2633490999999999</v>
      </c>
      <c r="BQ78" s="27">
        <f ca="1">(Table_Process_Details[[#This Row],[Input or Output]]="Input")*(Table_Process_Details[[#This Row],[LCA Data Source Class]]&lt;&gt;"Process_Steps")*Table_Process_Details[[#This Row],[Scaled Physical Mass per kg API for All Inputs &amp; Outputs]]</f>
        <v>4.6797577537163129</v>
      </c>
      <c r="BR78" s="27">
        <f ca="1">(Table_Process_Details[[#This Row],[Material Class]]="REAGENT")*Table_Process_Details[[#This Row],[Physical Mass per kg API]]</f>
        <v>0</v>
      </c>
      <c r="BS78" s="27">
        <f ca="1">(Table_Process_Details[[#This Row],[Material Class]]="METAL")*Table_Process_Details[[#This Row],[Physical Mass per kg API]]</f>
        <v>0</v>
      </c>
      <c r="BT78" s="27">
        <f ca="1">(Table_Process_Details[[#This Row],[Material Class]]="SOLVENT")*Table_Process_Details[[#This Row],[Physical Mass per kg API]]</f>
        <v>0</v>
      </c>
      <c r="BU78" s="27">
        <f ca="1">(Table_Process_Details[[#This Row],[Material Class]]="WATER")*Table_Process_Details[[#This Row],[Physical Mass per kg API]]</f>
        <v>4.6797577537163129</v>
      </c>
      <c r="BV78" s="27">
        <f ca="1">(Table_Process_Details[[#This Row],[Material Class]]="ENZ&amp;PLNT")*Table_Process_Details[[#This Row],[Physical Mass per kg API]]</f>
        <v>0</v>
      </c>
      <c r="BW78" s="27">
        <f ca="1">(Table_Process_Details[[#This Row],[Material Class]]="OTHER")*Table_Process_Details[[#This Row],[Physical Mass per kg API]]</f>
        <v>0</v>
      </c>
      <c r="BX7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8" s="1">
        <f ca="1">SUMIFS(Table_Process_Details[RV Physical Mass per kg API],Table_Process_Details[Display Name],Table_Process_Details[[#This Row],[Unique Process Inputs]],Table_Process_Details[Input or Output],"Input")</f>
        <v>0</v>
      </c>
      <c r="CF78" s="1">
        <f ca="1">SUMIFS(Table_Process_Details[RV Physical Mass per kg API (REAGENT)],Table_Process_Details[Display Name],Table_Process_Details[[#This Row],[Unique Process Inputs]],Table_Process_Details[Input or Output],"Input")</f>
        <v>0</v>
      </c>
      <c r="CG78" s="1">
        <f ca="1">SUMIFS(Table_Process_Details[RV Physical Mass per kg API (METAL)],Table_Process_Details[Display Name],Table_Process_Details[[#This Row],[Unique Process Inputs]],Table_Process_Details[Input or Output],"Input")</f>
        <v>0</v>
      </c>
      <c r="CH78" s="1">
        <f ca="1">SUMIFS(Table_Process_Details[RV Physical Mass per kg API (SOLVENT)],Table_Process_Details[Display Name],Table_Process_Details[[#This Row],[Unique Process Inputs]],Table_Process_Details[Input or Output],"Input")</f>
        <v>0</v>
      </c>
      <c r="CI78" s="1">
        <f ca="1">SUMIFS(Table_Process_Details[RV Physical Mass per kg API (WATER)],Table_Process_Details[Display Name],Table_Process_Details[[#This Row],[Unique Process Inputs]],Table_Process_Details[Input or Output],"Input")</f>
        <v>0</v>
      </c>
      <c r="CJ78" s="1">
        <f ca="1">SUMIFS(Table_Process_Details[RV Physical Mass per kg API (ENZ&amp;PLNT)],Table_Process_Details[Display Name],Table_Process_Details[[#This Row],[Unique Process Inputs]],Table_Process_Details[Input or Output],"Input")</f>
        <v>0</v>
      </c>
      <c r="CK78" s="1">
        <f ca="1">SUMIFS(Table_Process_Details[RV Physical Mass per kg API (OTHER)],Table_Process_Details[Display Name],Table_Process_Details[[#This Row],[Unique Process Inputs]],Table_Process_Details[Input or Output],"Input")</f>
        <v>0</v>
      </c>
      <c r="CL78" s="22" t="e">
        <f ca="1">INDEX(Table_Process_Details[Unique Process Inputs],MATCH(Table_Process_Details[[#This Row],['[Physical Mass per kg API'] of Unique Inputs Sorted by '[Physical Mass per kg API']]],Table_Process_Details[Total '[Physical Mass per kg API'] of Unique Inputs],0))</f>
        <v>#N/A</v>
      </c>
      <c r="CM78" s="22" t="e">
        <f ca="1">IF(LARGE(Table_Process_Details[Total '[Physical Mass per kg API'] of Unique Inputs],Table_Process_Details[[#This Row],[Table Row]])=0,NA(),LARGE(Table_Process_Details[Total '[Physical Mass per kg API'] of Unique Inputs],Table_Process_Details[[#This Row],[Table Row]]))</f>
        <v>#N/A</v>
      </c>
      <c r="CN78" s="22" t="e">
        <f ca="1">SUM(OFFSET(Table_Process_Details['[Physical Mass per kg API'] of Unique Inputs Sorted by '[Physical Mass per kg API']],0,0,Table_Process_Details[[#This Row],[Table Row]]))</f>
        <v>#N/A</v>
      </c>
      <c r="CO78" s="22" t="e">
        <f ca="1">"("&amp;TEXT(Table_Process_Details[[#This Row],['[Physical Mass per kg API'] of Unique Inputs Sorted by '[Physical Mass per kg API']]]/SUMIF(Table_Process_Details['[Physical Mass per kg API'] of Unique Inputs Sorted by '[Physical Mass per kg API']],"&lt;&gt;#N/A"),"0%")&amp;")"</f>
        <v>#N/A</v>
      </c>
      <c r="CP78" s="22" t="e">
        <f ca="1">INDEX(Table_Process_Details[Total '[Physical Mass per kg API'] of Unique Inputs (REAGENT)],MATCH(Table_Process_Details[[#This Row],[Unique Inputs Sorted by '[Physical Mass per kg API']]],Table_Process_Details[Unique Process Inputs],0))</f>
        <v>#N/A</v>
      </c>
      <c r="CQ78" s="22" t="e">
        <f ca="1">INDEX(Table_Process_Details[Total '[Physical Mass per kg API'] of Unique Inputs (METAL)],MATCH(Table_Process_Details[[#This Row],[Unique Inputs Sorted by '[Physical Mass per kg API']]],Table_Process_Details[Unique Process Inputs],0))</f>
        <v>#N/A</v>
      </c>
      <c r="CR78" s="22" t="e">
        <f ca="1">INDEX(Table_Process_Details[Total '[Physical Mass per kg API'] of Unique Inputs (SOLVENT)],MATCH(Table_Process_Details[[#This Row],[Unique Inputs Sorted by '[Physical Mass per kg API']]],Table_Process_Details[Unique Process Inputs],0))</f>
        <v>#N/A</v>
      </c>
      <c r="CS78" s="22" t="e">
        <f ca="1">INDEX(Table_Process_Details[Total '[Physical Mass per kg API'] of Unique Inputs (WATER)],MATCH(Table_Process_Details[[#This Row],[Unique Inputs Sorted by '[Physical Mass per kg API']]],Table_Process_Details[Unique Process Inputs],0))</f>
        <v>#N/A</v>
      </c>
      <c r="CT78" s="22" t="e">
        <f ca="1">INDEX(Table_Process_Details[Total '[Physical Mass per kg API'] of Unique Inputs (ENZ&amp;PLNT)],MATCH(Table_Process_Details[[#This Row],[Unique Inputs Sorted by '[Physical Mass per kg API']]],Table_Process_Details[Unique Process Inputs],0))</f>
        <v>#N/A</v>
      </c>
      <c r="CU78" s="22" t="e">
        <f ca="1">INDEX(Table_Process_Details[Total '[Physical Mass per kg API'] of Unique Inputs (OTHER)],MATCH(Table_Process_Details[[#This Row],[Unique Inputs Sorted by '[Physical Mass per kg API']]],Table_Process_Details[Unique Process Inputs],0))</f>
        <v>#N/A</v>
      </c>
      <c r="CV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8" s="22">
        <f ca="1">SUMIFS(Table_Process_Details[RV Mass Net (kg) per kg API],Table_Process_Details[Display Name],Table_Process_Details[[#This Row],[Unique Process Inputs]],Table_Process_Details[Input or Output],"Input")</f>
        <v>0</v>
      </c>
      <c r="DD78" s="22">
        <f ca="1">SUMIFS(Table_Process_Details[RV Mass Net (kg) per kg API (REAGENT)],Table_Process_Details[Display Name],Table_Process_Details[[#This Row],[Unique Process Inputs]],Table_Process_Details[Input or Output],"Input")</f>
        <v>0</v>
      </c>
      <c r="DE78" s="22">
        <f ca="1">SUMIFS(Table_Process_Details[RV Mass Net (kg) per kg API (METAL)],Table_Process_Details[Display Name],Table_Process_Details[[#This Row],[Unique Process Inputs]],Table_Process_Details[Input or Output],"Input")</f>
        <v>0</v>
      </c>
      <c r="DF78" s="22">
        <f ca="1">SUMIFS(Table_Process_Details[RV Mass Net (kg) per kg API (SOLVENT)],Table_Process_Details[Display Name],Table_Process_Details[[#This Row],[Unique Process Inputs]],Table_Process_Details[Input or Output],"Input")</f>
        <v>0</v>
      </c>
      <c r="DG78" s="22">
        <f ca="1">SUMIFS(Table_Process_Details[RV Mass Net (kg) per kg API (WATER)],Table_Process_Details[Display Name],Table_Process_Details[[#This Row],[Unique Process Inputs]],Table_Process_Details[Input or Output],"Input")</f>
        <v>0</v>
      </c>
      <c r="DH78" s="22">
        <f ca="1">SUMIFS(Table_Process_Details[RV Mass Net (kg) per kg API (ENZ&amp;PLNT)],Table_Process_Details[Display Name],Table_Process_Details[[#This Row],[Unique Process Inputs]],Table_Process_Details[Input or Output],"Input")</f>
        <v>0</v>
      </c>
      <c r="DI78" s="22">
        <f ca="1">SUMIFS(Table_Process_Details[RV Mass Net (kg) per kg API (OTHER)],Table_Process_Details[Display Name],Table_Process_Details[[#This Row],[Unique Process Inputs]],Table_Process_Details[Input or Output],"Input")</f>
        <v>0</v>
      </c>
      <c r="DJ78" s="22" t="e">
        <f ca="1">INDEX(Table_Process_Details[Unique Process Inputs],MATCH(Table_Process_Details[[#This Row],['[Mass Net (kg) per kg API'] of Unique Inputs Sorted by '[Mass Net (kg) per kg API']]],Table_Process_Details[Total '[Mass Net (kg) per kg API'] of Unique Inputs],0))</f>
        <v>#N/A</v>
      </c>
      <c r="DK78" s="22" t="e">
        <f ca="1">IF(LARGE(Table_Process_Details[Total '[Mass Net (kg) per kg API'] of Unique Inputs],Table_Process_Details[[#This Row],[Table Row]])=0,NA(),LARGE(Table_Process_Details[Total '[Mass Net (kg) per kg API'] of Unique Inputs],Table_Process_Details[[#This Row],[Table Row]]))</f>
        <v>#N/A</v>
      </c>
      <c r="DL78" s="22" t="e">
        <f ca="1">SUM(OFFSET(Table_Process_Details['[Mass Net (kg) per kg API'] of Unique Inputs Sorted by '[Mass Net (kg) per kg API']],0,0,Table_Process_Details[[#This Row],[Table Row]]))</f>
        <v>#N/A</v>
      </c>
      <c r="DM78" s="22" t="e">
        <f ca="1">"("&amp;TEXT(Table_Process_Details[[#This Row],['[Mass Net (kg) per kg API'] of Unique Inputs Sorted by '[Mass Net (kg) per kg API']]]/SUMIF(Table_Process_Details['[Mass Net (kg) per kg API'] of Unique Inputs Sorted by '[Mass Net (kg) per kg API']],"&lt;&gt;#N/A"),"0%")&amp;")"</f>
        <v>#N/A</v>
      </c>
      <c r="DN78" s="22" t="e">
        <f ca="1">INDEX(Table_Process_Details[Total '[Mass Net (kg) per kg API'] of Unique Inputs (REAGENT)], MATCH(Table_Process_Details[[#This Row],[Unique Inputs Sorted by '[Mass Net (kg) per kg API']]],Table_Process_Details[Unique Process Inputs],0))</f>
        <v>#N/A</v>
      </c>
      <c r="DO78" s="22" t="e">
        <f ca="1">INDEX(Table_Process_Details[Total '[Mass Net (kg) per kg API'] of Unique Inputs (METAL)], MATCH(Table_Process_Details[[#This Row],[Unique Inputs Sorted by '[Mass Net (kg) per kg API']]],Table_Process_Details[Unique Process Inputs],0))</f>
        <v>#N/A</v>
      </c>
      <c r="DP78" s="22" t="e">
        <f ca="1">INDEX(Table_Process_Details[Total '[Mass Net (kg) per kg API'] of Unique Inputs (SOLVENT)], MATCH(Table_Process_Details[[#This Row],[Unique Inputs Sorted by '[Mass Net (kg) per kg API']]],Table_Process_Details[Unique Process Inputs],0))</f>
        <v>#N/A</v>
      </c>
      <c r="DQ78" s="22" t="e">
        <f ca="1">INDEX(Table_Process_Details[Total '[Mass Net (kg) per kg API'] of Unique Inputs (WATER)], MATCH(Table_Process_Details[[#This Row],[Unique Inputs Sorted by '[Mass Net (kg) per kg API']]],Table_Process_Details[Unique Process Inputs],0))</f>
        <v>#N/A</v>
      </c>
      <c r="DR78" s="22" t="e">
        <f ca="1">INDEX(Table_Process_Details[Total '[Mass Net (kg) per kg API'] of Unique Inputs (ENZ&amp;PLNT)], MATCH(Table_Process_Details[[#This Row],[Unique Inputs Sorted by '[Mass Net (kg) per kg API']]],Table_Process_Details[Unique Process Inputs],0))</f>
        <v>#N/A</v>
      </c>
      <c r="DS78" s="22" t="e">
        <f ca="1">INDEX(Table_Process_Details[Total '[Mass Net (kg) per kg API'] of Unique Inputs (OTHER)], MATCH(Table_Process_Details[[#This Row],[Unique Inputs Sorted by '[Mass Net (kg) per kg API']]],Table_Process_Details[Unique Process Inputs],0))</f>
        <v>#N/A</v>
      </c>
      <c r="DT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8" s="1">
        <f ca="1">SUMIFS(Table_Process_Details[RV Energy (MJ) per kg API],Table_Process_Details[Display Name],Table_Process_Details[[#This Row],[Unique Process Inputs]],Table_Process_Details[Input or Output],"Input")</f>
        <v>0</v>
      </c>
      <c r="EB78" s="1">
        <f ca="1">SUMIFS(Table_Process_Details[RV Energy (MJ) per kg API (REAGENT)],Table_Process_Details[Display Name],Table_Process_Details[[#This Row],[Unique Process Inputs]],Table_Process_Details[Input or Output],"Input")</f>
        <v>0</v>
      </c>
      <c r="EC78" s="1">
        <f ca="1">SUMIFS(Table_Process_Details[RV Energy (MJ) per kg API (METAL)],Table_Process_Details[Display Name],Table_Process_Details[[#This Row],[Unique Process Inputs]],Table_Process_Details[Input or Output],"Input")</f>
        <v>0</v>
      </c>
      <c r="ED78" s="1">
        <f ca="1">SUMIFS(Table_Process_Details[RV Energy (MJ) per kg API (SOLVENT)],Table_Process_Details[Display Name],Table_Process_Details[[#This Row],[Unique Process Inputs]],Table_Process_Details[Input or Output],"Input")</f>
        <v>0</v>
      </c>
      <c r="EE78" s="1">
        <f ca="1">SUMIFS(Table_Process_Details[RV Energy (MJ) per kg API (WATER)],Table_Process_Details[Display Name],Table_Process_Details[[#This Row],[Unique Process Inputs]],Table_Process_Details[Input or Output],"Input")</f>
        <v>0</v>
      </c>
      <c r="EF78" s="1">
        <f ca="1">SUMIFS(Table_Process_Details[RV Energy (MJ) per kg API (ENZ&amp;PLNT)],Table_Process_Details[Display Name],Table_Process_Details[[#This Row],[Unique Process Inputs]],Table_Process_Details[Input or Output],"Input")</f>
        <v>0</v>
      </c>
      <c r="EG78" s="1">
        <f ca="1">SUMIFS(Table_Process_Details[RV Energy (MJ) per kg API (OTHER)],Table_Process_Details[Display Name],Table_Process_Details[[#This Row],[Unique Process Inputs]],Table_Process_Details[Input or Output],"Input")</f>
        <v>0</v>
      </c>
      <c r="EH78" s="1" t="e">
        <f ca="1">INDEX(Table_Process_Details[Unique Process Inputs],MATCH(Table_Process_Details[[#This Row],['[Energy (MJ) per kg API'] of Unique Inputs Sorted by '[Energy (MJ) per kg API']]],Table_Process_Details[Total '[Energy (MJ) per kg API'] of Unique Inputs],0))</f>
        <v>#N/A</v>
      </c>
      <c r="EI78" s="22" t="e">
        <f ca="1">IF(LARGE(Table_Process_Details[Total '[Energy (MJ) per kg API'] of Unique Inputs],Table_Process_Details[[#This Row],[Table Row]])=0,NA(),LARGE(Table_Process_Details[Total '[Energy (MJ) per kg API'] of Unique Inputs],Table_Process_Details[[#This Row],[Table Row]]))</f>
        <v>#N/A</v>
      </c>
      <c r="EJ78" s="22" t="e">
        <f ca="1">SUM(OFFSET(Table_Process_Details['[Energy (MJ) per kg API'] of Unique Inputs Sorted by '[Energy (MJ) per kg API']],0,0,Table_Process_Details[[#This Row],[Table Row]]))</f>
        <v>#N/A</v>
      </c>
      <c r="EK78" s="22" t="e">
        <f ca="1">"("&amp;TEXT(Table_Process_Details[[#This Row],['[Energy (MJ) per kg API'] of Unique Inputs Sorted by '[Energy (MJ) per kg API']]]/SUMIF(Table_Process_Details['[Energy (MJ) per kg API'] of Unique Inputs Sorted by '[Energy (MJ) per kg API']],"&lt;&gt;#N/A"),"0%")&amp;")"</f>
        <v>#N/A</v>
      </c>
      <c r="EL78" s="22" t="e">
        <f ca="1">INDEX(Table_Process_Details[Total '[Energy (MJ) per kg API'] of Unique Inputs (REAGENT)], MATCH(Table_Process_Details[[#This Row],[Unique Inputs Sorted by '[Energy (MJ) per kg API']]],Table_Process_Details[Unique Process Inputs],0))</f>
        <v>#N/A</v>
      </c>
      <c r="EM78" s="22" t="e">
        <f ca="1">INDEX(Table_Process_Details[Total '[Energy (MJ) per kg API'] of Unique Inputs (METAL)], MATCH(Table_Process_Details[[#This Row],[Unique Inputs Sorted by '[Energy (MJ) per kg API']]],Table_Process_Details[Unique Process Inputs],0))</f>
        <v>#N/A</v>
      </c>
      <c r="EN78" s="22" t="e">
        <f ca="1">INDEX(Table_Process_Details[Total '[Energy (MJ) per kg API'] of Unique Inputs (SOLVENT)], MATCH(Table_Process_Details[[#This Row],[Unique Inputs Sorted by '[Energy (MJ) per kg API']]],Table_Process_Details[Unique Process Inputs],0))</f>
        <v>#N/A</v>
      </c>
      <c r="EO78" s="22" t="e">
        <f ca="1">INDEX(Table_Process_Details[Total '[Energy (MJ) per kg API'] of Unique Inputs (WATER)], MATCH(Table_Process_Details[[#This Row],[Unique Inputs Sorted by '[Energy (MJ) per kg API']]],Table_Process_Details[Unique Process Inputs],0))</f>
        <v>#N/A</v>
      </c>
      <c r="EP78" s="22" t="e">
        <f ca="1">INDEX(Table_Process_Details[Total '[Energy (MJ) per kg API'] of Unique Inputs (ENZ&amp;PLNT)], MATCH(Table_Process_Details[[#This Row],[Unique Inputs Sorted by '[Energy (MJ) per kg API']]],Table_Process_Details[Unique Process Inputs],0))</f>
        <v>#N/A</v>
      </c>
      <c r="EQ78" s="22" t="e">
        <f ca="1">INDEX(Table_Process_Details[Total '[Energy (MJ) per kg API'] of Unique Inputs (OTHER)], MATCH(Table_Process_Details[[#This Row],[Unique Inputs Sorted by '[Energy (MJ) per kg API']]],Table_Process_Details[Unique Process Inputs],0))</f>
        <v>#N/A</v>
      </c>
      <c r="ER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8" s="22">
        <f ca="1">SUMIFS(Table_Process_Details[RV GWP (kg CO2 equiv.) per kg API],Table_Process_Details[Display Name],Table_Process_Details[[#This Row],[Unique Process Inputs]],Table_Process_Details[Input or Output],"Input")</f>
        <v>0</v>
      </c>
      <c r="EZ78" s="1">
        <f ca="1">SUMIFS(Table_Process_Details[RV GWP (kg CO2 equiv.) per kg API (REAGENT)],Table_Process_Details[Display Name],Table_Process_Details[[#This Row],[Unique Process Inputs]],Table_Process_Details[Input or Output],"Input")</f>
        <v>0</v>
      </c>
      <c r="FA78" s="1">
        <f ca="1">SUMIFS(Table_Process_Details[RV GWP (kg CO2 equiv.) per kg API (METAL)],Table_Process_Details[Display Name],Table_Process_Details[[#This Row],[Unique Process Inputs]],Table_Process_Details[Input or Output],"Input")</f>
        <v>0</v>
      </c>
      <c r="FB78" s="1">
        <f ca="1">SUMIFS(Table_Process_Details[RV GWP (kg CO2 equiv.) per kg API (SOLVENT)],Table_Process_Details[Display Name],Table_Process_Details[[#This Row],[Unique Process Inputs]],Table_Process_Details[Input or Output],"Input")</f>
        <v>0</v>
      </c>
      <c r="FC78" s="1">
        <f ca="1">SUMIFS(Table_Process_Details[RV GWP (kg CO2 equiv.) per kg API (WATER)],Table_Process_Details[Display Name],Table_Process_Details[[#This Row],[Unique Process Inputs]],Table_Process_Details[Input or Output],"Input")</f>
        <v>0</v>
      </c>
      <c r="FD78" s="1">
        <f ca="1">SUMIFS(Table_Process_Details[RV GWP (kg CO2 equiv.) per kg API (ENZ&amp;PLNT)],Table_Process_Details[Display Name],Table_Process_Details[[#This Row],[Unique Process Inputs]],Table_Process_Details[Input or Output],"Input")</f>
        <v>0</v>
      </c>
      <c r="FE78" s="1">
        <f ca="1">SUMIFS(Table_Process_Details[RV GWP (kg CO2 equiv.) per kg API (OTHER)],Table_Process_Details[Display Name],Table_Process_Details[[#This Row],[Unique Process Inputs]],Table_Process_Details[Input or Output],"Input")</f>
        <v>0</v>
      </c>
      <c r="FF78" s="22" t="e">
        <f ca="1">INDEX(Table_Process_Details[Unique Process Inputs],MATCH(Table_Process_Details[[#This Row],['[GWP (kg CO2 equiv.) per kg API'] of Unique Inputs Sorted by '[GWP (kg CO2 equiv.) per kg API']]],Table_Process_Details[Total '[GWP (kg CO2 equiv.) per kg API'] of Unique Inputs],0))</f>
        <v>#N/A</v>
      </c>
      <c r="FG78" s="22" t="e">
        <f ca="1">IF(LARGE(Table_Process_Details[Total '[GWP (kg CO2 equiv.) per kg API'] of Unique Inputs],Table_Process_Details[[#This Row],[Table Row]])=0,NA(),LARGE(Table_Process_Details[Total '[GWP (kg CO2 equiv.) per kg API'] of Unique Inputs],Table_Process_Details[[#This Row],[Table Row]]))</f>
        <v>#N/A</v>
      </c>
      <c r="FH78" s="22" t="e">
        <f ca="1">SUM(OFFSET(Table_Process_Details['[GWP (kg CO2 equiv.) per kg API'] of Unique Inputs Sorted by '[GWP (kg CO2 equiv.) per kg API']],0,0,Table_Process_Details[[#This Row],[Table Row]]))</f>
        <v>#N/A</v>
      </c>
      <c r="FI78" s="22" t="e">
        <f ca="1">"("&amp;TEXT(Table_Process_Details[[#This Row],['[GWP (kg CO2 equiv.) per kg API'] of Unique Inputs Sorted by '[GWP (kg CO2 equiv.) per kg API']]]/SUMIF(Table_Process_Details['[GWP (kg CO2 equiv.) per kg API'] of Unique Inputs Sorted by '[GWP (kg CO2 equiv.) per kg API']],"&lt;&gt;#N/A"),"0%")&amp;")"</f>
        <v>#N/A</v>
      </c>
      <c r="FJ78" s="22" t="e">
        <f ca="1">INDEX(Table_Process_Details[Total '[GWP (kg CO2 equiv.) per kg API'] of Unique Inputs (REAGENT)], MATCH(Table_Process_Details[[#This Row],[Unique Inputs Sorted by '[GWP (kg CO2 equiv.) per kg API']]],Table_Process_Details[Unique Process Inputs],0))</f>
        <v>#N/A</v>
      </c>
      <c r="FK78" s="22" t="e">
        <f ca="1">INDEX(Table_Process_Details[Total '[GWP (kg CO2 equiv.) per kg API'] of Unique Inputs (METAL)], MATCH(Table_Process_Details[[#This Row],[Unique Inputs Sorted by '[GWP (kg CO2 equiv.) per kg API']]],Table_Process_Details[Unique Process Inputs],0))</f>
        <v>#N/A</v>
      </c>
      <c r="FL78" s="22" t="e">
        <f ca="1">INDEX(Table_Process_Details[Total '[GWP (kg CO2 equiv.) per kg API'] of Unique Inputs (SOLVENT)], MATCH(Table_Process_Details[[#This Row],[Unique Inputs Sorted by '[GWP (kg CO2 equiv.) per kg API']]],Table_Process_Details[Unique Process Inputs],0))</f>
        <v>#N/A</v>
      </c>
      <c r="FM78" s="22" t="e">
        <f ca="1">INDEX(Table_Process_Details[Total '[GWP (kg CO2 equiv.) per kg API'] of Unique Inputs (WATER)], MATCH(Table_Process_Details[[#This Row],[Unique Inputs Sorted by '[GWP (kg CO2 equiv.) per kg API']]],Table_Process_Details[Unique Process Inputs],0))</f>
        <v>#N/A</v>
      </c>
      <c r="FN78" s="22" t="e">
        <f ca="1">INDEX(Table_Process_Details[Total '[GWP (kg CO2 equiv.) per kg API'] of Unique Inputs (ENZ&amp;PLNT)], MATCH(Table_Process_Details[[#This Row],[Unique Inputs Sorted by '[GWP (kg CO2 equiv.) per kg API']]],Table_Process_Details[Unique Process Inputs],0))</f>
        <v>#N/A</v>
      </c>
      <c r="FO78" s="22" t="e">
        <f ca="1">INDEX(Table_Process_Details[Total '[GWP (kg CO2 equiv.) per kg API'] of Unique Inputs (OTHER)], MATCH(Table_Process_Details[[#This Row],[Unique Inputs Sorted by '[GWP (kg CO2 equiv.) per kg API']]],Table_Process_Details[Unique Process Inputs],0))</f>
        <v>#N/A</v>
      </c>
      <c r="FP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8" s="22">
        <f ca="1">SUMIFS(Table_Process_Details[RV Acidification (kg SO2 equiv.) per kg API],Table_Process_Details[Display Name],Table_Process_Details[[#This Row],[Unique Process Inputs]],Table_Process_Details[Input or Output],"Input")</f>
        <v>0</v>
      </c>
      <c r="FX78" s="1">
        <f ca="1">SUMIFS(Table_Process_Details[RV Acidification (kg SO2 equiv.) per kg API (REAGENT)],Table_Process_Details[Display Name],Table_Process_Details[[#This Row],[Unique Process Inputs]],Table_Process_Details[Input or Output],"Input")</f>
        <v>0</v>
      </c>
      <c r="FY78" s="1">
        <f ca="1">SUMIFS(Table_Process_Details[RV Acidification (kg SO2 equiv.) per kg API (METAL)],Table_Process_Details[Display Name],Table_Process_Details[[#This Row],[Unique Process Inputs]],Table_Process_Details[Input or Output],"Input")</f>
        <v>0</v>
      </c>
      <c r="FZ78" s="1">
        <f ca="1">SUMIFS(Table_Process_Details[RV Acidification (kg SO2 equiv.) per kg API (SOLVENT)],Table_Process_Details[Display Name],Table_Process_Details[[#This Row],[Unique Process Inputs]],Table_Process_Details[Input or Output],"Input")</f>
        <v>0</v>
      </c>
      <c r="GA78" s="1">
        <f ca="1">SUMIFS(Table_Process_Details[RV Acidification (kg SO2 equiv.) per kg API (WATER)],Table_Process_Details[Display Name],Table_Process_Details[[#This Row],[Unique Process Inputs]],Table_Process_Details[Input or Output],"Input")</f>
        <v>0</v>
      </c>
      <c r="GB78" s="1">
        <f ca="1">SUMIFS(Table_Process_Details[RV Acidification (kg SO2 equiv.) per kg API (ENZ&amp;PLNT)],Table_Process_Details[Display Name],Table_Process_Details[[#This Row],[Unique Process Inputs]],Table_Process_Details[Input or Output],"Input")</f>
        <v>0</v>
      </c>
      <c r="GC78" s="1">
        <f ca="1">SUMIFS(Table_Process_Details[RV Acidification (kg SO2 equiv.) per kg API (OTHER)],Table_Process_Details[Display Name],Table_Process_Details[[#This Row],[Unique Process Inputs]],Table_Process_Details[Input or Output],"Input")</f>
        <v>0</v>
      </c>
      <c r="GD7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78" s="22" t="e">
        <f ca="1">SUM(OFFSET(Table_Process_Details['[Acidification (kg SO2 equiv.) per kg API'] of Unique Inputs Sorted by '[Acidification (kg SO2 equiv.) per kg API']],0,0,Table_Process_Details[[#This Row],[Table Row]]))</f>
        <v>#N/A</v>
      </c>
      <c r="GG7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8" s="22" t="e">
        <f ca="1">INDEX(Table_Process_Details[Total '[Acidification (kg SO2 equiv.) per kg API'] of Unique Inputs (REAGENT)], MATCH(Table_Process_Details[[#This Row],[Unique Inputs Sorted by '[Acidification (kg SO2 equiv.) per kg API']]],Table_Process_Details[Unique Process Inputs],0))</f>
        <v>#N/A</v>
      </c>
      <c r="GI78" s="22" t="e">
        <f ca="1">INDEX(Table_Process_Details[Total '[Acidification (kg SO2 equiv.) per kg API'] of Unique Inputs (METAL)], MATCH(Table_Process_Details[[#This Row],[Unique Inputs Sorted by '[Acidification (kg SO2 equiv.) per kg API']]],Table_Process_Details[Unique Process Inputs],0))</f>
        <v>#N/A</v>
      </c>
      <c r="GJ78" s="22" t="e">
        <f ca="1">INDEX(Table_Process_Details[Total '[Acidification (kg SO2 equiv.) per kg API'] of Unique Inputs (SOLVENT)], MATCH(Table_Process_Details[[#This Row],[Unique Inputs Sorted by '[Acidification (kg SO2 equiv.) per kg API']]],Table_Process_Details[Unique Process Inputs],0))</f>
        <v>#N/A</v>
      </c>
      <c r="GK78" s="22" t="e">
        <f ca="1">INDEX(Table_Process_Details[Total '[Acidification (kg SO2 equiv.) per kg API'] of Unique Inputs (WATER)], MATCH(Table_Process_Details[[#This Row],[Unique Inputs Sorted by '[Acidification (kg SO2 equiv.) per kg API']]],Table_Process_Details[Unique Process Inputs],0))</f>
        <v>#N/A</v>
      </c>
      <c r="GL78" s="22" t="e">
        <f ca="1">INDEX(Table_Process_Details[Total '[Acidification (kg SO2 equiv.) per kg API'] of Unique Inputs (ENZ&amp;PLNT)], MATCH(Table_Process_Details[[#This Row],[Unique Inputs Sorted by '[Acidification (kg SO2 equiv.) per kg API']]],Table_Process_Details[Unique Process Inputs],0))</f>
        <v>#N/A</v>
      </c>
      <c r="GM78" s="22" t="e">
        <f ca="1">INDEX(Table_Process_Details[Total '[Acidification (kg SO2 equiv.) per kg API'] of Unique Inputs (OTHER)], MATCH(Table_Process_Details[[#This Row],[Unique Inputs Sorted by '[Acidification (kg SO2 equiv.) per kg API']]],Table_Process_Details[Unique Process Inputs],0))</f>
        <v>#N/A</v>
      </c>
      <c r="GN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8" s="22">
        <f ca="1">SUMIFS(Table_Process_Details[RV Eutrophication (kg phosphate equiv.) per kg API],Table_Process_Details[Display Name],Table_Process_Details[[#This Row],[Unique Process Inputs]],Table_Process_Details[Input or Output],"Input")</f>
        <v>0</v>
      </c>
      <c r="GV78" s="1">
        <f ca="1">SUMIFS(Table_Process_Details[RV Eutrophication (kg phosphate equiv.) per kg API (REAGENT)],Table_Process_Details[Display Name],Table_Process_Details[[#This Row],[Unique Process Inputs]],Table_Process_Details[Input or Output],"Input")</f>
        <v>0</v>
      </c>
      <c r="GW78" s="1">
        <f ca="1">SUMIFS(Table_Process_Details[RV Eutrophication (kg phosphate equiv.) per kg API (METAL)],Table_Process_Details[Display Name],Table_Process_Details[[#This Row],[Unique Process Inputs]],Table_Process_Details[Input or Output],"Input")</f>
        <v>0</v>
      </c>
      <c r="GX78" s="1">
        <f ca="1">SUMIFS(Table_Process_Details[RV Eutrophication (kg phosphate equiv.) per kg API (SOLVENT)],Table_Process_Details[Display Name],Table_Process_Details[[#This Row],[Unique Process Inputs]],Table_Process_Details[Input or Output],"Input")</f>
        <v>0</v>
      </c>
      <c r="GY78" s="1">
        <f ca="1">SUMIFS(Table_Process_Details[RV Eutrophication (kg phosphate equiv.) per kg API (WATER)],Table_Process_Details[Display Name],Table_Process_Details[[#This Row],[Unique Process Inputs]],Table_Process_Details[Input or Output],"Input")</f>
        <v>0</v>
      </c>
      <c r="GZ78" s="1">
        <f ca="1">SUMIFS(Table_Process_Details[RV Eutrophication (kg phosphate equiv.) per kg API (ENZ&amp;PLNT)],Table_Process_Details[Display Name],Table_Process_Details[[#This Row],[Unique Process Inputs]],Table_Process_Details[Input or Output],"Input")</f>
        <v>0</v>
      </c>
      <c r="HA78" s="1">
        <f ca="1">SUMIFS(Table_Process_Details[RV Eutrophication (kg phosphate equiv.) per kg API (OTHER)],Table_Process_Details[Display Name],Table_Process_Details[[#This Row],[Unique Process Inputs]],Table_Process_Details[Input or Output],"Input")</f>
        <v>0</v>
      </c>
      <c r="HB7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8" s="22" t="e">
        <f ca="1">SUM(OFFSET(Table_Process_Details['[Eutrophication (kg posphate equiv.) per kg API'] of Unique Inputs Sorted by '[Eutrophication (kg posphate equiv.) per kg API']],0,0,Table_Process_Details[[#This Row],[Table Row]]))</f>
        <v>#N/A</v>
      </c>
      <c r="HE7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8" s="1" t="e">
        <f ca="1">INDEX(Table_Process_Details[Total '[Eutrophication (kg posphate equiv.) per kg API'] of Unique Inputs (REAGENT)], MATCH(Table_Process_Details[[#This Row],[Unique Inputs Sorted by '[Eutrophication (kg posphate equiv.) per kg API']]],Table_Process_Details[Unique Process Inputs],0))</f>
        <v>#N/A</v>
      </c>
      <c r="HG78" s="1" t="e">
        <f ca="1">INDEX(Table_Process_Details[Total '[Eutrophication (kg posphate equiv.) per kg API'] of Unique Inputs (METAL)], MATCH(Table_Process_Details[[#This Row],[Unique Inputs Sorted by '[Eutrophication (kg posphate equiv.) per kg API']]],Table_Process_Details[Unique Process Inputs],0))</f>
        <v>#N/A</v>
      </c>
      <c r="HH78" s="1" t="e">
        <f ca="1">INDEX(Table_Process_Details[Total '[Eutrophication (kg posphate equiv.) per kg API'] of Unique Inputs (SOLVENT)], MATCH(Table_Process_Details[[#This Row],[Unique Inputs Sorted by '[Eutrophication (kg posphate equiv.) per kg API']]],Table_Process_Details[Unique Process Inputs],0))</f>
        <v>#N/A</v>
      </c>
      <c r="HI78" s="1" t="e">
        <f ca="1">INDEX(Table_Process_Details[Total '[Eutrophication (kg posphate equiv.) per kg API'] of Unique Inputs (WATER)], MATCH(Table_Process_Details[[#This Row],[Unique Inputs Sorted by '[Eutrophication (kg posphate equiv.) per kg API']]],Table_Process_Details[Unique Process Inputs],0))</f>
        <v>#N/A</v>
      </c>
      <c r="HJ78" s="1" t="e">
        <f ca="1">INDEX(Table_Process_Details[Total '[Eutrophication (kg posphate equiv.) per kg API'] of Unique Inputs (ENZ&amp;PLNT)], MATCH(Table_Process_Details[[#This Row],[Unique Inputs Sorted by '[Eutrophication (kg posphate equiv.) per kg API']]],Table_Process_Details[Unique Process Inputs],0))</f>
        <v>#N/A</v>
      </c>
      <c r="HK78" s="1" t="e">
        <f ca="1">INDEX(Table_Process_Details[Total '[Eutrophication (kg posphate equiv.) per kg API'] of Unique Inputs (OTHER)], MATCH(Table_Process_Details[[#This Row],[Unique Inputs Sorted by '[Eutrophication (kg posphate equiv.) per kg API']]],Table_Process_Details[Unique Process Inputs],0))</f>
        <v>#N/A</v>
      </c>
      <c r="HL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8" s="1">
        <f ca="1">SUMIFS(Table_Process_Details[RV Water (kg) per kg API],Table_Process_Details[Display Name],Table_Process_Details[[#This Row],[Unique Process Inputs]],Table_Process_Details[Input or Output],"Input")</f>
        <v>0</v>
      </c>
      <c r="HT78" s="1">
        <f ca="1">SUMIFS(Table_Process_Details[RV Water (kg) per kg API (REAGENT)],Table_Process_Details[Display Name],Table_Process_Details[[#This Row],[Unique Process Inputs]],Table_Process_Details[Input or Output],"Input")</f>
        <v>0</v>
      </c>
      <c r="HU78" s="1">
        <f ca="1">SUMIFS(Table_Process_Details[RV Water (kg) per kg API (METAL)],Table_Process_Details[Display Name],Table_Process_Details[[#This Row],[Unique Process Inputs]],Table_Process_Details[Input or Output],"Input")</f>
        <v>0</v>
      </c>
      <c r="HV78" s="1">
        <f ca="1">SUMIFS(Table_Process_Details[RV Water (kg) per kg API (SOLVENT)],Table_Process_Details[Display Name],Table_Process_Details[[#This Row],[Unique Process Inputs]],Table_Process_Details[Input or Output],"Input")</f>
        <v>0</v>
      </c>
      <c r="HW78" s="1">
        <f ca="1">SUMIFS(Table_Process_Details[RV Water (kg) per kg API (WATER)],Table_Process_Details[Display Name],Table_Process_Details[[#This Row],[Unique Process Inputs]],Table_Process_Details[Input or Output],"Input")</f>
        <v>0</v>
      </c>
      <c r="HX78" s="1">
        <f ca="1">SUMIFS(Table_Process_Details[RV Water (kg) per kg API (ENZ&amp;PLNT)],Table_Process_Details[Display Name],Table_Process_Details[[#This Row],[Unique Process Inputs]],Table_Process_Details[Input or Output],"Input")</f>
        <v>0</v>
      </c>
      <c r="HY78" s="1">
        <f ca="1">SUMIFS(Table_Process_Details[RV Water (kg) per kg API (OTHER)],Table_Process_Details[Display Name],Table_Process_Details[[#This Row],[Unique Process Inputs]],Table_Process_Details[Input or Output],"Input")</f>
        <v>0</v>
      </c>
      <c r="HZ78" s="22" t="e">
        <f ca="1">INDEX(Table_Process_Details[Unique Process Inputs],MATCH(Table_Process_Details[[#This Row],['[Water (kg) per kg API'] of Unique Inputs Sorted by '[Water (kg) per kg API']]],Table_Process_Details[Total '[Water (kg) per kg API'] of Unique Inputs],0))</f>
        <v>#N/A</v>
      </c>
      <c r="IA78" s="22" t="e">
        <f ca="1">IF(LARGE(Table_Process_Details[Total '[Water (kg) per kg API'] of Unique Inputs],Table_Process_Details[[#This Row],[Table Row]])=0,NA(),LARGE(Table_Process_Details[Total '[Water (kg) per kg API'] of Unique Inputs],Table_Process_Details[[#This Row],[Table Row]]))</f>
        <v>#N/A</v>
      </c>
      <c r="IB78" s="1" t="e">
        <f ca="1">SUM(OFFSET(Table_Process_Details['[Water (kg) per kg API'] of Unique Inputs Sorted by '[Water (kg) per kg API']],0,0,Table_Process_Details[[#This Row],[Table Row]]))</f>
        <v>#N/A</v>
      </c>
      <c r="IC78" s="1" t="e">
        <f ca="1">"("&amp;TEXT(Table_Process_Details[[#This Row],['[Water (kg) per kg API'] of Unique Inputs Sorted by '[Water (kg) per kg API']]]/SUMIF(Table_Process_Details['[Water (kg) per kg API'] of Unique Inputs Sorted by '[Water (kg) per kg API']],"&lt;&gt;#N/A"),"0%")&amp;")"</f>
        <v>#N/A</v>
      </c>
      <c r="ID78" s="1" t="e">
        <f ca="1">INDEX(Table_Process_Details[Total '[Water (kg) per kg API'] of Unique Inputs (REAGENT)], MATCH(Table_Process_Details[[#This Row],[Unique Inputs Sorted by '[Water (kg) per kg API']]],Table_Process_Details[Unique Process Inputs],0))</f>
        <v>#N/A</v>
      </c>
      <c r="IE78" s="1" t="e">
        <f ca="1">INDEX(Table_Process_Details[Total '[Water (kg) per kg API'] of Unique Inputs (METAL)], MATCH(Table_Process_Details[[#This Row],[Unique Inputs Sorted by '[Water (kg) per kg API']]],Table_Process_Details[Unique Process Inputs],0))</f>
        <v>#N/A</v>
      </c>
      <c r="IF78" s="1" t="e">
        <f ca="1">INDEX(Table_Process_Details[Total '[Water (kg) per kg API'] of Unique Inputs (SOLVENT)], MATCH(Table_Process_Details[[#This Row],[Unique Inputs Sorted by '[Water (kg) per kg API']]],Table_Process_Details[Unique Process Inputs],0))</f>
        <v>#N/A</v>
      </c>
      <c r="IG78" s="1" t="e">
        <f ca="1">INDEX(Table_Process_Details[Total '[Water (kg) per kg API'] of Unique Inputs (WATER)], MATCH(Table_Process_Details[[#This Row],[Unique Inputs Sorted by '[Water (kg) per kg API']]],Table_Process_Details[Unique Process Inputs],0))</f>
        <v>#N/A</v>
      </c>
      <c r="IH78" s="1" t="e">
        <f ca="1">INDEX(Table_Process_Details[Total '[Water (kg) per kg API'] of Unique Inputs (ENZ&amp;PLNT)], MATCH(Table_Process_Details[[#This Row],[Unique Inputs Sorted by '[Water (kg) per kg API']]],Table_Process_Details[Unique Process Inputs],0))</f>
        <v>#N/A</v>
      </c>
      <c r="II78" s="1" t="e">
        <f ca="1">INDEX(Table_Process_Details[Total '[Water (kg) per kg API'] of Unique Inputs (OTHER)], MATCH(Table_Process_Details[[#This Row],[Unique Inputs Sorted by '[Water (kg) per kg API']]],Table_Process_Details[Unique Process Inputs],0))</f>
        <v>#N/A</v>
      </c>
    </row>
    <row r="79" spans="1:243" s="119" customFormat="1" x14ac:dyDescent="0.25">
      <c r="A79" s="126" t="str">
        <f>A78</f>
        <v>4b) Virtual solution prep for (4): 15 wt% reagent K (inorganic) in water</v>
      </c>
      <c r="B79" s="127" t="s">
        <v>5</v>
      </c>
      <c r="C79" s="127" t="s">
        <v>155</v>
      </c>
      <c r="D79" s="126" t="s">
        <v>155</v>
      </c>
      <c r="E79" s="126" t="str">
        <f>'1. Define Process Steps'!C22</f>
        <v>15 wt% reagent K (inorganic) in water</v>
      </c>
      <c r="F79" s="165">
        <f>F78+F77</f>
        <v>100</v>
      </c>
      <c r="G79" s="128"/>
      <c r="H79" s="128"/>
      <c r="I79" s="128"/>
      <c r="J79" s="128" t="str">
        <f>INDEX(Process_Steps[Reference],MATCH(Table_Process_Details[[#This Row],[Step Name]],Process_Steps[Name],0))</f>
        <v>Penultimate Reference Document</v>
      </c>
      <c r="K79" s="129" t="str">
        <f>INDEX(Process_Steps[Real or Virtual?],MATCH(Table_Process_Details[[#This Row],[Step Name]],Process_Steps[Name],0))</f>
        <v>Virtual</v>
      </c>
      <c r="L79"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79"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79" s="128">
        <f>INDEX(Table_Process_Details[Physical Mass (kg)],MATCH(1,INDEX(((Table_Process_Details[Step Name]=Table_Process_Details[[#This Row],[Step Name]])*(Table_Process_Details[Input or Output]="Output")),0),0))</f>
        <v>100</v>
      </c>
      <c r="O79" s="130">
        <f ca="1">INDEX(Process_Steps[Step Scale Factor for 1kg Packaged API],MATCH(Table_Process_Details[[#This Row],[Step Name]],Process_Steps[Name],0))</f>
        <v>5.5055973573133098E-2</v>
      </c>
      <c r="P79"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v>
      </c>
      <c r="Q79"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5</v>
      </c>
      <c r="R79" s="128">
        <f ca="1">_xlfn.SWITCH(Run_Reset_PNG,"Reset",Table_Process_Details[[#This Row],[X Init]],"Run",Table_Process_Details[[#This Row],[X Moved]],"Freeze",Table_Process_Details[[#This Row],[X Mover]])</f>
        <v>16.540976308170244</v>
      </c>
      <c r="S79" s="128">
        <f ca="1">_xlfn.SWITCH(Run_Reset_PNG,"Reset",Table_Process_Details[[#This Row],[Y Init]],"Run",Table_Process_Details[[#This Row],[Y Moved]],"Freeze",Table_Process_Details[[#This Row],[Y Mover]])</f>
        <v>-12.258696578159528</v>
      </c>
      <c r="T79" s="128" cm="1">
        <f t="array" aca="1" ref="T7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1.2267349230479823</v>
      </c>
      <c r="U79" s="128" cm="1">
        <f t="array" aca="1" ref="U7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-0.86738333997159578</v>
      </c>
      <c r="V79" s="128" cm="1">
        <f t="array" aca="1" ref="V79" ca="1">SUM(--(SQRT((Table_Process_Details[[#This Row],[X Mover]]-Table_Process_Details[X Mover])^2+(Table_Process_Details[[#This Row],[Y Mover]]-Table_Process_Details[Y Mover])^2)&lt;Collision_Distance))</f>
        <v>12</v>
      </c>
      <c r="W79" s="128" cm="1">
        <f t="array" aca="1" ref="W7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-5.0459076408618742E-2</v>
      </c>
      <c r="X79" s="128" cm="1">
        <f t="array" aca="1" ref="X7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-5.6281789666975834E-2</v>
      </c>
      <c r="Y79" s="128" cm="1">
        <f t="array" aca="1" ref="Y7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79" s="128">
        <f>0</f>
        <v>0</v>
      </c>
      <c r="AA79" s="128">
        <f>0</f>
        <v>0</v>
      </c>
      <c r="AB79"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-8.2704881540851218</v>
      </c>
      <c r="AC79" s="128" cm="1">
        <f t="array" aca="1" ref="AC7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6.1293482890797639</v>
      </c>
      <c r="AD79" s="128">
        <f>MIN(1,COUNTA(Table_Process_Details[[#This Row],[target x]]),COUNTA(Table_Process_Details[[#This Row],[target y]]))*COUNTA(Table_Process_Details[Step Name])</f>
        <v>98</v>
      </c>
      <c r="AE79"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16.541991790021861</v>
      </c>
      <c r="AF79"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-12.287194749416086</v>
      </c>
      <c r="AG79"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79" s="128" t="e" cm="1">
        <f t="array" ref="AH79">INDEX(Table_Process_Details[X Mover],MATCH(1,INDEX((Table_Process_Details[Input or Output]="Output")*(Table_Process_Details[Step Name]=Table_Process_Details[[#This Row],[Step Name]])*(Table_Process_Details[[#This Row],[Input or Output]]="Input"),0),0))</f>
        <v>#N/A</v>
      </c>
      <c r="AI79" s="128" t="e" cm="1">
        <f t="array" ref="AI79">INDEX(Table_Process_Details[Y Mover],MATCH(1,INDEX((Table_Process_Details[Input or Output]="Output")*(Table_Process_Details[Step Name]=Table_Process_Details[[#This Row],[Step Name]])*(Table_Process_Details[[#This Row],[Input or Output]]="Input"),0),0))</f>
        <v>#N/A</v>
      </c>
      <c r="AJ79" s="128" t="e">
        <f>SQRT((Table_Process_Details[[#This Row],[X End (To Node Center)]]-Table_Process_Details[[#This Row],[X Guide]])^2+(Table_Process_Details[[#This Row],[Y End (to Node Center)]]-Table_Process_Details[[#This Row],[Y Guide]])^2)</f>
        <v>#N/A</v>
      </c>
      <c r="AK79" s="128" t="e" cm="1">
        <f t="array" ref="AK79">INDEX(Table_Process_Details[X Mover],MATCH(1,INDEX((Table_Process_Details[Step Name]=Table_Process_Details[[#This Row],[LCA Data Source Subclass]])*(Table_Process_Details[Input or Output]="Output"),0)*(Table_Process_Details[[#This Row],[Input or Output]]="Input"),0))</f>
        <v>#N/A</v>
      </c>
      <c r="AL79" s="128" t="e" cm="1">
        <f t="array" ref="AL79">INDEX(Table_Process_Details[X Mover],MATCH(1,INDEX(((Table_Process_Details[Table Row]=Table_Process_Details[[#This Row],[Table Row]])*(1)),0)*(Table_Process_Details[[#This Row],[Input or Output]]="Input"),0))</f>
        <v>#N/A</v>
      </c>
      <c r="AM79" s="128" t="e" cm="1">
        <f t="array" ref="AM79">(Table_Process_Details[[#This Row],[X End (To Node Center)]]*Table_Process_Details[[#This Row],[r0]]-Table_Process_Details[[#This Row],[X End (To Node Center)]]*Arrow_Offset+Table_Process_Details[[#This Row],[X Guide]]*Arrow_Offset)/Table_Process_Details[[#This Row],[r0]]</f>
        <v>#N/A</v>
      </c>
      <c r="AN79" s="128" t="e">
        <f>IF(NOT(Table_Process_Details[[#This Row],[Display As]]="None"),Table_Process_Details[[#This Row],[X Start Prefilter]],NA())</f>
        <v>#N/A</v>
      </c>
      <c r="AO79" s="128" t="e">
        <f>IF(NOT(Table_Process_Details[[#This Row],[Display As]]="None"),Table_Process_Details[[#This Row],[X Guide Prefilter]],NA())</f>
        <v>#N/A</v>
      </c>
      <c r="AP79" s="128" t="e">
        <f>IF(NOT(Table_Process_Details[[#This Row],[Display As]]="None"),Table_Process_Details[[#This Row],[X End (to Stop Radius) Prefilter]],NA())</f>
        <v>#N/A</v>
      </c>
      <c r="AQ79" s="128" t="e">
        <f>NA()</f>
        <v>#N/A</v>
      </c>
      <c r="AR79" s="128" t="e" cm="1">
        <f t="array" ref="AR79">INDEX(Table_Process_Details[Y Mover],MATCH(1,INDEX((Table_Process_Details[Step Name]=Table_Process_Details[[#This Row],[LCA Data Source Subclass]])*(Table_Process_Details[Input or Output]="Output"),0)*(Table_Process_Details[[#This Row],[Input or Output]]="Input"),0))</f>
        <v>#N/A</v>
      </c>
      <c r="AS79" s="128" t="e" cm="1">
        <f t="array" ref="AS79">INDEX(Table_Process_Details[Y Mover],MATCH(1,INDEX(((Table_Process_Details[Table Row]=Table_Process_Details[[#This Row],[Table Row]])*(1)),0)*(Table_Process_Details[[#This Row],[Input or Output]]="Input"),0))</f>
        <v>#N/A</v>
      </c>
      <c r="AT79" s="128" t="e" cm="1">
        <f t="array" ref="AT79">(Table_Process_Details[[#This Row],[Y Guide]]*Arrow_Offset-Table_Process_Details[[#This Row],[Y End (to Node Center)]]*Arrow_Offset+Table_Process_Details[[#This Row],[Y End (to Node Center)]]*Table_Process_Details[[#This Row],[r0]])/Table_Process_Details[[#This Row],[r0]]</f>
        <v>#N/A</v>
      </c>
      <c r="AU79" s="128" t="e">
        <f>IF(NOT(Table_Process_Details[[#This Row],[Display As]]="None"),Table_Process_Details[[#This Row],[Y Start Prefilter]],NA())</f>
        <v>#N/A</v>
      </c>
      <c r="AV79" s="128" t="e">
        <f>IF(NOT(Table_Process_Details[[#This Row],[Display As]]="None"),Table_Process_Details[[#This Row],[Y Guide Prefilter]],NA())</f>
        <v>#N/A</v>
      </c>
      <c r="AW79" s="128" t="e">
        <f>IF(NOT(Table_Process_Details[[#This Row],[Display As]]="None"),Table_Process_Details[[#This Row],[Y End (to Stop Radius) Prefilter]],NA())</f>
        <v>#N/A</v>
      </c>
      <c r="AX79" s="128" t="e">
        <f>NA()</f>
        <v>#N/A</v>
      </c>
      <c r="AY79" s="128" t="e">
        <f>IF(Table_Process_Details[[#This Row],[Display As]]="Real Step",Table_Process_Details[[#This Row],[X Mover]],NA())</f>
        <v>#N/A</v>
      </c>
      <c r="AZ79" s="128" t="e">
        <f>IF(Table_Process_Details[[#This Row],[Display As]]="Real Step",Table_Process_Details[[#This Row],[Y Mover]],NA())</f>
        <v>#N/A</v>
      </c>
      <c r="BA79" s="128">
        <f ca="1">IF(Table_Process_Details[[#This Row],[Display As]]="Raw Material",Table_Process_Details[[#This Row],[X Mover]],NA())</f>
        <v>16.540976308170244</v>
      </c>
      <c r="BB79" s="128">
        <f ca="1">IF(Table_Process_Details[[#This Row],[Display As]]="Raw Material",Table_Process_Details[[#This Row],[Y Mover]],NA())</f>
        <v>-12.258696578159528</v>
      </c>
      <c r="BC79" s="128">
        <f ca="1">IF(OR(Table_Process_Details[[#This Row],[Display As]]="Real Step",Table_Process_Details[[#This Row],[Display As]]="Raw Material"),Table_Process_Details[[#This Row],[X Mover]],NA())</f>
        <v>16.540976308170244</v>
      </c>
      <c r="BD79" s="128">
        <f ca="1">IF(OR(Table_Process_Details[[#This Row],[Display As]]="Real Step",Table_Process_Details[[#This Row],[Display As]]="Raw Material"),Table_Process_Details[[#This Row],[Y Mover]],NA())</f>
        <v>-12.258696578159528</v>
      </c>
      <c r="BE79" s="126">
        <f>ROW()-ROW(Table_Process_Details[[#Headers],[Table Row]])</f>
        <v>75</v>
      </c>
      <c r="BF79" s="122" t="e" cm="1">
        <f t="array" aca="1" ref="BF79" ca="1">INDEX(Table_Process_Details[Display Name],MATCH(0,IF(Table_Process_Details[Input or Output]="Input",INDEX(COUNTIF(OFFSET(Table_Process_Details[[#Headers],[Unique Process Inputs]],0,0,Table_Process_Details[[#This Row],[Table Row]],1),Table_Process_Details[Display Name]),),""),0))</f>
        <v>#N/A</v>
      </c>
      <c r="BG79" s="122">
        <f ca="1">Table_Process_Details[[#This Row],[Physical Mass (kg)]]*Table_Process_Details[[#This Row],[Step Scale Factor for 1kg Packaged API]]</f>
        <v>5.5055973573133095</v>
      </c>
      <c r="BH79"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79" s="122">
        <f ca="1">MATCH(Table_Process_Details[[#This Row],[LCA Data Source Class]],INDIRECT(Table_Process_Details[[#This Row],[Input or Output]]),0)</f>
        <v>1</v>
      </c>
      <c r="BJ79" s="122">
        <f ca="1">MATCH(Table_Process_Details[[#This Row],[LCA Data Source Subclass]],INDIRECT(Table_Process_Details[[#This Row],[LCA Data Source Class]]&amp;"[Name]"),0)</f>
        <v>1</v>
      </c>
      <c r="BK79" s="122">
        <f ca="1">IFERROR(INDEX(INDIRECT(Table_Process_Details[[#This Row],[LCA Data Source Class]]&amp;"[Mass Net (kg)]"),MATCH(Table_Process_Details[[#This Row],[LCA Data Source Subclass]],INDIRECT(Table_Process_Details[[#This Row],[LCA Data Source Class]]&amp;"[Name]"),0)),0)</f>
        <v>0</v>
      </c>
      <c r="BL79" s="122">
        <f ca="1">IFERROR(INDEX(INDIRECT(Table_Process_Details[[#This Row],[LCA Data Source Class]]&amp;"[Energy (MJ)]"),MATCH(Table_Process_Details[[#This Row],[LCA Data Source Subclass]],INDIRECT(Table_Process_Details[[#This Row],[LCA Data Source Class]]&amp;"[Name]"),0)),0)</f>
        <v>0</v>
      </c>
      <c r="BM79" s="122">
        <f ca="1">IFERROR(INDEX(INDIRECT(Table_Process_Details[[#This Row],[LCA Data Source Class]]&amp;"[GWP (kg CO2 equiv.)]"),MATCH(Table_Process_Details[[#This Row],[LCA Data Source Subclass]],INDIRECT(Table_Process_Details[[#This Row],[LCA Data Source Class]]&amp;"[Name]"),0)),0)</f>
        <v>0</v>
      </c>
      <c r="BN79" s="122">
        <f ca="1">IFERROR(INDEX(INDIRECT(Table_Process_Details[[#This Row],[LCA Data Source Class]]&amp;"[Acidification (kg SO2 equiv.)]"),MATCH(Table_Process_Details[[#This Row],[LCA Data Source Subclass]],INDIRECT(Table_Process_Details[[#This Row],[LCA Data Source Class]]&amp;"[Name]"),0)),0)</f>
        <v>0</v>
      </c>
      <c r="BO79" s="122">
        <f ca="1">IFERROR(INDEX(INDIRECT(Table_Process_Details[[#This Row],[LCA Data Source Class]]&amp;"[Eutrophication (kg posphate equiv.)]"),MATCH(Table_Process_Details[[#This Row],[LCA Data Source Subclass]],INDIRECT(Table_Process_Details[[#This Row],[LCA Data Source Class]]&amp;"[Name]"),0)),0)</f>
        <v>0</v>
      </c>
      <c r="BP79" s="122">
        <f ca="1">IFERROR(INDEX(INDIRECT(Table_Process_Details[[#This Row],[LCA Data Source Class]]&amp;"[Water (kg)]"),MATCH(Table_Process_Details[[#This Row],[LCA Data Source Subclass]],INDIRECT(Table_Process_Details[[#This Row],[LCA Data Source Class]]&amp;"[Name]"),0)),0)</f>
        <v>0</v>
      </c>
      <c r="BQ79" s="129">
        <f ca="1">(Table_Process_Details[[#This Row],[Input or Output]]="Input")*(Table_Process_Details[[#This Row],[LCA Data Source Class]]&lt;&gt;"Process_Steps")*Table_Process_Details[[#This Row],[Scaled Physical Mass per kg API for All Inputs &amp; Outputs]]</f>
        <v>0</v>
      </c>
      <c r="BR79" s="129">
        <f ca="1">(Table_Process_Details[[#This Row],[Material Class]]="REAGENT")*Table_Process_Details[[#This Row],[Physical Mass per kg API]]</f>
        <v>0</v>
      </c>
      <c r="BS79" s="129">
        <f ca="1">(Table_Process_Details[[#This Row],[Material Class]]="METAL")*Table_Process_Details[[#This Row],[Physical Mass per kg API]]</f>
        <v>0</v>
      </c>
      <c r="BT79" s="129">
        <f ca="1">(Table_Process_Details[[#This Row],[Material Class]]="SOLVENT")*Table_Process_Details[[#This Row],[Physical Mass per kg API]]</f>
        <v>0</v>
      </c>
      <c r="BU79" s="129">
        <f ca="1">(Table_Process_Details[[#This Row],[Material Class]]="WATER")*Table_Process_Details[[#This Row],[Physical Mass per kg API]]</f>
        <v>0</v>
      </c>
      <c r="BV79" s="129">
        <f ca="1">(Table_Process_Details[[#This Row],[Material Class]]="ENZ&amp;PLNT")*Table_Process_Details[[#This Row],[Physical Mass per kg API]]</f>
        <v>0</v>
      </c>
      <c r="BW79" s="129">
        <f ca="1">(Table_Process_Details[[#This Row],[Material Class]]="OTHER")*Table_Process_Details[[#This Row],[Physical Mass per kg API]]</f>
        <v>0</v>
      </c>
      <c r="BX79"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79"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79"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79"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79"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79"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79"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79" s="131">
        <f ca="1">SUMIFS(Table_Process_Details[RV Physical Mass per kg API],Table_Process_Details[Display Name],Table_Process_Details[[#This Row],[Unique Process Inputs]],Table_Process_Details[Input or Output],"Input")</f>
        <v>0</v>
      </c>
      <c r="CF79" s="131">
        <f ca="1">SUMIFS(Table_Process_Details[RV Physical Mass per kg API (REAGENT)],Table_Process_Details[Display Name],Table_Process_Details[[#This Row],[Unique Process Inputs]],Table_Process_Details[Input or Output],"Input")</f>
        <v>0</v>
      </c>
      <c r="CG79" s="131">
        <f ca="1">SUMIFS(Table_Process_Details[RV Physical Mass per kg API (METAL)],Table_Process_Details[Display Name],Table_Process_Details[[#This Row],[Unique Process Inputs]],Table_Process_Details[Input or Output],"Input")</f>
        <v>0</v>
      </c>
      <c r="CH79" s="131">
        <f ca="1">SUMIFS(Table_Process_Details[RV Physical Mass per kg API (SOLVENT)],Table_Process_Details[Display Name],Table_Process_Details[[#This Row],[Unique Process Inputs]],Table_Process_Details[Input or Output],"Input")</f>
        <v>0</v>
      </c>
      <c r="CI79" s="131">
        <f ca="1">SUMIFS(Table_Process_Details[RV Physical Mass per kg API (WATER)],Table_Process_Details[Display Name],Table_Process_Details[[#This Row],[Unique Process Inputs]],Table_Process_Details[Input or Output],"Input")</f>
        <v>0</v>
      </c>
      <c r="CJ79" s="131">
        <f ca="1">SUMIFS(Table_Process_Details[RV Physical Mass per kg API (ENZ&amp;PLNT)],Table_Process_Details[Display Name],Table_Process_Details[[#This Row],[Unique Process Inputs]],Table_Process_Details[Input or Output],"Input")</f>
        <v>0</v>
      </c>
      <c r="CK79" s="131">
        <f ca="1">SUMIFS(Table_Process_Details[RV Physical Mass per kg API (OTHER)],Table_Process_Details[Display Name],Table_Process_Details[[#This Row],[Unique Process Inputs]],Table_Process_Details[Input or Output],"Input")</f>
        <v>0</v>
      </c>
      <c r="CL79" s="126" t="e">
        <f ca="1">INDEX(Table_Process_Details[Unique Process Inputs],MATCH(Table_Process_Details[[#This Row],['[Physical Mass per kg API'] of Unique Inputs Sorted by '[Physical Mass per kg API']]],Table_Process_Details[Total '[Physical Mass per kg API'] of Unique Inputs],0))</f>
        <v>#N/A</v>
      </c>
      <c r="CM79" s="126" t="e">
        <f ca="1">IF(LARGE(Table_Process_Details[Total '[Physical Mass per kg API'] of Unique Inputs],Table_Process_Details[[#This Row],[Table Row]])=0,NA(),LARGE(Table_Process_Details[Total '[Physical Mass per kg API'] of Unique Inputs],Table_Process_Details[[#This Row],[Table Row]]))</f>
        <v>#N/A</v>
      </c>
      <c r="CN79" s="126" t="e">
        <f ca="1">SUM(OFFSET(Table_Process_Details['[Physical Mass per kg API'] of Unique Inputs Sorted by '[Physical Mass per kg API']],0,0,Table_Process_Details[[#This Row],[Table Row]]))</f>
        <v>#N/A</v>
      </c>
      <c r="CO79" s="126" t="e">
        <f ca="1">"("&amp;TEXT(Table_Process_Details[[#This Row],['[Physical Mass per kg API'] of Unique Inputs Sorted by '[Physical Mass per kg API']]]/SUMIF(Table_Process_Details['[Physical Mass per kg API'] of Unique Inputs Sorted by '[Physical Mass per kg API']],"&lt;&gt;#N/A"),"0%")&amp;")"</f>
        <v>#N/A</v>
      </c>
      <c r="CP79" s="126" t="e">
        <f ca="1">INDEX(Table_Process_Details[Total '[Physical Mass per kg API'] of Unique Inputs (REAGENT)],MATCH(Table_Process_Details[[#This Row],[Unique Inputs Sorted by '[Physical Mass per kg API']]],Table_Process_Details[Unique Process Inputs],0))</f>
        <v>#N/A</v>
      </c>
      <c r="CQ79" s="126" t="e">
        <f ca="1">INDEX(Table_Process_Details[Total '[Physical Mass per kg API'] of Unique Inputs (METAL)],MATCH(Table_Process_Details[[#This Row],[Unique Inputs Sorted by '[Physical Mass per kg API']]],Table_Process_Details[Unique Process Inputs],0))</f>
        <v>#N/A</v>
      </c>
      <c r="CR79" s="126" t="e">
        <f ca="1">INDEX(Table_Process_Details[Total '[Physical Mass per kg API'] of Unique Inputs (SOLVENT)],MATCH(Table_Process_Details[[#This Row],[Unique Inputs Sorted by '[Physical Mass per kg API']]],Table_Process_Details[Unique Process Inputs],0))</f>
        <v>#N/A</v>
      </c>
      <c r="CS79" s="126" t="e">
        <f ca="1">INDEX(Table_Process_Details[Total '[Physical Mass per kg API'] of Unique Inputs (WATER)],MATCH(Table_Process_Details[[#This Row],[Unique Inputs Sorted by '[Physical Mass per kg API']]],Table_Process_Details[Unique Process Inputs],0))</f>
        <v>#N/A</v>
      </c>
      <c r="CT79" s="126" t="e">
        <f ca="1">INDEX(Table_Process_Details[Total '[Physical Mass per kg API'] of Unique Inputs (ENZ&amp;PLNT)],MATCH(Table_Process_Details[[#This Row],[Unique Inputs Sorted by '[Physical Mass per kg API']]],Table_Process_Details[Unique Process Inputs],0))</f>
        <v>#N/A</v>
      </c>
      <c r="CU79" s="126" t="e">
        <f ca="1">INDEX(Table_Process_Details[Total '[Physical Mass per kg API'] of Unique Inputs (OTHER)],MATCH(Table_Process_Details[[#This Row],[Unique Inputs Sorted by '[Physical Mass per kg API']]],Table_Process_Details[Unique Process Inputs],0))</f>
        <v>#N/A</v>
      </c>
      <c r="CV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79"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79" s="126">
        <f ca="1">SUMIFS(Table_Process_Details[RV Mass Net (kg) per kg API],Table_Process_Details[Display Name],Table_Process_Details[[#This Row],[Unique Process Inputs]],Table_Process_Details[Input or Output],"Input")</f>
        <v>0</v>
      </c>
      <c r="DD79" s="126">
        <f ca="1">SUMIFS(Table_Process_Details[RV Mass Net (kg) per kg API (REAGENT)],Table_Process_Details[Display Name],Table_Process_Details[[#This Row],[Unique Process Inputs]],Table_Process_Details[Input or Output],"Input")</f>
        <v>0</v>
      </c>
      <c r="DE79" s="126">
        <f ca="1">SUMIFS(Table_Process_Details[RV Mass Net (kg) per kg API (METAL)],Table_Process_Details[Display Name],Table_Process_Details[[#This Row],[Unique Process Inputs]],Table_Process_Details[Input or Output],"Input")</f>
        <v>0</v>
      </c>
      <c r="DF79" s="126">
        <f ca="1">SUMIFS(Table_Process_Details[RV Mass Net (kg) per kg API (SOLVENT)],Table_Process_Details[Display Name],Table_Process_Details[[#This Row],[Unique Process Inputs]],Table_Process_Details[Input or Output],"Input")</f>
        <v>0</v>
      </c>
      <c r="DG79" s="126">
        <f ca="1">SUMIFS(Table_Process_Details[RV Mass Net (kg) per kg API (WATER)],Table_Process_Details[Display Name],Table_Process_Details[[#This Row],[Unique Process Inputs]],Table_Process_Details[Input or Output],"Input")</f>
        <v>0</v>
      </c>
      <c r="DH79" s="126">
        <f ca="1">SUMIFS(Table_Process_Details[RV Mass Net (kg) per kg API (ENZ&amp;PLNT)],Table_Process_Details[Display Name],Table_Process_Details[[#This Row],[Unique Process Inputs]],Table_Process_Details[Input or Output],"Input")</f>
        <v>0</v>
      </c>
      <c r="DI79" s="126">
        <f ca="1">SUMIFS(Table_Process_Details[RV Mass Net (kg) per kg API (OTHER)],Table_Process_Details[Display Name],Table_Process_Details[[#This Row],[Unique Process Inputs]],Table_Process_Details[Input or Output],"Input")</f>
        <v>0</v>
      </c>
      <c r="DJ79" s="126" t="e">
        <f ca="1">INDEX(Table_Process_Details[Unique Process Inputs],MATCH(Table_Process_Details[[#This Row],['[Mass Net (kg) per kg API'] of Unique Inputs Sorted by '[Mass Net (kg) per kg API']]],Table_Process_Details[Total '[Mass Net (kg) per kg API'] of Unique Inputs],0))</f>
        <v>#N/A</v>
      </c>
      <c r="DK79" s="126" t="e">
        <f ca="1">IF(LARGE(Table_Process_Details[Total '[Mass Net (kg) per kg API'] of Unique Inputs],Table_Process_Details[[#This Row],[Table Row]])=0,NA(),LARGE(Table_Process_Details[Total '[Mass Net (kg) per kg API'] of Unique Inputs],Table_Process_Details[[#This Row],[Table Row]]))</f>
        <v>#N/A</v>
      </c>
      <c r="DL79" s="126" t="e">
        <f ca="1">SUM(OFFSET(Table_Process_Details['[Mass Net (kg) per kg API'] of Unique Inputs Sorted by '[Mass Net (kg) per kg API']],0,0,Table_Process_Details[[#This Row],[Table Row]]))</f>
        <v>#N/A</v>
      </c>
      <c r="DM79" s="126" t="e">
        <f ca="1">"("&amp;TEXT(Table_Process_Details[[#This Row],['[Mass Net (kg) per kg API'] of Unique Inputs Sorted by '[Mass Net (kg) per kg API']]]/SUMIF(Table_Process_Details['[Mass Net (kg) per kg API'] of Unique Inputs Sorted by '[Mass Net (kg) per kg API']],"&lt;&gt;#N/A"),"0%")&amp;")"</f>
        <v>#N/A</v>
      </c>
      <c r="DN79" s="126" t="e">
        <f ca="1">INDEX(Table_Process_Details[Total '[Mass Net (kg) per kg API'] of Unique Inputs (REAGENT)], MATCH(Table_Process_Details[[#This Row],[Unique Inputs Sorted by '[Mass Net (kg) per kg API']]],Table_Process_Details[Unique Process Inputs],0))</f>
        <v>#N/A</v>
      </c>
      <c r="DO79" s="126" t="e">
        <f ca="1">INDEX(Table_Process_Details[Total '[Mass Net (kg) per kg API'] of Unique Inputs (METAL)], MATCH(Table_Process_Details[[#This Row],[Unique Inputs Sorted by '[Mass Net (kg) per kg API']]],Table_Process_Details[Unique Process Inputs],0))</f>
        <v>#N/A</v>
      </c>
      <c r="DP79" s="126" t="e">
        <f ca="1">INDEX(Table_Process_Details[Total '[Mass Net (kg) per kg API'] of Unique Inputs (SOLVENT)], MATCH(Table_Process_Details[[#This Row],[Unique Inputs Sorted by '[Mass Net (kg) per kg API']]],Table_Process_Details[Unique Process Inputs],0))</f>
        <v>#N/A</v>
      </c>
      <c r="DQ79" s="126" t="e">
        <f ca="1">INDEX(Table_Process_Details[Total '[Mass Net (kg) per kg API'] of Unique Inputs (WATER)], MATCH(Table_Process_Details[[#This Row],[Unique Inputs Sorted by '[Mass Net (kg) per kg API']]],Table_Process_Details[Unique Process Inputs],0))</f>
        <v>#N/A</v>
      </c>
      <c r="DR79" s="126" t="e">
        <f ca="1">INDEX(Table_Process_Details[Total '[Mass Net (kg) per kg API'] of Unique Inputs (ENZ&amp;PLNT)], MATCH(Table_Process_Details[[#This Row],[Unique Inputs Sorted by '[Mass Net (kg) per kg API']]],Table_Process_Details[Unique Process Inputs],0))</f>
        <v>#N/A</v>
      </c>
      <c r="DS79" s="126" t="e">
        <f ca="1">INDEX(Table_Process_Details[Total '[Mass Net (kg) per kg API'] of Unique Inputs (OTHER)], MATCH(Table_Process_Details[[#This Row],[Unique Inputs Sorted by '[Mass Net (kg) per kg API']]],Table_Process_Details[Unique Process Inputs],0))</f>
        <v>#N/A</v>
      </c>
      <c r="DT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79"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79" s="131">
        <f ca="1">SUMIFS(Table_Process_Details[RV Energy (MJ) per kg API],Table_Process_Details[Display Name],Table_Process_Details[[#This Row],[Unique Process Inputs]],Table_Process_Details[Input or Output],"Input")</f>
        <v>0</v>
      </c>
      <c r="EB79" s="131">
        <f ca="1">SUMIFS(Table_Process_Details[RV Energy (MJ) per kg API (REAGENT)],Table_Process_Details[Display Name],Table_Process_Details[[#This Row],[Unique Process Inputs]],Table_Process_Details[Input or Output],"Input")</f>
        <v>0</v>
      </c>
      <c r="EC79" s="131">
        <f ca="1">SUMIFS(Table_Process_Details[RV Energy (MJ) per kg API (METAL)],Table_Process_Details[Display Name],Table_Process_Details[[#This Row],[Unique Process Inputs]],Table_Process_Details[Input or Output],"Input")</f>
        <v>0</v>
      </c>
      <c r="ED79" s="131">
        <f ca="1">SUMIFS(Table_Process_Details[RV Energy (MJ) per kg API (SOLVENT)],Table_Process_Details[Display Name],Table_Process_Details[[#This Row],[Unique Process Inputs]],Table_Process_Details[Input or Output],"Input")</f>
        <v>0</v>
      </c>
      <c r="EE79" s="131">
        <f ca="1">SUMIFS(Table_Process_Details[RV Energy (MJ) per kg API (WATER)],Table_Process_Details[Display Name],Table_Process_Details[[#This Row],[Unique Process Inputs]],Table_Process_Details[Input or Output],"Input")</f>
        <v>0</v>
      </c>
      <c r="EF79" s="131">
        <f ca="1">SUMIFS(Table_Process_Details[RV Energy (MJ) per kg API (ENZ&amp;PLNT)],Table_Process_Details[Display Name],Table_Process_Details[[#This Row],[Unique Process Inputs]],Table_Process_Details[Input or Output],"Input")</f>
        <v>0</v>
      </c>
      <c r="EG79" s="131">
        <f ca="1">SUMIFS(Table_Process_Details[RV Energy (MJ) per kg API (OTHER)],Table_Process_Details[Display Name],Table_Process_Details[[#This Row],[Unique Process Inputs]],Table_Process_Details[Input or Output],"Input")</f>
        <v>0</v>
      </c>
      <c r="EH79" s="131" t="e">
        <f ca="1">INDEX(Table_Process_Details[Unique Process Inputs],MATCH(Table_Process_Details[[#This Row],['[Energy (MJ) per kg API'] of Unique Inputs Sorted by '[Energy (MJ) per kg API']]],Table_Process_Details[Total '[Energy (MJ) per kg API'] of Unique Inputs],0))</f>
        <v>#N/A</v>
      </c>
      <c r="EI79" s="126" t="e">
        <f ca="1">IF(LARGE(Table_Process_Details[Total '[Energy (MJ) per kg API'] of Unique Inputs],Table_Process_Details[[#This Row],[Table Row]])=0,NA(),LARGE(Table_Process_Details[Total '[Energy (MJ) per kg API'] of Unique Inputs],Table_Process_Details[[#This Row],[Table Row]]))</f>
        <v>#N/A</v>
      </c>
      <c r="EJ79" s="126" t="e">
        <f ca="1">SUM(OFFSET(Table_Process_Details['[Energy (MJ) per kg API'] of Unique Inputs Sorted by '[Energy (MJ) per kg API']],0,0,Table_Process_Details[[#This Row],[Table Row]]))</f>
        <v>#N/A</v>
      </c>
      <c r="EK79" s="126" t="e">
        <f ca="1">"("&amp;TEXT(Table_Process_Details[[#This Row],['[Energy (MJ) per kg API'] of Unique Inputs Sorted by '[Energy (MJ) per kg API']]]/SUMIF(Table_Process_Details['[Energy (MJ) per kg API'] of Unique Inputs Sorted by '[Energy (MJ) per kg API']],"&lt;&gt;#N/A"),"0%")&amp;")"</f>
        <v>#N/A</v>
      </c>
      <c r="EL79" s="126" t="e">
        <f ca="1">INDEX(Table_Process_Details[Total '[Energy (MJ) per kg API'] of Unique Inputs (REAGENT)], MATCH(Table_Process_Details[[#This Row],[Unique Inputs Sorted by '[Energy (MJ) per kg API']]],Table_Process_Details[Unique Process Inputs],0))</f>
        <v>#N/A</v>
      </c>
      <c r="EM79" s="126" t="e">
        <f ca="1">INDEX(Table_Process_Details[Total '[Energy (MJ) per kg API'] of Unique Inputs (METAL)], MATCH(Table_Process_Details[[#This Row],[Unique Inputs Sorted by '[Energy (MJ) per kg API']]],Table_Process_Details[Unique Process Inputs],0))</f>
        <v>#N/A</v>
      </c>
      <c r="EN79" s="126" t="e">
        <f ca="1">INDEX(Table_Process_Details[Total '[Energy (MJ) per kg API'] of Unique Inputs (SOLVENT)], MATCH(Table_Process_Details[[#This Row],[Unique Inputs Sorted by '[Energy (MJ) per kg API']]],Table_Process_Details[Unique Process Inputs],0))</f>
        <v>#N/A</v>
      </c>
      <c r="EO79" s="126" t="e">
        <f ca="1">INDEX(Table_Process_Details[Total '[Energy (MJ) per kg API'] of Unique Inputs (WATER)], MATCH(Table_Process_Details[[#This Row],[Unique Inputs Sorted by '[Energy (MJ) per kg API']]],Table_Process_Details[Unique Process Inputs],0))</f>
        <v>#N/A</v>
      </c>
      <c r="EP79" s="126" t="e">
        <f ca="1">INDEX(Table_Process_Details[Total '[Energy (MJ) per kg API'] of Unique Inputs (ENZ&amp;PLNT)], MATCH(Table_Process_Details[[#This Row],[Unique Inputs Sorted by '[Energy (MJ) per kg API']]],Table_Process_Details[Unique Process Inputs],0))</f>
        <v>#N/A</v>
      </c>
      <c r="EQ79" s="126" t="e">
        <f ca="1">INDEX(Table_Process_Details[Total '[Energy (MJ) per kg API'] of Unique Inputs (OTHER)], MATCH(Table_Process_Details[[#This Row],[Unique Inputs Sorted by '[Energy (MJ) per kg API']]],Table_Process_Details[Unique Process Inputs],0))</f>
        <v>#N/A</v>
      </c>
      <c r="ER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79"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79" s="126">
        <f ca="1">SUMIFS(Table_Process_Details[RV GWP (kg CO2 equiv.) per kg API],Table_Process_Details[Display Name],Table_Process_Details[[#This Row],[Unique Process Inputs]],Table_Process_Details[Input or Output],"Input")</f>
        <v>0</v>
      </c>
      <c r="EZ79" s="131">
        <f ca="1">SUMIFS(Table_Process_Details[RV GWP (kg CO2 equiv.) per kg API (REAGENT)],Table_Process_Details[Display Name],Table_Process_Details[[#This Row],[Unique Process Inputs]],Table_Process_Details[Input or Output],"Input")</f>
        <v>0</v>
      </c>
      <c r="FA79" s="131">
        <f ca="1">SUMIFS(Table_Process_Details[RV GWP (kg CO2 equiv.) per kg API (METAL)],Table_Process_Details[Display Name],Table_Process_Details[[#This Row],[Unique Process Inputs]],Table_Process_Details[Input or Output],"Input")</f>
        <v>0</v>
      </c>
      <c r="FB79" s="131">
        <f ca="1">SUMIFS(Table_Process_Details[RV GWP (kg CO2 equiv.) per kg API (SOLVENT)],Table_Process_Details[Display Name],Table_Process_Details[[#This Row],[Unique Process Inputs]],Table_Process_Details[Input or Output],"Input")</f>
        <v>0</v>
      </c>
      <c r="FC79" s="131">
        <f ca="1">SUMIFS(Table_Process_Details[RV GWP (kg CO2 equiv.) per kg API (WATER)],Table_Process_Details[Display Name],Table_Process_Details[[#This Row],[Unique Process Inputs]],Table_Process_Details[Input or Output],"Input")</f>
        <v>0</v>
      </c>
      <c r="FD79" s="131">
        <f ca="1">SUMIFS(Table_Process_Details[RV GWP (kg CO2 equiv.) per kg API (ENZ&amp;PLNT)],Table_Process_Details[Display Name],Table_Process_Details[[#This Row],[Unique Process Inputs]],Table_Process_Details[Input or Output],"Input")</f>
        <v>0</v>
      </c>
      <c r="FE79" s="131">
        <f ca="1">SUMIFS(Table_Process_Details[RV GWP (kg CO2 equiv.) per kg API (OTHER)],Table_Process_Details[Display Name],Table_Process_Details[[#This Row],[Unique Process Inputs]],Table_Process_Details[Input or Output],"Input")</f>
        <v>0</v>
      </c>
      <c r="FF79" s="126" t="e">
        <f ca="1">INDEX(Table_Process_Details[Unique Process Inputs],MATCH(Table_Process_Details[[#This Row],['[GWP (kg CO2 equiv.) per kg API'] of Unique Inputs Sorted by '[GWP (kg CO2 equiv.) per kg API']]],Table_Process_Details[Total '[GWP (kg CO2 equiv.) per kg API'] of Unique Inputs],0))</f>
        <v>#N/A</v>
      </c>
      <c r="FG79" s="126" t="e">
        <f ca="1">IF(LARGE(Table_Process_Details[Total '[GWP (kg CO2 equiv.) per kg API'] of Unique Inputs],Table_Process_Details[[#This Row],[Table Row]])=0,NA(),LARGE(Table_Process_Details[Total '[GWP (kg CO2 equiv.) per kg API'] of Unique Inputs],Table_Process_Details[[#This Row],[Table Row]]))</f>
        <v>#N/A</v>
      </c>
      <c r="FH79" s="126" t="e">
        <f ca="1">SUM(OFFSET(Table_Process_Details['[GWP (kg CO2 equiv.) per kg API'] of Unique Inputs Sorted by '[GWP (kg CO2 equiv.) per kg API']],0,0,Table_Process_Details[[#This Row],[Table Row]]))</f>
        <v>#N/A</v>
      </c>
      <c r="FI79" s="126" t="e">
        <f ca="1">"("&amp;TEXT(Table_Process_Details[[#This Row],['[GWP (kg CO2 equiv.) per kg API'] of Unique Inputs Sorted by '[GWP (kg CO2 equiv.) per kg API']]]/SUMIF(Table_Process_Details['[GWP (kg CO2 equiv.) per kg API'] of Unique Inputs Sorted by '[GWP (kg CO2 equiv.) per kg API']],"&lt;&gt;#N/A"),"0%")&amp;")"</f>
        <v>#N/A</v>
      </c>
      <c r="FJ79" s="126" t="e">
        <f ca="1">INDEX(Table_Process_Details[Total '[GWP (kg CO2 equiv.) per kg API'] of Unique Inputs (REAGENT)], MATCH(Table_Process_Details[[#This Row],[Unique Inputs Sorted by '[GWP (kg CO2 equiv.) per kg API']]],Table_Process_Details[Unique Process Inputs],0))</f>
        <v>#N/A</v>
      </c>
      <c r="FK79" s="126" t="e">
        <f ca="1">INDEX(Table_Process_Details[Total '[GWP (kg CO2 equiv.) per kg API'] of Unique Inputs (METAL)], MATCH(Table_Process_Details[[#This Row],[Unique Inputs Sorted by '[GWP (kg CO2 equiv.) per kg API']]],Table_Process_Details[Unique Process Inputs],0))</f>
        <v>#N/A</v>
      </c>
      <c r="FL79" s="126" t="e">
        <f ca="1">INDEX(Table_Process_Details[Total '[GWP (kg CO2 equiv.) per kg API'] of Unique Inputs (SOLVENT)], MATCH(Table_Process_Details[[#This Row],[Unique Inputs Sorted by '[GWP (kg CO2 equiv.) per kg API']]],Table_Process_Details[Unique Process Inputs],0))</f>
        <v>#N/A</v>
      </c>
      <c r="FM79" s="126" t="e">
        <f ca="1">INDEX(Table_Process_Details[Total '[GWP (kg CO2 equiv.) per kg API'] of Unique Inputs (WATER)], MATCH(Table_Process_Details[[#This Row],[Unique Inputs Sorted by '[GWP (kg CO2 equiv.) per kg API']]],Table_Process_Details[Unique Process Inputs],0))</f>
        <v>#N/A</v>
      </c>
      <c r="FN79" s="126" t="e">
        <f ca="1">INDEX(Table_Process_Details[Total '[GWP (kg CO2 equiv.) per kg API'] of Unique Inputs (ENZ&amp;PLNT)], MATCH(Table_Process_Details[[#This Row],[Unique Inputs Sorted by '[GWP (kg CO2 equiv.) per kg API']]],Table_Process_Details[Unique Process Inputs],0))</f>
        <v>#N/A</v>
      </c>
      <c r="FO79" s="126" t="e">
        <f ca="1">INDEX(Table_Process_Details[Total '[GWP (kg CO2 equiv.) per kg API'] of Unique Inputs (OTHER)], MATCH(Table_Process_Details[[#This Row],[Unique Inputs Sorted by '[GWP (kg CO2 equiv.) per kg API']]],Table_Process_Details[Unique Process Inputs],0))</f>
        <v>#N/A</v>
      </c>
      <c r="FP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79"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79" s="126">
        <f ca="1">SUMIFS(Table_Process_Details[RV Acidification (kg SO2 equiv.) per kg API],Table_Process_Details[Display Name],Table_Process_Details[[#This Row],[Unique Process Inputs]],Table_Process_Details[Input or Output],"Input")</f>
        <v>0</v>
      </c>
      <c r="FX79" s="131">
        <f ca="1">SUMIFS(Table_Process_Details[RV Acidification (kg SO2 equiv.) per kg API (REAGENT)],Table_Process_Details[Display Name],Table_Process_Details[[#This Row],[Unique Process Inputs]],Table_Process_Details[Input or Output],"Input")</f>
        <v>0</v>
      </c>
      <c r="FY79" s="131">
        <f ca="1">SUMIFS(Table_Process_Details[RV Acidification (kg SO2 equiv.) per kg API (METAL)],Table_Process_Details[Display Name],Table_Process_Details[[#This Row],[Unique Process Inputs]],Table_Process_Details[Input or Output],"Input")</f>
        <v>0</v>
      </c>
      <c r="FZ79" s="131">
        <f ca="1">SUMIFS(Table_Process_Details[RV Acidification (kg SO2 equiv.) per kg API (SOLVENT)],Table_Process_Details[Display Name],Table_Process_Details[[#This Row],[Unique Process Inputs]],Table_Process_Details[Input or Output],"Input")</f>
        <v>0</v>
      </c>
      <c r="GA79" s="131">
        <f ca="1">SUMIFS(Table_Process_Details[RV Acidification (kg SO2 equiv.) per kg API (WATER)],Table_Process_Details[Display Name],Table_Process_Details[[#This Row],[Unique Process Inputs]],Table_Process_Details[Input or Output],"Input")</f>
        <v>0</v>
      </c>
      <c r="GB79" s="131">
        <f ca="1">SUMIFS(Table_Process_Details[RV Acidification (kg SO2 equiv.) per kg API (ENZ&amp;PLNT)],Table_Process_Details[Display Name],Table_Process_Details[[#This Row],[Unique Process Inputs]],Table_Process_Details[Input or Output],"Input")</f>
        <v>0</v>
      </c>
      <c r="GC79" s="131">
        <f ca="1">SUMIFS(Table_Process_Details[RV Acidification (kg SO2 equiv.) per kg API (OTHER)],Table_Process_Details[Display Name],Table_Process_Details[[#This Row],[Unique Process Inputs]],Table_Process_Details[Input or Output],"Input")</f>
        <v>0</v>
      </c>
      <c r="GD79"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79"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79" s="126" t="e">
        <f ca="1">SUM(OFFSET(Table_Process_Details['[Acidification (kg SO2 equiv.) per kg API'] of Unique Inputs Sorted by '[Acidification (kg SO2 equiv.) per kg API']],0,0,Table_Process_Details[[#This Row],[Table Row]]))</f>
        <v>#N/A</v>
      </c>
      <c r="GG79"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79" s="126" t="e">
        <f ca="1">INDEX(Table_Process_Details[Total '[Acidification (kg SO2 equiv.) per kg API'] of Unique Inputs (REAGENT)], MATCH(Table_Process_Details[[#This Row],[Unique Inputs Sorted by '[Acidification (kg SO2 equiv.) per kg API']]],Table_Process_Details[Unique Process Inputs],0))</f>
        <v>#N/A</v>
      </c>
      <c r="GI79" s="126" t="e">
        <f ca="1">INDEX(Table_Process_Details[Total '[Acidification (kg SO2 equiv.) per kg API'] of Unique Inputs (METAL)], MATCH(Table_Process_Details[[#This Row],[Unique Inputs Sorted by '[Acidification (kg SO2 equiv.) per kg API']]],Table_Process_Details[Unique Process Inputs],0))</f>
        <v>#N/A</v>
      </c>
      <c r="GJ79" s="126" t="e">
        <f ca="1">INDEX(Table_Process_Details[Total '[Acidification (kg SO2 equiv.) per kg API'] of Unique Inputs (SOLVENT)], MATCH(Table_Process_Details[[#This Row],[Unique Inputs Sorted by '[Acidification (kg SO2 equiv.) per kg API']]],Table_Process_Details[Unique Process Inputs],0))</f>
        <v>#N/A</v>
      </c>
      <c r="GK79" s="126" t="e">
        <f ca="1">INDEX(Table_Process_Details[Total '[Acidification (kg SO2 equiv.) per kg API'] of Unique Inputs (WATER)], MATCH(Table_Process_Details[[#This Row],[Unique Inputs Sorted by '[Acidification (kg SO2 equiv.) per kg API']]],Table_Process_Details[Unique Process Inputs],0))</f>
        <v>#N/A</v>
      </c>
      <c r="GL79" s="126" t="e">
        <f ca="1">INDEX(Table_Process_Details[Total '[Acidification (kg SO2 equiv.) per kg API'] of Unique Inputs (ENZ&amp;PLNT)], MATCH(Table_Process_Details[[#This Row],[Unique Inputs Sorted by '[Acidification (kg SO2 equiv.) per kg API']]],Table_Process_Details[Unique Process Inputs],0))</f>
        <v>#N/A</v>
      </c>
      <c r="GM79" s="126" t="e">
        <f ca="1">INDEX(Table_Process_Details[Total '[Acidification (kg SO2 equiv.) per kg API'] of Unique Inputs (OTHER)], MATCH(Table_Process_Details[[#This Row],[Unique Inputs Sorted by '[Acidification (kg SO2 equiv.) per kg API']]],Table_Process_Details[Unique Process Inputs],0))</f>
        <v>#N/A</v>
      </c>
      <c r="GN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79"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79" s="126">
        <f ca="1">SUMIFS(Table_Process_Details[RV Eutrophication (kg phosphate equiv.) per kg API],Table_Process_Details[Display Name],Table_Process_Details[[#This Row],[Unique Process Inputs]],Table_Process_Details[Input or Output],"Input")</f>
        <v>0</v>
      </c>
      <c r="GV79" s="131">
        <f ca="1">SUMIFS(Table_Process_Details[RV Eutrophication (kg phosphate equiv.) per kg API (REAGENT)],Table_Process_Details[Display Name],Table_Process_Details[[#This Row],[Unique Process Inputs]],Table_Process_Details[Input or Output],"Input")</f>
        <v>0</v>
      </c>
      <c r="GW79" s="131">
        <f ca="1">SUMIFS(Table_Process_Details[RV Eutrophication (kg phosphate equiv.) per kg API (METAL)],Table_Process_Details[Display Name],Table_Process_Details[[#This Row],[Unique Process Inputs]],Table_Process_Details[Input or Output],"Input")</f>
        <v>0</v>
      </c>
      <c r="GX79" s="131">
        <f ca="1">SUMIFS(Table_Process_Details[RV Eutrophication (kg phosphate equiv.) per kg API (SOLVENT)],Table_Process_Details[Display Name],Table_Process_Details[[#This Row],[Unique Process Inputs]],Table_Process_Details[Input or Output],"Input")</f>
        <v>0</v>
      </c>
      <c r="GY79" s="131">
        <f ca="1">SUMIFS(Table_Process_Details[RV Eutrophication (kg phosphate equiv.) per kg API (WATER)],Table_Process_Details[Display Name],Table_Process_Details[[#This Row],[Unique Process Inputs]],Table_Process_Details[Input or Output],"Input")</f>
        <v>0</v>
      </c>
      <c r="GZ79" s="131">
        <f ca="1">SUMIFS(Table_Process_Details[RV Eutrophication (kg phosphate equiv.) per kg API (ENZ&amp;PLNT)],Table_Process_Details[Display Name],Table_Process_Details[[#This Row],[Unique Process Inputs]],Table_Process_Details[Input or Output],"Input")</f>
        <v>0</v>
      </c>
      <c r="HA79" s="131">
        <f ca="1">SUMIFS(Table_Process_Details[RV Eutrophication (kg phosphate equiv.) per kg API (OTHER)],Table_Process_Details[Display Name],Table_Process_Details[[#This Row],[Unique Process Inputs]],Table_Process_Details[Input or Output],"Input")</f>
        <v>0</v>
      </c>
      <c r="HB79"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79"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79" s="126" t="e">
        <f ca="1">SUM(OFFSET(Table_Process_Details['[Eutrophication (kg posphate equiv.) per kg API'] of Unique Inputs Sorted by '[Eutrophication (kg posphate equiv.) per kg API']],0,0,Table_Process_Details[[#This Row],[Table Row]]))</f>
        <v>#N/A</v>
      </c>
      <c r="HE79"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79" s="131" t="e">
        <f ca="1">INDEX(Table_Process_Details[Total '[Eutrophication (kg posphate equiv.) per kg API'] of Unique Inputs (REAGENT)], MATCH(Table_Process_Details[[#This Row],[Unique Inputs Sorted by '[Eutrophication (kg posphate equiv.) per kg API']]],Table_Process_Details[Unique Process Inputs],0))</f>
        <v>#N/A</v>
      </c>
      <c r="HG79" s="131" t="e">
        <f ca="1">INDEX(Table_Process_Details[Total '[Eutrophication (kg posphate equiv.) per kg API'] of Unique Inputs (METAL)], MATCH(Table_Process_Details[[#This Row],[Unique Inputs Sorted by '[Eutrophication (kg posphate equiv.) per kg API']]],Table_Process_Details[Unique Process Inputs],0))</f>
        <v>#N/A</v>
      </c>
      <c r="HH79" s="131" t="e">
        <f ca="1">INDEX(Table_Process_Details[Total '[Eutrophication (kg posphate equiv.) per kg API'] of Unique Inputs (SOLVENT)], MATCH(Table_Process_Details[[#This Row],[Unique Inputs Sorted by '[Eutrophication (kg posphate equiv.) per kg API']]],Table_Process_Details[Unique Process Inputs],0))</f>
        <v>#N/A</v>
      </c>
      <c r="HI79" s="131" t="e">
        <f ca="1">INDEX(Table_Process_Details[Total '[Eutrophication (kg posphate equiv.) per kg API'] of Unique Inputs (WATER)], MATCH(Table_Process_Details[[#This Row],[Unique Inputs Sorted by '[Eutrophication (kg posphate equiv.) per kg API']]],Table_Process_Details[Unique Process Inputs],0))</f>
        <v>#N/A</v>
      </c>
      <c r="HJ79" s="131" t="e">
        <f ca="1">INDEX(Table_Process_Details[Total '[Eutrophication (kg posphate equiv.) per kg API'] of Unique Inputs (ENZ&amp;PLNT)], MATCH(Table_Process_Details[[#This Row],[Unique Inputs Sorted by '[Eutrophication (kg posphate equiv.) per kg API']]],Table_Process_Details[Unique Process Inputs],0))</f>
        <v>#N/A</v>
      </c>
      <c r="HK79" s="131" t="e">
        <f ca="1">INDEX(Table_Process_Details[Total '[Eutrophication (kg posphate equiv.) per kg API'] of Unique Inputs (OTHER)], MATCH(Table_Process_Details[[#This Row],[Unique Inputs Sorted by '[Eutrophication (kg posphate equiv.) per kg API']]],Table_Process_Details[Unique Process Inputs],0))</f>
        <v>#N/A</v>
      </c>
      <c r="HL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79"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79" s="131">
        <f ca="1">SUMIFS(Table_Process_Details[RV Water (kg) per kg API],Table_Process_Details[Display Name],Table_Process_Details[[#This Row],[Unique Process Inputs]],Table_Process_Details[Input or Output],"Input")</f>
        <v>0</v>
      </c>
      <c r="HT79" s="131">
        <f ca="1">SUMIFS(Table_Process_Details[RV Water (kg) per kg API (REAGENT)],Table_Process_Details[Display Name],Table_Process_Details[[#This Row],[Unique Process Inputs]],Table_Process_Details[Input or Output],"Input")</f>
        <v>0</v>
      </c>
      <c r="HU79" s="131">
        <f ca="1">SUMIFS(Table_Process_Details[RV Water (kg) per kg API (METAL)],Table_Process_Details[Display Name],Table_Process_Details[[#This Row],[Unique Process Inputs]],Table_Process_Details[Input or Output],"Input")</f>
        <v>0</v>
      </c>
      <c r="HV79" s="131">
        <f ca="1">SUMIFS(Table_Process_Details[RV Water (kg) per kg API (SOLVENT)],Table_Process_Details[Display Name],Table_Process_Details[[#This Row],[Unique Process Inputs]],Table_Process_Details[Input or Output],"Input")</f>
        <v>0</v>
      </c>
      <c r="HW79" s="131">
        <f ca="1">SUMIFS(Table_Process_Details[RV Water (kg) per kg API (WATER)],Table_Process_Details[Display Name],Table_Process_Details[[#This Row],[Unique Process Inputs]],Table_Process_Details[Input or Output],"Input")</f>
        <v>0</v>
      </c>
      <c r="HX79" s="131">
        <f ca="1">SUMIFS(Table_Process_Details[RV Water (kg) per kg API (ENZ&amp;PLNT)],Table_Process_Details[Display Name],Table_Process_Details[[#This Row],[Unique Process Inputs]],Table_Process_Details[Input or Output],"Input")</f>
        <v>0</v>
      </c>
      <c r="HY79" s="131">
        <f ca="1">SUMIFS(Table_Process_Details[RV Water (kg) per kg API (OTHER)],Table_Process_Details[Display Name],Table_Process_Details[[#This Row],[Unique Process Inputs]],Table_Process_Details[Input or Output],"Input")</f>
        <v>0</v>
      </c>
      <c r="HZ79" s="126" t="e">
        <f ca="1">INDEX(Table_Process_Details[Unique Process Inputs],MATCH(Table_Process_Details[[#This Row],['[Water (kg) per kg API'] of Unique Inputs Sorted by '[Water (kg) per kg API']]],Table_Process_Details[Total '[Water (kg) per kg API'] of Unique Inputs],0))</f>
        <v>#N/A</v>
      </c>
      <c r="IA79" s="126" t="e">
        <f ca="1">IF(LARGE(Table_Process_Details[Total '[Water (kg) per kg API'] of Unique Inputs],Table_Process_Details[[#This Row],[Table Row]])=0,NA(),LARGE(Table_Process_Details[Total '[Water (kg) per kg API'] of Unique Inputs],Table_Process_Details[[#This Row],[Table Row]]))</f>
        <v>#N/A</v>
      </c>
      <c r="IB79" s="131" t="e">
        <f ca="1">SUM(OFFSET(Table_Process_Details['[Water (kg) per kg API'] of Unique Inputs Sorted by '[Water (kg) per kg API']],0,0,Table_Process_Details[[#This Row],[Table Row]]))</f>
        <v>#N/A</v>
      </c>
      <c r="IC79" s="131" t="e">
        <f ca="1">"("&amp;TEXT(Table_Process_Details[[#This Row],['[Water (kg) per kg API'] of Unique Inputs Sorted by '[Water (kg) per kg API']]]/SUMIF(Table_Process_Details['[Water (kg) per kg API'] of Unique Inputs Sorted by '[Water (kg) per kg API']],"&lt;&gt;#N/A"),"0%")&amp;")"</f>
        <v>#N/A</v>
      </c>
      <c r="ID79" s="131" t="e">
        <f ca="1">INDEX(Table_Process_Details[Total '[Water (kg) per kg API'] of Unique Inputs (REAGENT)], MATCH(Table_Process_Details[[#This Row],[Unique Inputs Sorted by '[Water (kg) per kg API']]],Table_Process_Details[Unique Process Inputs],0))</f>
        <v>#N/A</v>
      </c>
      <c r="IE79" s="131" t="e">
        <f ca="1">INDEX(Table_Process_Details[Total '[Water (kg) per kg API'] of Unique Inputs (METAL)], MATCH(Table_Process_Details[[#This Row],[Unique Inputs Sorted by '[Water (kg) per kg API']]],Table_Process_Details[Unique Process Inputs],0))</f>
        <v>#N/A</v>
      </c>
      <c r="IF79" s="131" t="e">
        <f ca="1">INDEX(Table_Process_Details[Total '[Water (kg) per kg API'] of Unique Inputs (SOLVENT)], MATCH(Table_Process_Details[[#This Row],[Unique Inputs Sorted by '[Water (kg) per kg API']]],Table_Process_Details[Unique Process Inputs],0))</f>
        <v>#N/A</v>
      </c>
      <c r="IG79" s="131" t="e">
        <f ca="1">INDEX(Table_Process_Details[Total '[Water (kg) per kg API'] of Unique Inputs (WATER)], MATCH(Table_Process_Details[[#This Row],[Unique Inputs Sorted by '[Water (kg) per kg API']]],Table_Process_Details[Unique Process Inputs],0))</f>
        <v>#N/A</v>
      </c>
      <c r="IH79" s="131" t="e">
        <f ca="1">INDEX(Table_Process_Details[Total '[Water (kg) per kg API'] of Unique Inputs (ENZ&amp;PLNT)], MATCH(Table_Process_Details[[#This Row],[Unique Inputs Sorted by '[Water (kg) per kg API']]],Table_Process_Details[Unique Process Inputs],0))</f>
        <v>#N/A</v>
      </c>
      <c r="II79" s="131" t="e">
        <f ca="1">INDEX(Table_Process_Details[Total '[Water (kg) per kg API'] of Unique Inputs (OTHER)], MATCH(Table_Process_Details[[#This Row],[Unique Inputs Sorted by '[Water (kg) per kg API']]],Table_Process_Details[Unique Process Inputs],0))</f>
        <v>#N/A</v>
      </c>
    </row>
    <row r="80" spans="1:243" customFormat="1" x14ac:dyDescent="0.25">
      <c r="A80" s="22" t="str">
        <f>'1. Define Process Steps'!A23</f>
        <v>4c) Virtual solution prep for (4): 0.3 M reagent L (organic) in water</v>
      </c>
      <c r="B80" s="21" t="s">
        <v>4</v>
      </c>
      <c r="C80" s="21" t="s">
        <v>153</v>
      </c>
      <c r="D80" s="22" t="s">
        <v>156</v>
      </c>
      <c r="E80" s="22" t="s">
        <v>836</v>
      </c>
      <c r="F80" s="26">
        <v>40</v>
      </c>
      <c r="G80" s="26"/>
      <c r="H80" s="26"/>
      <c r="I80" s="26"/>
      <c r="J80" s="26" t="str">
        <f>INDEX(Process_Steps[Reference],MATCH(Table_Process_Details[[#This Row],[Step Name]],Process_Steps[Name],0))</f>
        <v>Penultimate Reference Document</v>
      </c>
      <c r="K80" s="27" t="str">
        <f>INDEX(Process_Steps[Real or Virtual?],MATCH(Table_Process_Details[[#This Row],[Step Name]],Process_Steps[Name],0))</f>
        <v>Virtual</v>
      </c>
      <c r="L8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8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80" s="26">
        <f>INDEX(Table_Process_Details[Physical Mass (kg)],MATCH(1,INDEX(((Table_Process_Details[Step Name]=Table_Process_Details[[#This Row],[Step Name]])*(Table_Process_Details[Input or Output]="Output")),0),0))</f>
        <v>140</v>
      </c>
      <c r="O80" s="29">
        <f ca="1">INDEX(Process_Steps[Step Scale Factor for 1kg Packaged API],MATCH(Table_Process_Details[[#This Row],[Step Name]],Process_Steps[Name],0))</f>
        <v>2.7527986786566545E-2</v>
      </c>
      <c r="P8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16.333333333333332</v>
      </c>
      <c r="Q8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3.3333333333333321</v>
      </c>
      <c r="R80" s="26">
        <f ca="1">_xlfn.SWITCH(Run_Reset_PNG,"Reset",Table_Process_Details[[#This Row],[X Init]],"Run",Table_Process_Details[[#This Row],[X Moved]],"Freeze",Table_Process_Details[[#This Row],[X Mover]])</f>
        <v>9.8653540470480916</v>
      </c>
      <c r="S80" s="26">
        <f ca="1">_xlfn.SWITCH(Run_Reset_PNG,"Reset",Table_Process_Details[[#This Row],[Y Init]],"Run",Table_Process_Details[[#This Row],[Y Moved]],"Freeze",Table_Process_Details[[#This Row],[Y Mover]])</f>
        <v>2.9921285458234932</v>
      </c>
      <c r="T80" s="26" cm="1">
        <f t="array" aca="1" ref="T8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-1.60866391683928</v>
      </c>
      <c r="U80" s="26" cm="1">
        <f t="array" aca="1" ref="U8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0.40368634464376585</v>
      </c>
      <c r="V80" s="26" cm="1">
        <f t="array" aca="1" ref="V80" ca="1">SUM(--(SQRT((Table_Process_Details[[#This Row],[X Mover]]-Table_Process_Details[X Mover])^2+(Table_Process_Details[[#This Row],[Y Mover]]-Table_Process_Details[Y Mover])^2)&lt;Collision_Distance))</f>
        <v>19</v>
      </c>
      <c r="W80" s="26" cm="1">
        <f t="array" aca="1" ref="W8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7.5211848066971274E-2</v>
      </c>
      <c r="X80" s="26" cm="1">
        <f t="array" aca="1" ref="X8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-4.2903305563750466E-2</v>
      </c>
      <c r="Y80" s="26" cm="1">
        <f t="array" aca="1" ref="Y8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80" s="26">
        <f>0</f>
        <v>0</v>
      </c>
      <c r="AA80" s="26">
        <f>0</f>
        <v>0</v>
      </c>
      <c r="AB8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-4.9326770235240458</v>
      </c>
      <c r="AC80" s="26" cm="1">
        <f t="array" aca="1" ref="AC8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-1.4960642729117466</v>
      </c>
      <c r="AD80" s="26">
        <f>MIN(1,COUNTA(Table_Process_Details[[#This Row],[target x]]),COUNTA(Table_Process_Details[[#This Row],[target y]]))*COUNTA(Table_Process_Details[Step Name])</f>
        <v>98</v>
      </c>
      <c r="AE8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9.805565934160601</v>
      </c>
      <c r="AF8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2.9552059280093479</v>
      </c>
      <c r="AG8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80" s="26" cm="1">
        <f t="array" aca="1" ref="AH80" ca="1">INDEX(Table_Process_Details[X Mover],MATCH(1,INDEX((Table_Process_Details[Input or Output]="Output")*(Table_Process_Details[Step Name]=Table_Process_Details[[#This Row],[Step Name]])*(Table_Process_Details[[#This Row],[Input or Output]]="Input"),0),0))</f>
        <v>12.621624199762062</v>
      </c>
      <c r="AI80" s="26" cm="1">
        <f t="array" aca="1" ref="AI80" ca="1">INDEX(Table_Process_Details[Y Mover],MATCH(1,INDEX((Table_Process_Details[Input or Output]="Output")*(Table_Process_Details[Step Name]=Table_Process_Details[[#This Row],[Step Name]])*(Table_Process_Details[[#This Row],[Input or Output]]="Input"),0),0))</f>
        <v>1.4198616275470548</v>
      </c>
      <c r="AJ80" s="26" t="e">
        <f ca="1">SQRT((Table_Process_Details[[#This Row],[X End (To Node Center)]]-Table_Process_Details[[#This Row],[X Guide]])^2+(Table_Process_Details[[#This Row],[Y End (to Node Center)]]-Table_Process_Details[[#This Row],[Y Guide]])^2)</f>
        <v>#N/A</v>
      </c>
      <c r="AK80" s="26" t="e" cm="1">
        <f t="array" ref="AK80">INDEX(Table_Process_Details[X Mover],MATCH(1,INDEX((Table_Process_Details[Step Name]=Table_Process_Details[[#This Row],[LCA Data Source Subclass]])*(Table_Process_Details[Input or Output]="Output"),0)*(Table_Process_Details[[#This Row],[Input or Output]]="Input"),0))</f>
        <v>#N/A</v>
      </c>
      <c r="AL80" s="26" cm="1">
        <f t="array" aca="1" ref="AL80" ca="1">INDEX(Table_Process_Details[X Mover],MATCH(1,INDEX(((Table_Process_Details[Table Row]=Table_Process_Details[[#This Row],[Table Row]])*(1)),0)*(Table_Process_Details[[#This Row],[Input or Output]]="Input"),0))</f>
        <v>9.8653540470480916</v>
      </c>
      <c r="AM80" s="26" t="e" cm="1">
        <f t="array" aca="1" ref="AM80" ca="1">(Table_Process_Details[[#This Row],[X End (To Node Center)]]*Table_Process_Details[[#This Row],[r0]]-Table_Process_Details[[#This Row],[X End (To Node Center)]]*Arrow_Offset+Table_Process_Details[[#This Row],[X Guide]]*Arrow_Offset)/Table_Process_Details[[#This Row],[r0]]</f>
        <v>#N/A</v>
      </c>
      <c r="AN80" s="26" t="e">
        <f>IF(NOT(Table_Process_Details[[#This Row],[Display As]]="None"),Table_Process_Details[[#This Row],[X Start Prefilter]],NA())</f>
        <v>#N/A</v>
      </c>
      <c r="AO80" s="26" t="e">
        <f>IF(NOT(Table_Process_Details[[#This Row],[Display As]]="None"),Table_Process_Details[[#This Row],[X Guide Prefilter]],NA())</f>
        <v>#N/A</v>
      </c>
      <c r="AP80" s="26" t="e">
        <f>IF(NOT(Table_Process_Details[[#This Row],[Display As]]="None"),Table_Process_Details[[#This Row],[X End (to Stop Radius) Prefilter]],NA())</f>
        <v>#N/A</v>
      </c>
      <c r="AQ80" s="26" t="e">
        <f>NA()</f>
        <v>#N/A</v>
      </c>
      <c r="AR80" s="26" t="e" cm="1">
        <f t="array" ref="AR80">INDEX(Table_Process_Details[Y Mover],MATCH(1,INDEX((Table_Process_Details[Step Name]=Table_Process_Details[[#This Row],[LCA Data Source Subclass]])*(Table_Process_Details[Input or Output]="Output"),0)*(Table_Process_Details[[#This Row],[Input or Output]]="Input"),0))</f>
        <v>#N/A</v>
      </c>
      <c r="AS80" s="26" cm="1">
        <f t="array" aca="1" ref="AS80" ca="1">INDEX(Table_Process_Details[Y Mover],MATCH(1,INDEX(((Table_Process_Details[Table Row]=Table_Process_Details[[#This Row],[Table Row]])*(1)),0)*(Table_Process_Details[[#This Row],[Input or Output]]="Input"),0))</f>
        <v>2.9921285458234932</v>
      </c>
      <c r="AT80" s="26" t="e" cm="1">
        <f t="array" aca="1" ref="AT80" ca="1">(Table_Process_Details[[#This Row],[Y Guide]]*Arrow_Offset-Table_Process_Details[[#This Row],[Y End (to Node Center)]]*Arrow_Offset+Table_Process_Details[[#This Row],[Y End (to Node Center)]]*Table_Process_Details[[#This Row],[r0]])/Table_Process_Details[[#This Row],[r0]]</f>
        <v>#N/A</v>
      </c>
      <c r="AU80" s="26" t="e">
        <f>IF(NOT(Table_Process_Details[[#This Row],[Display As]]="None"),Table_Process_Details[[#This Row],[Y Start Prefilter]],NA())</f>
        <v>#N/A</v>
      </c>
      <c r="AV80" s="26" t="e">
        <f>IF(NOT(Table_Process_Details[[#This Row],[Display As]]="None"),Table_Process_Details[[#This Row],[Y Guide Prefilter]],NA())</f>
        <v>#N/A</v>
      </c>
      <c r="AW80" s="26" t="e">
        <f>IF(NOT(Table_Process_Details[[#This Row],[Display As]]="None"),Table_Process_Details[[#This Row],[Y End (to Stop Radius) Prefilter]],NA())</f>
        <v>#N/A</v>
      </c>
      <c r="AX80" s="26" t="e">
        <f>NA()</f>
        <v>#N/A</v>
      </c>
      <c r="AY80" s="26" t="e">
        <f>IF(Table_Process_Details[[#This Row],[Display As]]="Real Step",Table_Process_Details[[#This Row],[X Mover]],NA())</f>
        <v>#N/A</v>
      </c>
      <c r="AZ80" s="26" t="e">
        <f>IF(Table_Process_Details[[#This Row],[Display As]]="Real Step",Table_Process_Details[[#This Row],[Y Mover]],NA())</f>
        <v>#N/A</v>
      </c>
      <c r="BA80" s="26" t="e">
        <f>IF(Table_Process_Details[[#This Row],[Display As]]="Raw Material",Table_Process_Details[[#This Row],[X Mover]],NA())</f>
        <v>#N/A</v>
      </c>
      <c r="BB80" s="26" t="e">
        <f>IF(Table_Process_Details[[#This Row],[Display As]]="Raw Material",Table_Process_Details[[#This Row],[Y Mover]],NA())</f>
        <v>#N/A</v>
      </c>
      <c r="BC80" s="26" t="e">
        <f>IF(OR(Table_Process_Details[[#This Row],[Display As]]="Real Step",Table_Process_Details[[#This Row],[Display As]]="Raw Material"),Table_Process_Details[[#This Row],[X Mover]],NA())</f>
        <v>#N/A</v>
      </c>
      <c r="BD80" s="26" t="e">
        <f>IF(OR(Table_Process_Details[[#This Row],[Display As]]="Real Step",Table_Process_Details[[#This Row],[Display As]]="Raw Material"),Table_Process_Details[[#This Row],[Y Mover]],NA())</f>
        <v>#N/A</v>
      </c>
      <c r="BE80" s="22">
        <f>ROW()-ROW(Table_Process_Details[[#Headers],[Table Row]])</f>
        <v>76</v>
      </c>
      <c r="BF80" s="23" t="e" cm="1">
        <f t="array" aca="1" ref="BF80" ca="1">INDEX(Table_Process_Details[Display Name],MATCH(0,IF(Table_Process_Details[Input or Output]="Input",INDEX(COUNTIF(OFFSET(Table_Process_Details[[#Headers],[Unique Process Inputs]],0,0,Table_Process_Details[[#This Row],[Table Row]],1),Table_Process_Details[Display Name]),),""),0))</f>
        <v>#N/A</v>
      </c>
      <c r="BG80" s="23">
        <f ca="1">Table_Process_Details[[#This Row],[Physical Mass (kg)]]*Table_Process_Details[[#This Row],[Step Scale Factor for 1kg Packaged API]]</f>
        <v>1.1011194714626618</v>
      </c>
      <c r="BH8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0" s="23">
        <f ca="1">MATCH(Table_Process_Details[[#This Row],[LCA Data Source Class]],INDIRECT(Table_Process_Details[[#This Row],[Input or Output]]),0)</f>
        <v>3</v>
      </c>
      <c r="BJ80" s="23">
        <f ca="1">MATCH(Table_Process_Details[[#This Row],[LCA Data Source Subclass]],INDIRECT(Table_Process_Details[[#This Row],[LCA Data Source Class]]&amp;"[Name]"),0)</f>
        <v>1</v>
      </c>
      <c r="BK80" s="23">
        <f ca="1">IFERROR(INDEX(INDIRECT(Table_Process_Details[[#This Row],[LCA Data Source Class]]&amp;"[Mass Net (kg)]"),MATCH(Table_Process_Details[[#This Row],[LCA Data Source Subclass]],INDIRECT(Table_Process_Details[[#This Row],[LCA Data Source Class]]&amp;"[Name]"),0)),0)</f>
        <v>2.0861208174193546</v>
      </c>
      <c r="BL80" s="23">
        <f ca="1">IFERROR(INDEX(INDIRECT(Table_Process_Details[[#This Row],[LCA Data Source Class]]&amp;"[Energy (MJ)]"),MATCH(Table_Process_Details[[#This Row],[LCA Data Source Subclass]],INDIRECT(Table_Process_Details[[#This Row],[LCA Data Source Class]]&amp;"[Name]"),0)),0)</f>
        <v>74.867288612903238</v>
      </c>
      <c r="BM80" s="23">
        <f ca="1">IFERROR(INDEX(INDIRECT(Table_Process_Details[[#This Row],[LCA Data Source Class]]&amp;"[GWP (kg CO2 equiv.)]"),MATCH(Table_Process_Details[[#This Row],[LCA Data Source Subclass]],INDIRECT(Table_Process_Details[[#This Row],[LCA Data Source Class]]&amp;"[Name]"),0)),0)</f>
        <v>2.6244035558064511</v>
      </c>
      <c r="BN80" s="23">
        <f ca="1">IFERROR(INDEX(INDIRECT(Table_Process_Details[[#This Row],[LCA Data Source Class]]&amp;"[Acidification (kg SO2 equiv.)]"),MATCH(Table_Process_Details[[#This Row],[LCA Data Source Subclass]],INDIRECT(Table_Process_Details[[#This Row],[LCA Data Source Class]]&amp;"[Name]"),0)),0)</f>
        <v>1.1223113743548388E-2</v>
      </c>
      <c r="BO80" s="23">
        <f ca="1">IFERROR(INDEX(INDIRECT(Table_Process_Details[[#This Row],[LCA Data Source Class]]&amp;"[Eutrophication (kg posphate equiv.)]"),MATCH(Table_Process_Details[[#This Row],[LCA Data Source Subclass]],INDIRECT(Table_Process_Details[[#This Row],[LCA Data Source Class]]&amp;"[Name]"),0)),0)</f>
        <v>8.9864536225806452E-3</v>
      </c>
      <c r="BP80" s="23">
        <f ca="1">IFERROR(INDEX(INDIRECT(Table_Process_Details[[#This Row],[LCA Data Source Class]]&amp;"[Water (kg)]"),MATCH(Table_Process_Details[[#This Row],[LCA Data Source Subclass]],INDIRECT(Table_Process_Details[[#This Row],[LCA Data Source Class]]&amp;"[Name]"),0)),0)</f>
        <v>14.695319198225807</v>
      </c>
      <c r="BQ80" s="27">
        <f ca="1">(Table_Process_Details[[#This Row],[Input or Output]]="Input")*(Table_Process_Details[[#This Row],[LCA Data Source Class]]&lt;&gt;"Process_Steps")*Table_Process_Details[[#This Row],[Scaled Physical Mass per kg API for All Inputs &amp; Outputs]]</f>
        <v>1.1011194714626618</v>
      </c>
      <c r="BR80" s="27">
        <f ca="1">(Table_Process_Details[[#This Row],[Material Class]]="REAGENT")*Table_Process_Details[[#This Row],[Physical Mass per kg API]]</f>
        <v>1.1011194714626618</v>
      </c>
      <c r="BS80" s="27">
        <f ca="1">(Table_Process_Details[[#This Row],[Material Class]]="METAL")*Table_Process_Details[[#This Row],[Physical Mass per kg API]]</f>
        <v>0</v>
      </c>
      <c r="BT80" s="27">
        <f ca="1">(Table_Process_Details[[#This Row],[Material Class]]="SOLVENT")*Table_Process_Details[[#This Row],[Physical Mass per kg API]]</f>
        <v>0</v>
      </c>
      <c r="BU80" s="27">
        <f ca="1">(Table_Process_Details[[#This Row],[Material Class]]="WATER")*Table_Process_Details[[#This Row],[Physical Mass per kg API]]</f>
        <v>0</v>
      </c>
      <c r="BV80" s="27">
        <f ca="1">(Table_Process_Details[[#This Row],[Material Class]]="ENZ&amp;PLNT")*Table_Process_Details[[#This Row],[Physical Mass per kg API]]</f>
        <v>0</v>
      </c>
      <c r="BW80" s="27">
        <f ca="1">(Table_Process_Details[[#This Row],[Material Class]]="OTHER")*Table_Process_Details[[#This Row],[Physical Mass per kg API]]</f>
        <v>0</v>
      </c>
      <c r="BX8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0" s="1">
        <f ca="1">SUMIFS(Table_Process_Details[RV Physical Mass per kg API],Table_Process_Details[Display Name],Table_Process_Details[[#This Row],[Unique Process Inputs]],Table_Process_Details[Input or Output],"Input")</f>
        <v>0</v>
      </c>
      <c r="CF80" s="1">
        <f ca="1">SUMIFS(Table_Process_Details[RV Physical Mass per kg API (REAGENT)],Table_Process_Details[Display Name],Table_Process_Details[[#This Row],[Unique Process Inputs]],Table_Process_Details[Input or Output],"Input")</f>
        <v>0</v>
      </c>
      <c r="CG80" s="1">
        <f ca="1">SUMIFS(Table_Process_Details[RV Physical Mass per kg API (METAL)],Table_Process_Details[Display Name],Table_Process_Details[[#This Row],[Unique Process Inputs]],Table_Process_Details[Input or Output],"Input")</f>
        <v>0</v>
      </c>
      <c r="CH80" s="1">
        <f ca="1">SUMIFS(Table_Process_Details[RV Physical Mass per kg API (SOLVENT)],Table_Process_Details[Display Name],Table_Process_Details[[#This Row],[Unique Process Inputs]],Table_Process_Details[Input or Output],"Input")</f>
        <v>0</v>
      </c>
      <c r="CI80" s="1">
        <f ca="1">SUMIFS(Table_Process_Details[RV Physical Mass per kg API (WATER)],Table_Process_Details[Display Name],Table_Process_Details[[#This Row],[Unique Process Inputs]],Table_Process_Details[Input or Output],"Input")</f>
        <v>0</v>
      </c>
      <c r="CJ80" s="1">
        <f ca="1">SUMIFS(Table_Process_Details[RV Physical Mass per kg API (ENZ&amp;PLNT)],Table_Process_Details[Display Name],Table_Process_Details[[#This Row],[Unique Process Inputs]],Table_Process_Details[Input or Output],"Input")</f>
        <v>0</v>
      </c>
      <c r="CK80" s="1">
        <f ca="1">SUMIFS(Table_Process_Details[RV Physical Mass per kg API (OTHER)],Table_Process_Details[Display Name],Table_Process_Details[[#This Row],[Unique Process Inputs]],Table_Process_Details[Input or Output],"Input")</f>
        <v>0</v>
      </c>
      <c r="CL80" s="22" t="e">
        <f ca="1">INDEX(Table_Process_Details[Unique Process Inputs],MATCH(Table_Process_Details[[#This Row],['[Physical Mass per kg API'] of Unique Inputs Sorted by '[Physical Mass per kg API']]],Table_Process_Details[Total '[Physical Mass per kg API'] of Unique Inputs],0))</f>
        <v>#N/A</v>
      </c>
      <c r="CM80" s="22" t="e">
        <f ca="1">IF(LARGE(Table_Process_Details[Total '[Physical Mass per kg API'] of Unique Inputs],Table_Process_Details[[#This Row],[Table Row]])=0,NA(),LARGE(Table_Process_Details[Total '[Physical Mass per kg API'] of Unique Inputs],Table_Process_Details[[#This Row],[Table Row]]))</f>
        <v>#N/A</v>
      </c>
      <c r="CN80" s="22" t="e">
        <f ca="1">SUM(OFFSET(Table_Process_Details['[Physical Mass per kg API'] of Unique Inputs Sorted by '[Physical Mass per kg API']],0,0,Table_Process_Details[[#This Row],[Table Row]]))</f>
        <v>#N/A</v>
      </c>
      <c r="CO80" s="22" t="e">
        <f ca="1">"("&amp;TEXT(Table_Process_Details[[#This Row],['[Physical Mass per kg API'] of Unique Inputs Sorted by '[Physical Mass per kg API']]]/SUMIF(Table_Process_Details['[Physical Mass per kg API'] of Unique Inputs Sorted by '[Physical Mass per kg API']],"&lt;&gt;#N/A"),"0%")&amp;")"</f>
        <v>#N/A</v>
      </c>
      <c r="CP80" s="22" t="e">
        <f ca="1">INDEX(Table_Process_Details[Total '[Physical Mass per kg API'] of Unique Inputs (REAGENT)],MATCH(Table_Process_Details[[#This Row],[Unique Inputs Sorted by '[Physical Mass per kg API']]],Table_Process_Details[Unique Process Inputs],0))</f>
        <v>#N/A</v>
      </c>
      <c r="CQ80" s="22" t="e">
        <f ca="1">INDEX(Table_Process_Details[Total '[Physical Mass per kg API'] of Unique Inputs (METAL)],MATCH(Table_Process_Details[[#This Row],[Unique Inputs Sorted by '[Physical Mass per kg API']]],Table_Process_Details[Unique Process Inputs],0))</f>
        <v>#N/A</v>
      </c>
      <c r="CR80" s="22" t="e">
        <f ca="1">INDEX(Table_Process_Details[Total '[Physical Mass per kg API'] of Unique Inputs (SOLVENT)],MATCH(Table_Process_Details[[#This Row],[Unique Inputs Sorted by '[Physical Mass per kg API']]],Table_Process_Details[Unique Process Inputs],0))</f>
        <v>#N/A</v>
      </c>
      <c r="CS80" s="22" t="e">
        <f ca="1">INDEX(Table_Process_Details[Total '[Physical Mass per kg API'] of Unique Inputs (WATER)],MATCH(Table_Process_Details[[#This Row],[Unique Inputs Sorted by '[Physical Mass per kg API']]],Table_Process_Details[Unique Process Inputs],0))</f>
        <v>#N/A</v>
      </c>
      <c r="CT80" s="22" t="e">
        <f ca="1">INDEX(Table_Process_Details[Total '[Physical Mass per kg API'] of Unique Inputs (ENZ&amp;PLNT)],MATCH(Table_Process_Details[[#This Row],[Unique Inputs Sorted by '[Physical Mass per kg API']]],Table_Process_Details[Unique Process Inputs],0))</f>
        <v>#N/A</v>
      </c>
      <c r="CU80" s="22" t="e">
        <f ca="1">INDEX(Table_Process_Details[Total '[Physical Mass per kg API'] of Unique Inputs (OTHER)],MATCH(Table_Process_Details[[#This Row],[Unique Inputs Sorted by '[Physical Mass per kg API']]],Table_Process_Details[Unique Process Inputs],0))</f>
        <v>#N/A</v>
      </c>
      <c r="CV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0" s="22">
        <f ca="1">SUMIFS(Table_Process_Details[RV Mass Net (kg) per kg API],Table_Process_Details[Display Name],Table_Process_Details[[#This Row],[Unique Process Inputs]],Table_Process_Details[Input or Output],"Input")</f>
        <v>0</v>
      </c>
      <c r="DD80" s="22">
        <f ca="1">SUMIFS(Table_Process_Details[RV Mass Net (kg) per kg API (REAGENT)],Table_Process_Details[Display Name],Table_Process_Details[[#This Row],[Unique Process Inputs]],Table_Process_Details[Input or Output],"Input")</f>
        <v>0</v>
      </c>
      <c r="DE80" s="22">
        <f ca="1">SUMIFS(Table_Process_Details[RV Mass Net (kg) per kg API (METAL)],Table_Process_Details[Display Name],Table_Process_Details[[#This Row],[Unique Process Inputs]],Table_Process_Details[Input or Output],"Input")</f>
        <v>0</v>
      </c>
      <c r="DF80" s="22">
        <f ca="1">SUMIFS(Table_Process_Details[RV Mass Net (kg) per kg API (SOLVENT)],Table_Process_Details[Display Name],Table_Process_Details[[#This Row],[Unique Process Inputs]],Table_Process_Details[Input or Output],"Input")</f>
        <v>0</v>
      </c>
      <c r="DG80" s="22">
        <f ca="1">SUMIFS(Table_Process_Details[RV Mass Net (kg) per kg API (WATER)],Table_Process_Details[Display Name],Table_Process_Details[[#This Row],[Unique Process Inputs]],Table_Process_Details[Input or Output],"Input")</f>
        <v>0</v>
      </c>
      <c r="DH80" s="22">
        <f ca="1">SUMIFS(Table_Process_Details[RV Mass Net (kg) per kg API (ENZ&amp;PLNT)],Table_Process_Details[Display Name],Table_Process_Details[[#This Row],[Unique Process Inputs]],Table_Process_Details[Input or Output],"Input")</f>
        <v>0</v>
      </c>
      <c r="DI80" s="22">
        <f ca="1">SUMIFS(Table_Process_Details[RV Mass Net (kg) per kg API (OTHER)],Table_Process_Details[Display Name],Table_Process_Details[[#This Row],[Unique Process Inputs]],Table_Process_Details[Input or Output],"Input")</f>
        <v>0</v>
      </c>
      <c r="DJ80" s="22" t="e">
        <f ca="1">INDEX(Table_Process_Details[Unique Process Inputs],MATCH(Table_Process_Details[[#This Row],['[Mass Net (kg) per kg API'] of Unique Inputs Sorted by '[Mass Net (kg) per kg API']]],Table_Process_Details[Total '[Mass Net (kg) per kg API'] of Unique Inputs],0))</f>
        <v>#N/A</v>
      </c>
      <c r="DK80" s="22" t="e">
        <f ca="1">IF(LARGE(Table_Process_Details[Total '[Mass Net (kg) per kg API'] of Unique Inputs],Table_Process_Details[[#This Row],[Table Row]])=0,NA(),LARGE(Table_Process_Details[Total '[Mass Net (kg) per kg API'] of Unique Inputs],Table_Process_Details[[#This Row],[Table Row]]))</f>
        <v>#N/A</v>
      </c>
      <c r="DL80" s="22" t="e">
        <f ca="1">SUM(OFFSET(Table_Process_Details['[Mass Net (kg) per kg API'] of Unique Inputs Sorted by '[Mass Net (kg) per kg API']],0,0,Table_Process_Details[[#This Row],[Table Row]]))</f>
        <v>#N/A</v>
      </c>
      <c r="DM80" s="22" t="e">
        <f ca="1">"("&amp;TEXT(Table_Process_Details[[#This Row],['[Mass Net (kg) per kg API'] of Unique Inputs Sorted by '[Mass Net (kg) per kg API']]]/SUMIF(Table_Process_Details['[Mass Net (kg) per kg API'] of Unique Inputs Sorted by '[Mass Net (kg) per kg API']],"&lt;&gt;#N/A"),"0%")&amp;")"</f>
        <v>#N/A</v>
      </c>
      <c r="DN80" s="22" t="e">
        <f ca="1">INDEX(Table_Process_Details[Total '[Mass Net (kg) per kg API'] of Unique Inputs (REAGENT)], MATCH(Table_Process_Details[[#This Row],[Unique Inputs Sorted by '[Mass Net (kg) per kg API']]],Table_Process_Details[Unique Process Inputs],0))</f>
        <v>#N/A</v>
      </c>
      <c r="DO80" s="22" t="e">
        <f ca="1">INDEX(Table_Process_Details[Total '[Mass Net (kg) per kg API'] of Unique Inputs (METAL)], MATCH(Table_Process_Details[[#This Row],[Unique Inputs Sorted by '[Mass Net (kg) per kg API']]],Table_Process_Details[Unique Process Inputs],0))</f>
        <v>#N/A</v>
      </c>
      <c r="DP80" s="22" t="e">
        <f ca="1">INDEX(Table_Process_Details[Total '[Mass Net (kg) per kg API'] of Unique Inputs (SOLVENT)], MATCH(Table_Process_Details[[#This Row],[Unique Inputs Sorted by '[Mass Net (kg) per kg API']]],Table_Process_Details[Unique Process Inputs],0))</f>
        <v>#N/A</v>
      </c>
      <c r="DQ80" s="22" t="e">
        <f ca="1">INDEX(Table_Process_Details[Total '[Mass Net (kg) per kg API'] of Unique Inputs (WATER)], MATCH(Table_Process_Details[[#This Row],[Unique Inputs Sorted by '[Mass Net (kg) per kg API']]],Table_Process_Details[Unique Process Inputs],0))</f>
        <v>#N/A</v>
      </c>
      <c r="DR80" s="22" t="e">
        <f ca="1">INDEX(Table_Process_Details[Total '[Mass Net (kg) per kg API'] of Unique Inputs (ENZ&amp;PLNT)], MATCH(Table_Process_Details[[#This Row],[Unique Inputs Sorted by '[Mass Net (kg) per kg API']]],Table_Process_Details[Unique Process Inputs],0))</f>
        <v>#N/A</v>
      </c>
      <c r="DS80" s="22" t="e">
        <f ca="1">INDEX(Table_Process_Details[Total '[Mass Net (kg) per kg API'] of Unique Inputs (OTHER)], MATCH(Table_Process_Details[[#This Row],[Unique Inputs Sorted by '[Mass Net (kg) per kg API']]],Table_Process_Details[Unique Process Inputs],0))</f>
        <v>#N/A</v>
      </c>
      <c r="DT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0" s="1">
        <f ca="1">SUMIFS(Table_Process_Details[RV Energy (MJ) per kg API],Table_Process_Details[Display Name],Table_Process_Details[[#This Row],[Unique Process Inputs]],Table_Process_Details[Input or Output],"Input")</f>
        <v>0</v>
      </c>
      <c r="EB80" s="1">
        <f ca="1">SUMIFS(Table_Process_Details[RV Energy (MJ) per kg API (REAGENT)],Table_Process_Details[Display Name],Table_Process_Details[[#This Row],[Unique Process Inputs]],Table_Process_Details[Input or Output],"Input")</f>
        <v>0</v>
      </c>
      <c r="EC80" s="1">
        <f ca="1">SUMIFS(Table_Process_Details[RV Energy (MJ) per kg API (METAL)],Table_Process_Details[Display Name],Table_Process_Details[[#This Row],[Unique Process Inputs]],Table_Process_Details[Input or Output],"Input")</f>
        <v>0</v>
      </c>
      <c r="ED80" s="1">
        <f ca="1">SUMIFS(Table_Process_Details[RV Energy (MJ) per kg API (SOLVENT)],Table_Process_Details[Display Name],Table_Process_Details[[#This Row],[Unique Process Inputs]],Table_Process_Details[Input or Output],"Input")</f>
        <v>0</v>
      </c>
      <c r="EE80" s="1">
        <f ca="1">SUMIFS(Table_Process_Details[RV Energy (MJ) per kg API (WATER)],Table_Process_Details[Display Name],Table_Process_Details[[#This Row],[Unique Process Inputs]],Table_Process_Details[Input or Output],"Input")</f>
        <v>0</v>
      </c>
      <c r="EF80" s="1">
        <f ca="1">SUMIFS(Table_Process_Details[RV Energy (MJ) per kg API (ENZ&amp;PLNT)],Table_Process_Details[Display Name],Table_Process_Details[[#This Row],[Unique Process Inputs]],Table_Process_Details[Input or Output],"Input")</f>
        <v>0</v>
      </c>
      <c r="EG80" s="1">
        <f ca="1">SUMIFS(Table_Process_Details[RV Energy (MJ) per kg API (OTHER)],Table_Process_Details[Display Name],Table_Process_Details[[#This Row],[Unique Process Inputs]],Table_Process_Details[Input or Output],"Input")</f>
        <v>0</v>
      </c>
      <c r="EH80" s="1" t="e">
        <f ca="1">INDEX(Table_Process_Details[Unique Process Inputs],MATCH(Table_Process_Details[[#This Row],['[Energy (MJ) per kg API'] of Unique Inputs Sorted by '[Energy (MJ) per kg API']]],Table_Process_Details[Total '[Energy (MJ) per kg API'] of Unique Inputs],0))</f>
        <v>#N/A</v>
      </c>
      <c r="EI80" s="22" t="e">
        <f ca="1">IF(LARGE(Table_Process_Details[Total '[Energy (MJ) per kg API'] of Unique Inputs],Table_Process_Details[[#This Row],[Table Row]])=0,NA(),LARGE(Table_Process_Details[Total '[Energy (MJ) per kg API'] of Unique Inputs],Table_Process_Details[[#This Row],[Table Row]]))</f>
        <v>#N/A</v>
      </c>
      <c r="EJ80" s="22" t="e">
        <f ca="1">SUM(OFFSET(Table_Process_Details['[Energy (MJ) per kg API'] of Unique Inputs Sorted by '[Energy (MJ) per kg API']],0,0,Table_Process_Details[[#This Row],[Table Row]]))</f>
        <v>#N/A</v>
      </c>
      <c r="EK80" s="22" t="e">
        <f ca="1">"("&amp;TEXT(Table_Process_Details[[#This Row],['[Energy (MJ) per kg API'] of Unique Inputs Sorted by '[Energy (MJ) per kg API']]]/SUMIF(Table_Process_Details['[Energy (MJ) per kg API'] of Unique Inputs Sorted by '[Energy (MJ) per kg API']],"&lt;&gt;#N/A"),"0%")&amp;")"</f>
        <v>#N/A</v>
      </c>
      <c r="EL80" s="22" t="e">
        <f ca="1">INDEX(Table_Process_Details[Total '[Energy (MJ) per kg API'] of Unique Inputs (REAGENT)], MATCH(Table_Process_Details[[#This Row],[Unique Inputs Sorted by '[Energy (MJ) per kg API']]],Table_Process_Details[Unique Process Inputs],0))</f>
        <v>#N/A</v>
      </c>
      <c r="EM80" s="22" t="e">
        <f ca="1">INDEX(Table_Process_Details[Total '[Energy (MJ) per kg API'] of Unique Inputs (METAL)], MATCH(Table_Process_Details[[#This Row],[Unique Inputs Sorted by '[Energy (MJ) per kg API']]],Table_Process_Details[Unique Process Inputs],0))</f>
        <v>#N/A</v>
      </c>
      <c r="EN80" s="22" t="e">
        <f ca="1">INDEX(Table_Process_Details[Total '[Energy (MJ) per kg API'] of Unique Inputs (SOLVENT)], MATCH(Table_Process_Details[[#This Row],[Unique Inputs Sorted by '[Energy (MJ) per kg API']]],Table_Process_Details[Unique Process Inputs],0))</f>
        <v>#N/A</v>
      </c>
      <c r="EO80" s="22" t="e">
        <f ca="1">INDEX(Table_Process_Details[Total '[Energy (MJ) per kg API'] of Unique Inputs (WATER)], MATCH(Table_Process_Details[[#This Row],[Unique Inputs Sorted by '[Energy (MJ) per kg API']]],Table_Process_Details[Unique Process Inputs],0))</f>
        <v>#N/A</v>
      </c>
      <c r="EP80" s="22" t="e">
        <f ca="1">INDEX(Table_Process_Details[Total '[Energy (MJ) per kg API'] of Unique Inputs (ENZ&amp;PLNT)], MATCH(Table_Process_Details[[#This Row],[Unique Inputs Sorted by '[Energy (MJ) per kg API']]],Table_Process_Details[Unique Process Inputs],0))</f>
        <v>#N/A</v>
      </c>
      <c r="EQ80" s="22" t="e">
        <f ca="1">INDEX(Table_Process_Details[Total '[Energy (MJ) per kg API'] of Unique Inputs (OTHER)], MATCH(Table_Process_Details[[#This Row],[Unique Inputs Sorted by '[Energy (MJ) per kg API']]],Table_Process_Details[Unique Process Inputs],0))</f>
        <v>#N/A</v>
      </c>
      <c r="ER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0" s="22">
        <f ca="1">SUMIFS(Table_Process_Details[RV GWP (kg CO2 equiv.) per kg API],Table_Process_Details[Display Name],Table_Process_Details[[#This Row],[Unique Process Inputs]],Table_Process_Details[Input or Output],"Input")</f>
        <v>0</v>
      </c>
      <c r="EZ80" s="1">
        <f ca="1">SUMIFS(Table_Process_Details[RV GWP (kg CO2 equiv.) per kg API (REAGENT)],Table_Process_Details[Display Name],Table_Process_Details[[#This Row],[Unique Process Inputs]],Table_Process_Details[Input or Output],"Input")</f>
        <v>0</v>
      </c>
      <c r="FA80" s="1">
        <f ca="1">SUMIFS(Table_Process_Details[RV GWP (kg CO2 equiv.) per kg API (METAL)],Table_Process_Details[Display Name],Table_Process_Details[[#This Row],[Unique Process Inputs]],Table_Process_Details[Input or Output],"Input")</f>
        <v>0</v>
      </c>
      <c r="FB80" s="1">
        <f ca="1">SUMIFS(Table_Process_Details[RV GWP (kg CO2 equiv.) per kg API (SOLVENT)],Table_Process_Details[Display Name],Table_Process_Details[[#This Row],[Unique Process Inputs]],Table_Process_Details[Input or Output],"Input")</f>
        <v>0</v>
      </c>
      <c r="FC80" s="1">
        <f ca="1">SUMIFS(Table_Process_Details[RV GWP (kg CO2 equiv.) per kg API (WATER)],Table_Process_Details[Display Name],Table_Process_Details[[#This Row],[Unique Process Inputs]],Table_Process_Details[Input or Output],"Input")</f>
        <v>0</v>
      </c>
      <c r="FD80" s="1">
        <f ca="1">SUMIFS(Table_Process_Details[RV GWP (kg CO2 equiv.) per kg API (ENZ&amp;PLNT)],Table_Process_Details[Display Name],Table_Process_Details[[#This Row],[Unique Process Inputs]],Table_Process_Details[Input or Output],"Input")</f>
        <v>0</v>
      </c>
      <c r="FE80" s="1">
        <f ca="1">SUMIFS(Table_Process_Details[RV GWP (kg CO2 equiv.) per kg API (OTHER)],Table_Process_Details[Display Name],Table_Process_Details[[#This Row],[Unique Process Inputs]],Table_Process_Details[Input or Output],"Input")</f>
        <v>0</v>
      </c>
      <c r="FF80" s="22" t="e">
        <f ca="1">INDEX(Table_Process_Details[Unique Process Inputs],MATCH(Table_Process_Details[[#This Row],['[GWP (kg CO2 equiv.) per kg API'] of Unique Inputs Sorted by '[GWP (kg CO2 equiv.) per kg API']]],Table_Process_Details[Total '[GWP (kg CO2 equiv.) per kg API'] of Unique Inputs],0))</f>
        <v>#N/A</v>
      </c>
      <c r="FG80" s="22" t="e">
        <f ca="1">IF(LARGE(Table_Process_Details[Total '[GWP (kg CO2 equiv.) per kg API'] of Unique Inputs],Table_Process_Details[[#This Row],[Table Row]])=0,NA(),LARGE(Table_Process_Details[Total '[GWP (kg CO2 equiv.) per kg API'] of Unique Inputs],Table_Process_Details[[#This Row],[Table Row]]))</f>
        <v>#N/A</v>
      </c>
      <c r="FH80" s="22" t="e">
        <f ca="1">SUM(OFFSET(Table_Process_Details['[GWP (kg CO2 equiv.) per kg API'] of Unique Inputs Sorted by '[GWP (kg CO2 equiv.) per kg API']],0,0,Table_Process_Details[[#This Row],[Table Row]]))</f>
        <v>#N/A</v>
      </c>
      <c r="FI80" s="22" t="e">
        <f ca="1">"("&amp;TEXT(Table_Process_Details[[#This Row],['[GWP (kg CO2 equiv.) per kg API'] of Unique Inputs Sorted by '[GWP (kg CO2 equiv.) per kg API']]]/SUMIF(Table_Process_Details['[GWP (kg CO2 equiv.) per kg API'] of Unique Inputs Sorted by '[GWP (kg CO2 equiv.) per kg API']],"&lt;&gt;#N/A"),"0%")&amp;")"</f>
        <v>#N/A</v>
      </c>
      <c r="FJ80" s="22" t="e">
        <f ca="1">INDEX(Table_Process_Details[Total '[GWP (kg CO2 equiv.) per kg API'] of Unique Inputs (REAGENT)], MATCH(Table_Process_Details[[#This Row],[Unique Inputs Sorted by '[GWP (kg CO2 equiv.) per kg API']]],Table_Process_Details[Unique Process Inputs],0))</f>
        <v>#N/A</v>
      </c>
      <c r="FK80" s="22" t="e">
        <f ca="1">INDEX(Table_Process_Details[Total '[GWP (kg CO2 equiv.) per kg API'] of Unique Inputs (METAL)], MATCH(Table_Process_Details[[#This Row],[Unique Inputs Sorted by '[GWP (kg CO2 equiv.) per kg API']]],Table_Process_Details[Unique Process Inputs],0))</f>
        <v>#N/A</v>
      </c>
      <c r="FL80" s="22" t="e">
        <f ca="1">INDEX(Table_Process_Details[Total '[GWP (kg CO2 equiv.) per kg API'] of Unique Inputs (SOLVENT)], MATCH(Table_Process_Details[[#This Row],[Unique Inputs Sorted by '[GWP (kg CO2 equiv.) per kg API']]],Table_Process_Details[Unique Process Inputs],0))</f>
        <v>#N/A</v>
      </c>
      <c r="FM80" s="22" t="e">
        <f ca="1">INDEX(Table_Process_Details[Total '[GWP (kg CO2 equiv.) per kg API'] of Unique Inputs (WATER)], MATCH(Table_Process_Details[[#This Row],[Unique Inputs Sorted by '[GWP (kg CO2 equiv.) per kg API']]],Table_Process_Details[Unique Process Inputs],0))</f>
        <v>#N/A</v>
      </c>
      <c r="FN80" s="22" t="e">
        <f ca="1">INDEX(Table_Process_Details[Total '[GWP (kg CO2 equiv.) per kg API'] of Unique Inputs (ENZ&amp;PLNT)], MATCH(Table_Process_Details[[#This Row],[Unique Inputs Sorted by '[GWP (kg CO2 equiv.) per kg API']]],Table_Process_Details[Unique Process Inputs],0))</f>
        <v>#N/A</v>
      </c>
      <c r="FO80" s="22" t="e">
        <f ca="1">INDEX(Table_Process_Details[Total '[GWP (kg CO2 equiv.) per kg API'] of Unique Inputs (OTHER)], MATCH(Table_Process_Details[[#This Row],[Unique Inputs Sorted by '[GWP (kg CO2 equiv.) per kg API']]],Table_Process_Details[Unique Process Inputs],0))</f>
        <v>#N/A</v>
      </c>
      <c r="FP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0" s="22">
        <f ca="1">SUMIFS(Table_Process_Details[RV Acidification (kg SO2 equiv.) per kg API],Table_Process_Details[Display Name],Table_Process_Details[[#This Row],[Unique Process Inputs]],Table_Process_Details[Input or Output],"Input")</f>
        <v>0</v>
      </c>
      <c r="FX80" s="1">
        <f ca="1">SUMIFS(Table_Process_Details[RV Acidification (kg SO2 equiv.) per kg API (REAGENT)],Table_Process_Details[Display Name],Table_Process_Details[[#This Row],[Unique Process Inputs]],Table_Process_Details[Input or Output],"Input")</f>
        <v>0</v>
      </c>
      <c r="FY80" s="1">
        <f ca="1">SUMIFS(Table_Process_Details[RV Acidification (kg SO2 equiv.) per kg API (METAL)],Table_Process_Details[Display Name],Table_Process_Details[[#This Row],[Unique Process Inputs]],Table_Process_Details[Input or Output],"Input")</f>
        <v>0</v>
      </c>
      <c r="FZ80" s="1">
        <f ca="1">SUMIFS(Table_Process_Details[RV Acidification (kg SO2 equiv.) per kg API (SOLVENT)],Table_Process_Details[Display Name],Table_Process_Details[[#This Row],[Unique Process Inputs]],Table_Process_Details[Input or Output],"Input")</f>
        <v>0</v>
      </c>
      <c r="GA80" s="1">
        <f ca="1">SUMIFS(Table_Process_Details[RV Acidification (kg SO2 equiv.) per kg API (WATER)],Table_Process_Details[Display Name],Table_Process_Details[[#This Row],[Unique Process Inputs]],Table_Process_Details[Input or Output],"Input")</f>
        <v>0</v>
      </c>
      <c r="GB80" s="1">
        <f ca="1">SUMIFS(Table_Process_Details[RV Acidification (kg SO2 equiv.) per kg API (ENZ&amp;PLNT)],Table_Process_Details[Display Name],Table_Process_Details[[#This Row],[Unique Process Inputs]],Table_Process_Details[Input or Output],"Input")</f>
        <v>0</v>
      </c>
      <c r="GC80" s="1">
        <f ca="1">SUMIFS(Table_Process_Details[RV Acidification (kg SO2 equiv.) per kg API (OTHER)],Table_Process_Details[Display Name],Table_Process_Details[[#This Row],[Unique Process Inputs]],Table_Process_Details[Input or Output],"Input")</f>
        <v>0</v>
      </c>
      <c r="GD8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0" s="22" t="e">
        <f ca="1">SUM(OFFSET(Table_Process_Details['[Acidification (kg SO2 equiv.) per kg API'] of Unique Inputs Sorted by '[Acidification (kg SO2 equiv.) per kg API']],0,0,Table_Process_Details[[#This Row],[Table Row]]))</f>
        <v>#N/A</v>
      </c>
      <c r="GG8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0" s="22" t="e">
        <f ca="1">INDEX(Table_Process_Details[Total '[Acidification (kg SO2 equiv.) per kg API'] of Unique Inputs (REAGENT)], MATCH(Table_Process_Details[[#This Row],[Unique Inputs Sorted by '[Acidification (kg SO2 equiv.) per kg API']]],Table_Process_Details[Unique Process Inputs],0))</f>
        <v>#N/A</v>
      </c>
      <c r="GI80" s="22" t="e">
        <f ca="1">INDEX(Table_Process_Details[Total '[Acidification (kg SO2 equiv.) per kg API'] of Unique Inputs (METAL)], MATCH(Table_Process_Details[[#This Row],[Unique Inputs Sorted by '[Acidification (kg SO2 equiv.) per kg API']]],Table_Process_Details[Unique Process Inputs],0))</f>
        <v>#N/A</v>
      </c>
      <c r="GJ80" s="22" t="e">
        <f ca="1">INDEX(Table_Process_Details[Total '[Acidification (kg SO2 equiv.) per kg API'] of Unique Inputs (SOLVENT)], MATCH(Table_Process_Details[[#This Row],[Unique Inputs Sorted by '[Acidification (kg SO2 equiv.) per kg API']]],Table_Process_Details[Unique Process Inputs],0))</f>
        <v>#N/A</v>
      </c>
      <c r="GK80" s="22" t="e">
        <f ca="1">INDEX(Table_Process_Details[Total '[Acidification (kg SO2 equiv.) per kg API'] of Unique Inputs (WATER)], MATCH(Table_Process_Details[[#This Row],[Unique Inputs Sorted by '[Acidification (kg SO2 equiv.) per kg API']]],Table_Process_Details[Unique Process Inputs],0))</f>
        <v>#N/A</v>
      </c>
      <c r="GL80" s="22" t="e">
        <f ca="1">INDEX(Table_Process_Details[Total '[Acidification (kg SO2 equiv.) per kg API'] of Unique Inputs (ENZ&amp;PLNT)], MATCH(Table_Process_Details[[#This Row],[Unique Inputs Sorted by '[Acidification (kg SO2 equiv.) per kg API']]],Table_Process_Details[Unique Process Inputs],0))</f>
        <v>#N/A</v>
      </c>
      <c r="GM80" s="22" t="e">
        <f ca="1">INDEX(Table_Process_Details[Total '[Acidification (kg SO2 equiv.) per kg API'] of Unique Inputs (OTHER)], MATCH(Table_Process_Details[[#This Row],[Unique Inputs Sorted by '[Acidification (kg SO2 equiv.) per kg API']]],Table_Process_Details[Unique Process Inputs],0))</f>
        <v>#N/A</v>
      </c>
      <c r="GN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0" s="22">
        <f ca="1">SUMIFS(Table_Process_Details[RV Eutrophication (kg phosphate equiv.) per kg API],Table_Process_Details[Display Name],Table_Process_Details[[#This Row],[Unique Process Inputs]],Table_Process_Details[Input or Output],"Input")</f>
        <v>0</v>
      </c>
      <c r="GV80" s="1">
        <f ca="1">SUMIFS(Table_Process_Details[RV Eutrophication (kg phosphate equiv.) per kg API (REAGENT)],Table_Process_Details[Display Name],Table_Process_Details[[#This Row],[Unique Process Inputs]],Table_Process_Details[Input or Output],"Input")</f>
        <v>0</v>
      </c>
      <c r="GW80" s="1">
        <f ca="1">SUMIFS(Table_Process_Details[RV Eutrophication (kg phosphate equiv.) per kg API (METAL)],Table_Process_Details[Display Name],Table_Process_Details[[#This Row],[Unique Process Inputs]],Table_Process_Details[Input or Output],"Input")</f>
        <v>0</v>
      </c>
      <c r="GX80" s="1">
        <f ca="1">SUMIFS(Table_Process_Details[RV Eutrophication (kg phosphate equiv.) per kg API (SOLVENT)],Table_Process_Details[Display Name],Table_Process_Details[[#This Row],[Unique Process Inputs]],Table_Process_Details[Input or Output],"Input")</f>
        <v>0</v>
      </c>
      <c r="GY80" s="1">
        <f ca="1">SUMIFS(Table_Process_Details[RV Eutrophication (kg phosphate equiv.) per kg API (WATER)],Table_Process_Details[Display Name],Table_Process_Details[[#This Row],[Unique Process Inputs]],Table_Process_Details[Input or Output],"Input")</f>
        <v>0</v>
      </c>
      <c r="GZ80" s="1">
        <f ca="1">SUMIFS(Table_Process_Details[RV Eutrophication (kg phosphate equiv.) per kg API (ENZ&amp;PLNT)],Table_Process_Details[Display Name],Table_Process_Details[[#This Row],[Unique Process Inputs]],Table_Process_Details[Input or Output],"Input")</f>
        <v>0</v>
      </c>
      <c r="HA80" s="1">
        <f ca="1">SUMIFS(Table_Process_Details[RV Eutrophication (kg phosphate equiv.) per kg API (OTHER)],Table_Process_Details[Display Name],Table_Process_Details[[#This Row],[Unique Process Inputs]],Table_Process_Details[Input or Output],"Input")</f>
        <v>0</v>
      </c>
      <c r="HB8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0" s="22" t="e">
        <f ca="1">SUM(OFFSET(Table_Process_Details['[Eutrophication (kg posphate equiv.) per kg API'] of Unique Inputs Sorted by '[Eutrophication (kg posphate equiv.) per kg API']],0,0,Table_Process_Details[[#This Row],[Table Row]]))</f>
        <v>#N/A</v>
      </c>
      <c r="HE8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0" s="1" t="e">
        <f ca="1">INDEX(Table_Process_Details[Total '[Eutrophication (kg posphate equiv.) per kg API'] of Unique Inputs (REAGENT)], MATCH(Table_Process_Details[[#This Row],[Unique Inputs Sorted by '[Eutrophication (kg posphate equiv.) per kg API']]],Table_Process_Details[Unique Process Inputs],0))</f>
        <v>#N/A</v>
      </c>
      <c r="HG80" s="1" t="e">
        <f ca="1">INDEX(Table_Process_Details[Total '[Eutrophication (kg posphate equiv.) per kg API'] of Unique Inputs (METAL)], MATCH(Table_Process_Details[[#This Row],[Unique Inputs Sorted by '[Eutrophication (kg posphate equiv.) per kg API']]],Table_Process_Details[Unique Process Inputs],0))</f>
        <v>#N/A</v>
      </c>
      <c r="HH80" s="1" t="e">
        <f ca="1">INDEX(Table_Process_Details[Total '[Eutrophication (kg posphate equiv.) per kg API'] of Unique Inputs (SOLVENT)], MATCH(Table_Process_Details[[#This Row],[Unique Inputs Sorted by '[Eutrophication (kg posphate equiv.) per kg API']]],Table_Process_Details[Unique Process Inputs],0))</f>
        <v>#N/A</v>
      </c>
      <c r="HI80" s="1" t="e">
        <f ca="1">INDEX(Table_Process_Details[Total '[Eutrophication (kg posphate equiv.) per kg API'] of Unique Inputs (WATER)], MATCH(Table_Process_Details[[#This Row],[Unique Inputs Sorted by '[Eutrophication (kg posphate equiv.) per kg API']]],Table_Process_Details[Unique Process Inputs],0))</f>
        <v>#N/A</v>
      </c>
      <c r="HJ80" s="1" t="e">
        <f ca="1">INDEX(Table_Process_Details[Total '[Eutrophication (kg posphate equiv.) per kg API'] of Unique Inputs (ENZ&amp;PLNT)], MATCH(Table_Process_Details[[#This Row],[Unique Inputs Sorted by '[Eutrophication (kg posphate equiv.) per kg API']]],Table_Process_Details[Unique Process Inputs],0))</f>
        <v>#N/A</v>
      </c>
      <c r="HK80" s="1" t="e">
        <f ca="1">INDEX(Table_Process_Details[Total '[Eutrophication (kg posphate equiv.) per kg API'] of Unique Inputs (OTHER)], MATCH(Table_Process_Details[[#This Row],[Unique Inputs Sorted by '[Eutrophication (kg posphate equiv.) per kg API']]],Table_Process_Details[Unique Process Inputs],0))</f>
        <v>#N/A</v>
      </c>
      <c r="HL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0" s="1">
        <f ca="1">SUMIFS(Table_Process_Details[RV Water (kg) per kg API],Table_Process_Details[Display Name],Table_Process_Details[[#This Row],[Unique Process Inputs]],Table_Process_Details[Input or Output],"Input")</f>
        <v>0</v>
      </c>
      <c r="HT80" s="1">
        <f ca="1">SUMIFS(Table_Process_Details[RV Water (kg) per kg API (REAGENT)],Table_Process_Details[Display Name],Table_Process_Details[[#This Row],[Unique Process Inputs]],Table_Process_Details[Input or Output],"Input")</f>
        <v>0</v>
      </c>
      <c r="HU80" s="1">
        <f ca="1">SUMIFS(Table_Process_Details[RV Water (kg) per kg API (METAL)],Table_Process_Details[Display Name],Table_Process_Details[[#This Row],[Unique Process Inputs]],Table_Process_Details[Input or Output],"Input")</f>
        <v>0</v>
      </c>
      <c r="HV80" s="1">
        <f ca="1">SUMIFS(Table_Process_Details[RV Water (kg) per kg API (SOLVENT)],Table_Process_Details[Display Name],Table_Process_Details[[#This Row],[Unique Process Inputs]],Table_Process_Details[Input or Output],"Input")</f>
        <v>0</v>
      </c>
      <c r="HW80" s="1">
        <f ca="1">SUMIFS(Table_Process_Details[RV Water (kg) per kg API (WATER)],Table_Process_Details[Display Name],Table_Process_Details[[#This Row],[Unique Process Inputs]],Table_Process_Details[Input or Output],"Input")</f>
        <v>0</v>
      </c>
      <c r="HX80" s="1">
        <f ca="1">SUMIFS(Table_Process_Details[RV Water (kg) per kg API (ENZ&amp;PLNT)],Table_Process_Details[Display Name],Table_Process_Details[[#This Row],[Unique Process Inputs]],Table_Process_Details[Input or Output],"Input")</f>
        <v>0</v>
      </c>
      <c r="HY80" s="1">
        <f ca="1">SUMIFS(Table_Process_Details[RV Water (kg) per kg API (OTHER)],Table_Process_Details[Display Name],Table_Process_Details[[#This Row],[Unique Process Inputs]],Table_Process_Details[Input or Output],"Input")</f>
        <v>0</v>
      </c>
      <c r="HZ80" s="22" t="e">
        <f ca="1">INDEX(Table_Process_Details[Unique Process Inputs],MATCH(Table_Process_Details[[#This Row],['[Water (kg) per kg API'] of Unique Inputs Sorted by '[Water (kg) per kg API']]],Table_Process_Details[Total '[Water (kg) per kg API'] of Unique Inputs],0))</f>
        <v>#N/A</v>
      </c>
      <c r="IA80" s="22" t="e">
        <f ca="1">IF(LARGE(Table_Process_Details[Total '[Water (kg) per kg API'] of Unique Inputs],Table_Process_Details[[#This Row],[Table Row]])=0,NA(),LARGE(Table_Process_Details[Total '[Water (kg) per kg API'] of Unique Inputs],Table_Process_Details[[#This Row],[Table Row]]))</f>
        <v>#N/A</v>
      </c>
      <c r="IB80" s="1" t="e">
        <f ca="1">SUM(OFFSET(Table_Process_Details['[Water (kg) per kg API'] of Unique Inputs Sorted by '[Water (kg) per kg API']],0,0,Table_Process_Details[[#This Row],[Table Row]]))</f>
        <v>#N/A</v>
      </c>
      <c r="IC80" s="1" t="e">
        <f ca="1">"("&amp;TEXT(Table_Process_Details[[#This Row],['[Water (kg) per kg API'] of Unique Inputs Sorted by '[Water (kg) per kg API']]]/SUMIF(Table_Process_Details['[Water (kg) per kg API'] of Unique Inputs Sorted by '[Water (kg) per kg API']],"&lt;&gt;#N/A"),"0%")&amp;")"</f>
        <v>#N/A</v>
      </c>
      <c r="ID80" s="1" t="e">
        <f ca="1">INDEX(Table_Process_Details[Total '[Water (kg) per kg API'] of Unique Inputs (REAGENT)], MATCH(Table_Process_Details[[#This Row],[Unique Inputs Sorted by '[Water (kg) per kg API']]],Table_Process_Details[Unique Process Inputs],0))</f>
        <v>#N/A</v>
      </c>
      <c r="IE80" s="1" t="e">
        <f ca="1">INDEX(Table_Process_Details[Total '[Water (kg) per kg API'] of Unique Inputs (METAL)], MATCH(Table_Process_Details[[#This Row],[Unique Inputs Sorted by '[Water (kg) per kg API']]],Table_Process_Details[Unique Process Inputs],0))</f>
        <v>#N/A</v>
      </c>
      <c r="IF80" s="1" t="e">
        <f ca="1">INDEX(Table_Process_Details[Total '[Water (kg) per kg API'] of Unique Inputs (SOLVENT)], MATCH(Table_Process_Details[[#This Row],[Unique Inputs Sorted by '[Water (kg) per kg API']]],Table_Process_Details[Unique Process Inputs],0))</f>
        <v>#N/A</v>
      </c>
      <c r="IG80" s="1" t="e">
        <f ca="1">INDEX(Table_Process_Details[Total '[Water (kg) per kg API'] of Unique Inputs (WATER)], MATCH(Table_Process_Details[[#This Row],[Unique Inputs Sorted by '[Water (kg) per kg API']]],Table_Process_Details[Unique Process Inputs],0))</f>
        <v>#N/A</v>
      </c>
      <c r="IH80" s="1" t="e">
        <f ca="1">INDEX(Table_Process_Details[Total '[Water (kg) per kg API'] of Unique Inputs (ENZ&amp;PLNT)], MATCH(Table_Process_Details[[#This Row],[Unique Inputs Sorted by '[Water (kg) per kg API']]],Table_Process_Details[Unique Process Inputs],0))</f>
        <v>#N/A</v>
      </c>
      <c r="II80" s="1" t="e">
        <f ca="1">INDEX(Table_Process_Details[Total '[Water (kg) per kg API'] of Unique Inputs (OTHER)], MATCH(Table_Process_Details[[#This Row],[Unique Inputs Sorted by '[Water (kg) per kg API']]],Table_Process_Details[Unique Process Inputs],0))</f>
        <v>#N/A</v>
      </c>
    </row>
    <row r="81" spans="1:243" customFormat="1" x14ac:dyDescent="0.25">
      <c r="A81" s="22" t="str">
        <f>A80</f>
        <v>4c) Virtual solution prep for (4): 0.3 M reagent L (organic) in water</v>
      </c>
      <c r="B81" s="21" t="s">
        <v>4</v>
      </c>
      <c r="C81" s="21" t="s">
        <v>6</v>
      </c>
      <c r="D81" s="22" t="s">
        <v>146</v>
      </c>
      <c r="E81" s="22" t="s">
        <v>814</v>
      </c>
      <c r="F81" s="26">
        <v>100</v>
      </c>
      <c r="G81" s="26"/>
      <c r="H81" s="26"/>
      <c r="I81" s="26"/>
      <c r="J81" s="26" t="str">
        <f>INDEX(Process_Steps[Reference],MATCH(Table_Process_Details[[#This Row],[Step Name]],Process_Steps[Name],0))</f>
        <v>Penultimate Reference Document</v>
      </c>
      <c r="K81" s="27" t="str">
        <f>INDEX(Process_Steps[Real or Virtual?],MATCH(Table_Process_Details[[#This Row],[Step Name]],Process_Steps[Name],0))</f>
        <v>Virtual</v>
      </c>
      <c r="L8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8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81" s="26">
        <f>INDEX(Table_Process_Details[Physical Mass (kg)],MATCH(1,INDEX(((Table_Process_Details[Step Name]=Table_Process_Details[[#This Row],[Step Name]])*(Table_Process_Details[Input or Output]="Output")),0),0))</f>
        <v>140</v>
      </c>
      <c r="O81" s="29">
        <f ca="1">INDEX(Process_Steps[Step Scale Factor for 1kg Packaged API],MATCH(Table_Process_Details[[#This Row],[Step Name]],Process_Steps[Name],0))</f>
        <v>2.7527986786566545E-2</v>
      </c>
      <c r="P8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16.666666666666668</v>
      </c>
      <c r="Q8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3.6666666666666679</v>
      </c>
      <c r="R81" s="26">
        <f ca="1">_xlfn.SWITCH(Run_Reset_PNG,"Reset",Table_Process_Details[[#This Row],[X Init]],"Run",Table_Process_Details[[#This Row],[X Moved]],"Freeze",Table_Process_Details[[#This Row],[X Mover]])</f>
        <v>10.214561659413464</v>
      </c>
      <c r="S81" s="26">
        <f ca="1">_xlfn.SWITCH(Run_Reset_PNG,"Reset",Table_Process_Details[[#This Row],[Y Init]],"Run",Table_Process_Details[[#This Row],[Y Moved]],"Freeze",Table_Process_Details[[#This Row],[Y Mover]])</f>
        <v>-0.62720670401707646</v>
      </c>
      <c r="T81" s="26" cm="1">
        <f t="array" aca="1" ref="T8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-1.7120757624570968</v>
      </c>
      <c r="U81" s="26" cm="1">
        <f t="array" aca="1" ref="U8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-2.4168407980193201</v>
      </c>
      <c r="V81" s="26" cm="1">
        <f t="array" aca="1" ref="V81" ca="1">SUM(--(SQRT((Table_Process_Details[[#This Row],[X Mover]]-Table_Process_Details[X Mover])^2+(Table_Process_Details[[#This Row],[Y Mover]]-Table_Process_Details[Y Mover])^2)&lt;Collision_Distance))</f>
        <v>20</v>
      </c>
      <c r="W81" s="26" cm="1">
        <f t="array" aca="1" ref="W8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6.0871853310734129E-2</v>
      </c>
      <c r="X81" s="26" cm="1">
        <f t="array" aca="1" ref="X8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5.1768012300160191E-2</v>
      </c>
      <c r="Y81" s="26" cm="1">
        <f t="array" aca="1" ref="Y8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81" s="26">
        <f>0</f>
        <v>0</v>
      </c>
      <c r="AA81" s="26">
        <f>0</f>
        <v>0</v>
      </c>
      <c r="AB8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-5.107280829706732</v>
      </c>
      <c r="AC81" s="26" cm="1">
        <f t="array" aca="1" ref="AC8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0.31360335200853823</v>
      </c>
      <c r="AD81" s="26">
        <f>MIN(1,COUNTA(Table_Process_Details[[#This Row],[target x]]),COUNTA(Table_Process_Details[[#This Row],[target y]]))*COUNTA(Table_Process_Details[Step Name])</f>
        <v>98</v>
      </c>
      <c r="AE8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10.137714614094133</v>
      </c>
      <c r="AF8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-0.69308069741371348</v>
      </c>
      <c r="AG8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81" s="26" cm="1">
        <f t="array" aca="1" ref="AH81" ca="1">INDEX(Table_Process_Details[X Mover],MATCH(1,INDEX((Table_Process_Details[Input or Output]="Output")*(Table_Process_Details[Step Name]=Table_Process_Details[[#This Row],[Step Name]])*(Table_Process_Details[[#This Row],[Input or Output]]="Input"),0),0))</f>
        <v>12.621624199762062</v>
      </c>
      <c r="AI81" s="26" cm="1">
        <f t="array" aca="1" ref="AI81" ca="1">INDEX(Table_Process_Details[Y Mover],MATCH(1,INDEX((Table_Process_Details[Input or Output]="Output")*(Table_Process_Details[Step Name]=Table_Process_Details[[#This Row],[Step Name]])*(Table_Process_Details[[#This Row],[Input or Output]]="Input"),0),0))</f>
        <v>1.4198616275470548</v>
      </c>
      <c r="AJ81" s="26" t="e">
        <f ca="1">SQRT((Table_Process_Details[[#This Row],[X End (To Node Center)]]-Table_Process_Details[[#This Row],[X Guide]])^2+(Table_Process_Details[[#This Row],[Y End (to Node Center)]]-Table_Process_Details[[#This Row],[Y Guide]])^2)</f>
        <v>#N/A</v>
      </c>
      <c r="AK81" s="26" t="e" cm="1">
        <f t="array" ref="AK81">INDEX(Table_Process_Details[X Mover],MATCH(1,INDEX((Table_Process_Details[Step Name]=Table_Process_Details[[#This Row],[LCA Data Source Subclass]])*(Table_Process_Details[Input or Output]="Output"),0)*(Table_Process_Details[[#This Row],[Input or Output]]="Input"),0))</f>
        <v>#N/A</v>
      </c>
      <c r="AL81" s="26" cm="1">
        <f t="array" aca="1" ref="AL81" ca="1">INDEX(Table_Process_Details[X Mover],MATCH(1,INDEX(((Table_Process_Details[Table Row]=Table_Process_Details[[#This Row],[Table Row]])*(1)),0)*(Table_Process_Details[[#This Row],[Input or Output]]="Input"),0))</f>
        <v>10.214561659413464</v>
      </c>
      <c r="AM81" s="26" t="e" cm="1">
        <f t="array" aca="1" ref="AM81" ca="1">(Table_Process_Details[[#This Row],[X End (To Node Center)]]*Table_Process_Details[[#This Row],[r0]]-Table_Process_Details[[#This Row],[X End (To Node Center)]]*Arrow_Offset+Table_Process_Details[[#This Row],[X Guide]]*Arrow_Offset)/Table_Process_Details[[#This Row],[r0]]</f>
        <v>#N/A</v>
      </c>
      <c r="AN81" s="26" t="e">
        <f>IF(NOT(Table_Process_Details[[#This Row],[Display As]]="None"),Table_Process_Details[[#This Row],[X Start Prefilter]],NA())</f>
        <v>#N/A</v>
      </c>
      <c r="AO81" s="26" t="e">
        <f>IF(NOT(Table_Process_Details[[#This Row],[Display As]]="None"),Table_Process_Details[[#This Row],[X Guide Prefilter]],NA())</f>
        <v>#N/A</v>
      </c>
      <c r="AP81" s="26" t="e">
        <f>IF(NOT(Table_Process_Details[[#This Row],[Display As]]="None"),Table_Process_Details[[#This Row],[X End (to Stop Radius) Prefilter]],NA())</f>
        <v>#N/A</v>
      </c>
      <c r="AQ81" s="26" t="e">
        <f>NA()</f>
        <v>#N/A</v>
      </c>
      <c r="AR81" s="26" t="e" cm="1">
        <f t="array" ref="AR81">INDEX(Table_Process_Details[Y Mover],MATCH(1,INDEX((Table_Process_Details[Step Name]=Table_Process_Details[[#This Row],[LCA Data Source Subclass]])*(Table_Process_Details[Input or Output]="Output"),0)*(Table_Process_Details[[#This Row],[Input or Output]]="Input"),0))</f>
        <v>#N/A</v>
      </c>
      <c r="AS81" s="26" cm="1">
        <f t="array" aca="1" ref="AS81" ca="1">INDEX(Table_Process_Details[Y Mover],MATCH(1,INDEX(((Table_Process_Details[Table Row]=Table_Process_Details[[#This Row],[Table Row]])*(1)),0)*(Table_Process_Details[[#This Row],[Input or Output]]="Input"),0))</f>
        <v>-0.62720670401707646</v>
      </c>
      <c r="AT81" s="26" t="e" cm="1">
        <f t="array" aca="1" ref="AT81" ca="1">(Table_Process_Details[[#This Row],[Y Guide]]*Arrow_Offset-Table_Process_Details[[#This Row],[Y End (to Node Center)]]*Arrow_Offset+Table_Process_Details[[#This Row],[Y End (to Node Center)]]*Table_Process_Details[[#This Row],[r0]])/Table_Process_Details[[#This Row],[r0]]</f>
        <v>#N/A</v>
      </c>
      <c r="AU81" s="26" t="e">
        <f>IF(NOT(Table_Process_Details[[#This Row],[Display As]]="None"),Table_Process_Details[[#This Row],[Y Start Prefilter]],NA())</f>
        <v>#N/A</v>
      </c>
      <c r="AV81" s="26" t="e">
        <f>IF(NOT(Table_Process_Details[[#This Row],[Display As]]="None"),Table_Process_Details[[#This Row],[Y Guide Prefilter]],NA())</f>
        <v>#N/A</v>
      </c>
      <c r="AW81" s="26" t="e">
        <f>IF(NOT(Table_Process_Details[[#This Row],[Display As]]="None"),Table_Process_Details[[#This Row],[Y End (to Stop Radius) Prefilter]],NA())</f>
        <v>#N/A</v>
      </c>
      <c r="AX81" s="26" t="e">
        <f>NA()</f>
        <v>#N/A</v>
      </c>
      <c r="AY81" s="26" t="e">
        <f>IF(Table_Process_Details[[#This Row],[Display As]]="Real Step",Table_Process_Details[[#This Row],[X Mover]],NA())</f>
        <v>#N/A</v>
      </c>
      <c r="AZ81" s="26" t="e">
        <f>IF(Table_Process_Details[[#This Row],[Display As]]="Real Step",Table_Process_Details[[#This Row],[Y Mover]],NA())</f>
        <v>#N/A</v>
      </c>
      <c r="BA81" s="26" t="e">
        <f>IF(Table_Process_Details[[#This Row],[Display As]]="Raw Material",Table_Process_Details[[#This Row],[X Mover]],NA())</f>
        <v>#N/A</v>
      </c>
      <c r="BB81" s="26" t="e">
        <f>IF(Table_Process_Details[[#This Row],[Display As]]="Raw Material",Table_Process_Details[[#This Row],[Y Mover]],NA())</f>
        <v>#N/A</v>
      </c>
      <c r="BC81" s="26" t="e">
        <f>IF(OR(Table_Process_Details[[#This Row],[Display As]]="Real Step",Table_Process_Details[[#This Row],[Display As]]="Raw Material"),Table_Process_Details[[#This Row],[X Mover]],NA())</f>
        <v>#N/A</v>
      </c>
      <c r="BD81" s="26" t="e">
        <f>IF(OR(Table_Process_Details[[#This Row],[Display As]]="Real Step",Table_Process_Details[[#This Row],[Display As]]="Raw Material"),Table_Process_Details[[#This Row],[Y Mover]],NA())</f>
        <v>#N/A</v>
      </c>
      <c r="BE81" s="22">
        <f>ROW()-ROW(Table_Process_Details[[#Headers],[Table Row]])</f>
        <v>77</v>
      </c>
      <c r="BF81" s="23" t="e" cm="1">
        <f t="array" aca="1" ref="BF81" ca="1">INDEX(Table_Process_Details[Display Name],MATCH(0,IF(Table_Process_Details[Input or Output]="Input",INDEX(COUNTIF(OFFSET(Table_Process_Details[[#Headers],[Unique Process Inputs]],0,0,Table_Process_Details[[#This Row],[Table Row]],1),Table_Process_Details[Display Name]),),""),0))</f>
        <v>#N/A</v>
      </c>
      <c r="BG81" s="23">
        <f ca="1">Table_Process_Details[[#This Row],[Physical Mass (kg)]]*Table_Process_Details[[#This Row],[Step Scale Factor for 1kg Packaged API]]</f>
        <v>2.7527986786566547</v>
      </c>
      <c r="BH8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1" s="23">
        <f ca="1">MATCH(Table_Process_Details[[#This Row],[LCA Data Source Class]],INDIRECT(Table_Process_Details[[#This Row],[Input or Output]]),0)</f>
        <v>2</v>
      </c>
      <c r="BJ81" s="23">
        <f ca="1">MATCH(Table_Process_Details[[#This Row],[LCA Data Source Subclass]],INDIRECT(Table_Process_Details[[#This Row],[LCA Data Source Class]]&amp;"[Name]"),0)</f>
        <v>64</v>
      </c>
      <c r="BK81" s="23">
        <f ca="1">IFERROR(INDEX(INDIRECT(Table_Process_Details[[#This Row],[LCA Data Source Class]]&amp;"[Mass Net (kg)]"),MATCH(Table_Process_Details[[#This Row],[LCA Data Source Subclass]],INDIRECT(Table_Process_Details[[#This Row],[LCA Data Source Class]]&amp;"[Name]"),0)),0)</f>
        <v>1.5302652999999999E-3</v>
      </c>
      <c r="BL81" s="23">
        <f ca="1">IFERROR(INDEX(INDIRECT(Table_Process_Details[[#This Row],[LCA Data Source Class]]&amp;"[Energy (MJ)]"),MATCH(Table_Process_Details[[#This Row],[LCA Data Source Subclass]],INDIRECT(Table_Process_Details[[#This Row],[LCA Data Source Class]]&amp;"[Name]"),0)),0)</f>
        <v>1.9058192000000002E-2</v>
      </c>
      <c r="BM81" s="23">
        <f ca="1">IFERROR(INDEX(INDIRECT(Table_Process_Details[[#This Row],[LCA Data Source Class]]&amp;"[GWP (kg CO2 equiv.)]"),MATCH(Table_Process_Details[[#This Row],[LCA Data Source Subclass]],INDIRECT(Table_Process_Details[[#This Row],[LCA Data Source Class]]&amp;"[Name]"),0)),0)</f>
        <v>1.015742E-3</v>
      </c>
      <c r="BN81" s="23">
        <f ca="1">IFERROR(INDEX(INDIRECT(Table_Process_Details[[#This Row],[LCA Data Source Class]]&amp;"[Acidification (kg SO2 equiv.)]"),MATCH(Table_Process_Details[[#This Row],[LCA Data Source Subclass]],INDIRECT(Table_Process_Details[[#This Row],[LCA Data Source Class]]&amp;"[Name]"),0)),0)</f>
        <v>3.8914349999999996E-6</v>
      </c>
      <c r="BO81" s="23">
        <f ca="1">IFERROR(INDEX(INDIRECT(Table_Process_Details[[#This Row],[LCA Data Source Class]]&amp;"[Eutrophication (kg posphate equiv.)]"),MATCH(Table_Process_Details[[#This Row],[LCA Data Source Subclass]],INDIRECT(Table_Process_Details[[#This Row],[LCA Data Source Class]]&amp;"[Name]"),0)),0)</f>
        <v>2.3181694000000001E-6</v>
      </c>
      <c r="BP81" s="23">
        <f ca="1">IFERROR(INDEX(INDIRECT(Table_Process_Details[[#This Row],[LCA Data Source Class]]&amp;"[Water (kg)]"),MATCH(Table_Process_Details[[#This Row],[LCA Data Source Subclass]],INDIRECT(Table_Process_Details[[#This Row],[LCA Data Source Class]]&amp;"[Name]"),0)),0)</f>
        <v>1.2633490999999999</v>
      </c>
      <c r="BQ81" s="27">
        <f ca="1">(Table_Process_Details[[#This Row],[Input or Output]]="Input")*(Table_Process_Details[[#This Row],[LCA Data Source Class]]&lt;&gt;"Process_Steps")*Table_Process_Details[[#This Row],[Scaled Physical Mass per kg API for All Inputs &amp; Outputs]]</f>
        <v>2.7527986786566547</v>
      </c>
      <c r="BR81" s="27">
        <f ca="1">(Table_Process_Details[[#This Row],[Material Class]]="REAGENT")*Table_Process_Details[[#This Row],[Physical Mass per kg API]]</f>
        <v>0</v>
      </c>
      <c r="BS81" s="27">
        <f ca="1">(Table_Process_Details[[#This Row],[Material Class]]="METAL")*Table_Process_Details[[#This Row],[Physical Mass per kg API]]</f>
        <v>0</v>
      </c>
      <c r="BT81" s="27">
        <f ca="1">(Table_Process_Details[[#This Row],[Material Class]]="SOLVENT")*Table_Process_Details[[#This Row],[Physical Mass per kg API]]</f>
        <v>0</v>
      </c>
      <c r="BU81" s="27">
        <f ca="1">(Table_Process_Details[[#This Row],[Material Class]]="WATER")*Table_Process_Details[[#This Row],[Physical Mass per kg API]]</f>
        <v>2.7527986786566547</v>
      </c>
      <c r="BV81" s="27">
        <f ca="1">(Table_Process_Details[[#This Row],[Material Class]]="ENZ&amp;PLNT")*Table_Process_Details[[#This Row],[Physical Mass per kg API]]</f>
        <v>0</v>
      </c>
      <c r="BW81" s="27">
        <f ca="1">(Table_Process_Details[[#This Row],[Material Class]]="OTHER")*Table_Process_Details[[#This Row],[Physical Mass per kg API]]</f>
        <v>0</v>
      </c>
      <c r="BX8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1" s="1">
        <f ca="1">SUMIFS(Table_Process_Details[RV Physical Mass per kg API],Table_Process_Details[Display Name],Table_Process_Details[[#This Row],[Unique Process Inputs]],Table_Process_Details[Input or Output],"Input")</f>
        <v>0</v>
      </c>
      <c r="CF81" s="1">
        <f ca="1">SUMIFS(Table_Process_Details[RV Physical Mass per kg API (REAGENT)],Table_Process_Details[Display Name],Table_Process_Details[[#This Row],[Unique Process Inputs]],Table_Process_Details[Input or Output],"Input")</f>
        <v>0</v>
      </c>
      <c r="CG81" s="1">
        <f ca="1">SUMIFS(Table_Process_Details[RV Physical Mass per kg API (METAL)],Table_Process_Details[Display Name],Table_Process_Details[[#This Row],[Unique Process Inputs]],Table_Process_Details[Input or Output],"Input")</f>
        <v>0</v>
      </c>
      <c r="CH81" s="1">
        <f ca="1">SUMIFS(Table_Process_Details[RV Physical Mass per kg API (SOLVENT)],Table_Process_Details[Display Name],Table_Process_Details[[#This Row],[Unique Process Inputs]],Table_Process_Details[Input or Output],"Input")</f>
        <v>0</v>
      </c>
      <c r="CI81" s="1">
        <f ca="1">SUMIFS(Table_Process_Details[RV Physical Mass per kg API (WATER)],Table_Process_Details[Display Name],Table_Process_Details[[#This Row],[Unique Process Inputs]],Table_Process_Details[Input or Output],"Input")</f>
        <v>0</v>
      </c>
      <c r="CJ81" s="1">
        <f ca="1">SUMIFS(Table_Process_Details[RV Physical Mass per kg API (ENZ&amp;PLNT)],Table_Process_Details[Display Name],Table_Process_Details[[#This Row],[Unique Process Inputs]],Table_Process_Details[Input or Output],"Input")</f>
        <v>0</v>
      </c>
      <c r="CK81" s="1">
        <f ca="1">SUMIFS(Table_Process_Details[RV Physical Mass per kg API (OTHER)],Table_Process_Details[Display Name],Table_Process_Details[[#This Row],[Unique Process Inputs]],Table_Process_Details[Input or Output],"Input")</f>
        <v>0</v>
      </c>
      <c r="CL81" s="22" t="e">
        <f ca="1">INDEX(Table_Process_Details[Unique Process Inputs],MATCH(Table_Process_Details[[#This Row],['[Physical Mass per kg API'] of Unique Inputs Sorted by '[Physical Mass per kg API']]],Table_Process_Details[Total '[Physical Mass per kg API'] of Unique Inputs],0))</f>
        <v>#N/A</v>
      </c>
      <c r="CM81" s="22" t="e">
        <f ca="1">IF(LARGE(Table_Process_Details[Total '[Physical Mass per kg API'] of Unique Inputs],Table_Process_Details[[#This Row],[Table Row]])=0,NA(),LARGE(Table_Process_Details[Total '[Physical Mass per kg API'] of Unique Inputs],Table_Process_Details[[#This Row],[Table Row]]))</f>
        <v>#N/A</v>
      </c>
      <c r="CN81" s="22" t="e">
        <f ca="1">SUM(OFFSET(Table_Process_Details['[Physical Mass per kg API'] of Unique Inputs Sorted by '[Physical Mass per kg API']],0,0,Table_Process_Details[[#This Row],[Table Row]]))</f>
        <v>#N/A</v>
      </c>
      <c r="CO81" s="22" t="e">
        <f ca="1">"("&amp;TEXT(Table_Process_Details[[#This Row],['[Physical Mass per kg API'] of Unique Inputs Sorted by '[Physical Mass per kg API']]]/SUMIF(Table_Process_Details['[Physical Mass per kg API'] of Unique Inputs Sorted by '[Physical Mass per kg API']],"&lt;&gt;#N/A"),"0%")&amp;")"</f>
        <v>#N/A</v>
      </c>
      <c r="CP81" s="22" t="e">
        <f ca="1">INDEX(Table_Process_Details[Total '[Physical Mass per kg API'] of Unique Inputs (REAGENT)],MATCH(Table_Process_Details[[#This Row],[Unique Inputs Sorted by '[Physical Mass per kg API']]],Table_Process_Details[Unique Process Inputs],0))</f>
        <v>#N/A</v>
      </c>
      <c r="CQ81" s="22" t="e">
        <f ca="1">INDEX(Table_Process_Details[Total '[Physical Mass per kg API'] of Unique Inputs (METAL)],MATCH(Table_Process_Details[[#This Row],[Unique Inputs Sorted by '[Physical Mass per kg API']]],Table_Process_Details[Unique Process Inputs],0))</f>
        <v>#N/A</v>
      </c>
      <c r="CR81" s="22" t="e">
        <f ca="1">INDEX(Table_Process_Details[Total '[Physical Mass per kg API'] of Unique Inputs (SOLVENT)],MATCH(Table_Process_Details[[#This Row],[Unique Inputs Sorted by '[Physical Mass per kg API']]],Table_Process_Details[Unique Process Inputs],0))</f>
        <v>#N/A</v>
      </c>
      <c r="CS81" s="22" t="e">
        <f ca="1">INDEX(Table_Process_Details[Total '[Physical Mass per kg API'] of Unique Inputs (WATER)],MATCH(Table_Process_Details[[#This Row],[Unique Inputs Sorted by '[Physical Mass per kg API']]],Table_Process_Details[Unique Process Inputs],0))</f>
        <v>#N/A</v>
      </c>
      <c r="CT81" s="22" t="e">
        <f ca="1">INDEX(Table_Process_Details[Total '[Physical Mass per kg API'] of Unique Inputs (ENZ&amp;PLNT)],MATCH(Table_Process_Details[[#This Row],[Unique Inputs Sorted by '[Physical Mass per kg API']]],Table_Process_Details[Unique Process Inputs],0))</f>
        <v>#N/A</v>
      </c>
      <c r="CU81" s="22" t="e">
        <f ca="1">INDEX(Table_Process_Details[Total '[Physical Mass per kg API'] of Unique Inputs (OTHER)],MATCH(Table_Process_Details[[#This Row],[Unique Inputs Sorted by '[Physical Mass per kg API']]],Table_Process_Details[Unique Process Inputs],0))</f>
        <v>#N/A</v>
      </c>
      <c r="CV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1" s="22">
        <f ca="1">SUMIFS(Table_Process_Details[RV Mass Net (kg) per kg API],Table_Process_Details[Display Name],Table_Process_Details[[#This Row],[Unique Process Inputs]],Table_Process_Details[Input or Output],"Input")</f>
        <v>0</v>
      </c>
      <c r="DD81" s="22">
        <f ca="1">SUMIFS(Table_Process_Details[RV Mass Net (kg) per kg API (REAGENT)],Table_Process_Details[Display Name],Table_Process_Details[[#This Row],[Unique Process Inputs]],Table_Process_Details[Input or Output],"Input")</f>
        <v>0</v>
      </c>
      <c r="DE81" s="22">
        <f ca="1">SUMIFS(Table_Process_Details[RV Mass Net (kg) per kg API (METAL)],Table_Process_Details[Display Name],Table_Process_Details[[#This Row],[Unique Process Inputs]],Table_Process_Details[Input or Output],"Input")</f>
        <v>0</v>
      </c>
      <c r="DF81" s="22">
        <f ca="1">SUMIFS(Table_Process_Details[RV Mass Net (kg) per kg API (SOLVENT)],Table_Process_Details[Display Name],Table_Process_Details[[#This Row],[Unique Process Inputs]],Table_Process_Details[Input or Output],"Input")</f>
        <v>0</v>
      </c>
      <c r="DG81" s="22">
        <f ca="1">SUMIFS(Table_Process_Details[RV Mass Net (kg) per kg API (WATER)],Table_Process_Details[Display Name],Table_Process_Details[[#This Row],[Unique Process Inputs]],Table_Process_Details[Input or Output],"Input")</f>
        <v>0</v>
      </c>
      <c r="DH81" s="22">
        <f ca="1">SUMIFS(Table_Process_Details[RV Mass Net (kg) per kg API (ENZ&amp;PLNT)],Table_Process_Details[Display Name],Table_Process_Details[[#This Row],[Unique Process Inputs]],Table_Process_Details[Input or Output],"Input")</f>
        <v>0</v>
      </c>
      <c r="DI81" s="22">
        <f ca="1">SUMIFS(Table_Process_Details[RV Mass Net (kg) per kg API (OTHER)],Table_Process_Details[Display Name],Table_Process_Details[[#This Row],[Unique Process Inputs]],Table_Process_Details[Input or Output],"Input")</f>
        <v>0</v>
      </c>
      <c r="DJ81" s="22" t="e">
        <f ca="1">INDEX(Table_Process_Details[Unique Process Inputs],MATCH(Table_Process_Details[[#This Row],['[Mass Net (kg) per kg API'] of Unique Inputs Sorted by '[Mass Net (kg) per kg API']]],Table_Process_Details[Total '[Mass Net (kg) per kg API'] of Unique Inputs],0))</f>
        <v>#N/A</v>
      </c>
      <c r="DK81" s="22" t="e">
        <f ca="1">IF(LARGE(Table_Process_Details[Total '[Mass Net (kg) per kg API'] of Unique Inputs],Table_Process_Details[[#This Row],[Table Row]])=0,NA(),LARGE(Table_Process_Details[Total '[Mass Net (kg) per kg API'] of Unique Inputs],Table_Process_Details[[#This Row],[Table Row]]))</f>
        <v>#N/A</v>
      </c>
      <c r="DL81" s="22" t="e">
        <f ca="1">SUM(OFFSET(Table_Process_Details['[Mass Net (kg) per kg API'] of Unique Inputs Sorted by '[Mass Net (kg) per kg API']],0,0,Table_Process_Details[[#This Row],[Table Row]]))</f>
        <v>#N/A</v>
      </c>
      <c r="DM81" s="22" t="e">
        <f ca="1">"("&amp;TEXT(Table_Process_Details[[#This Row],['[Mass Net (kg) per kg API'] of Unique Inputs Sorted by '[Mass Net (kg) per kg API']]]/SUMIF(Table_Process_Details['[Mass Net (kg) per kg API'] of Unique Inputs Sorted by '[Mass Net (kg) per kg API']],"&lt;&gt;#N/A"),"0%")&amp;")"</f>
        <v>#N/A</v>
      </c>
      <c r="DN81" s="22" t="e">
        <f ca="1">INDEX(Table_Process_Details[Total '[Mass Net (kg) per kg API'] of Unique Inputs (REAGENT)], MATCH(Table_Process_Details[[#This Row],[Unique Inputs Sorted by '[Mass Net (kg) per kg API']]],Table_Process_Details[Unique Process Inputs],0))</f>
        <v>#N/A</v>
      </c>
      <c r="DO81" s="22" t="e">
        <f ca="1">INDEX(Table_Process_Details[Total '[Mass Net (kg) per kg API'] of Unique Inputs (METAL)], MATCH(Table_Process_Details[[#This Row],[Unique Inputs Sorted by '[Mass Net (kg) per kg API']]],Table_Process_Details[Unique Process Inputs],0))</f>
        <v>#N/A</v>
      </c>
      <c r="DP81" s="22" t="e">
        <f ca="1">INDEX(Table_Process_Details[Total '[Mass Net (kg) per kg API'] of Unique Inputs (SOLVENT)], MATCH(Table_Process_Details[[#This Row],[Unique Inputs Sorted by '[Mass Net (kg) per kg API']]],Table_Process_Details[Unique Process Inputs],0))</f>
        <v>#N/A</v>
      </c>
      <c r="DQ81" s="22" t="e">
        <f ca="1">INDEX(Table_Process_Details[Total '[Mass Net (kg) per kg API'] of Unique Inputs (WATER)], MATCH(Table_Process_Details[[#This Row],[Unique Inputs Sorted by '[Mass Net (kg) per kg API']]],Table_Process_Details[Unique Process Inputs],0))</f>
        <v>#N/A</v>
      </c>
      <c r="DR81" s="22" t="e">
        <f ca="1">INDEX(Table_Process_Details[Total '[Mass Net (kg) per kg API'] of Unique Inputs (ENZ&amp;PLNT)], MATCH(Table_Process_Details[[#This Row],[Unique Inputs Sorted by '[Mass Net (kg) per kg API']]],Table_Process_Details[Unique Process Inputs],0))</f>
        <v>#N/A</v>
      </c>
      <c r="DS81" s="22" t="e">
        <f ca="1">INDEX(Table_Process_Details[Total '[Mass Net (kg) per kg API'] of Unique Inputs (OTHER)], MATCH(Table_Process_Details[[#This Row],[Unique Inputs Sorted by '[Mass Net (kg) per kg API']]],Table_Process_Details[Unique Process Inputs],0))</f>
        <v>#N/A</v>
      </c>
      <c r="DT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1" s="1">
        <f ca="1">SUMIFS(Table_Process_Details[RV Energy (MJ) per kg API],Table_Process_Details[Display Name],Table_Process_Details[[#This Row],[Unique Process Inputs]],Table_Process_Details[Input or Output],"Input")</f>
        <v>0</v>
      </c>
      <c r="EB81" s="1">
        <f ca="1">SUMIFS(Table_Process_Details[RV Energy (MJ) per kg API (REAGENT)],Table_Process_Details[Display Name],Table_Process_Details[[#This Row],[Unique Process Inputs]],Table_Process_Details[Input or Output],"Input")</f>
        <v>0</v>
      </c>
      <c r="EC81" s="1">
        <f ca="1">SUMIFS(Table_Process_Details[RV Energy (MJ) per kg API (METAL)],Table_Process_Details[Display Name],Table_Process_Details[[#This Row],[Unique Process Inputs]],Table_Process_Details[Input or Output],"Input")</f>
        <v>0</v>
      </c>
      <c r="ED81" s="1">
        <f ca="1">SUMIFS(Table_Process_Details[RV Energy (MJ) per kg API (SOLVENT)],Table_Process_Details[Display Name],Table_Process_Details[[#This Row],[Unique Process Inputs]],Table_Process_Details[Input or Output],"Input")</f>
        <v>0</v>
      </c>
      <c r="EE81" s="1">
        <f ca="1">SUMIFS(Table_Process_Details[RV Energy (MJ) per kg API (WATER)],Table_Process_Details[Display Name],Table_Process_Details[[#This Row],[Unique Process Inputs]],Table_Process_Details[Input or Output],"Input")</f>
        <v>0</v>
      </c>
      <c r="EF81" s="1">
        <f ca="1">SUMIFS(Table_Process_Details[RV Energy (MJ) per kg API (ENZ&amp;PLNT)],Table_Process_Details[Display Name],Table_Process_Details[[#This Row],[Unique Process Inputs]],Table_Process_Details[Input or Output],"Input")</f>
        <v>0</v>
      </c>
      <c r="EG81" s="1">
        <f ca="1">SUMIFS(Table_Process_Details[RV Energy (MJ) per kg API (OTHER)],Table_Process_Details[Display Name],Table_Process_Details[[#This Row],[Unique Process Inputs]],Table_Process_Details[Input or Output],"Input")</f>
        <v>0</v>
      </c>
      <c r="EH81" s="1" t="e">
        <f ca="1">INDEX(Table_Process_Details[Unique Process Inputs],MATCH(Table_Process_Details[[#This Row],['[Energy (MJ) per kg API'] of Unique Inputs Sorted by '[Energy (MJ) per kg API']]],Table_Process_Details[Total '[Energy (MJ) per kg API'] of Unique Inputs],0))</f>
        <v>#N/A</v>
      </c>
      <c r="EI81" s="22" t="e">
        <f ca="1">IF(LARGE(Table_Process_Details[Total '[Energy (MJ) per kg API'] of Unique Inputs],Table_Process_Details[[#This Row],[Table Row]])=0,NA(),LARGE(Table_Process_Details[Total '[Energy (MJ) per kg API'] of Unique Inputs],Table_Process_Details[[#This Row],[Table Row]]))</f>
        <v>#N/A</v>
      </c>
      <c r="EJ81" s="22" t="e">
        <f ca="1">SUM(OFFSET(Table_Process_Details['[Energy (MJ) per kg API'] of Unique Inputs Sorted by '[Energy (MJ) per kg API']],0,0,Table_Process_Details[[#This Row],[Table Row]]))</f>
        <v>#N/A</v>
      </c>
      <c r="EK81" s="22" t="e">
        <f ca="1">"("&amp;TEXT(Table_Process_Details[[#This Row],['[Energy (MJ) per kg API'] of Unique Inputs Sorted by '[Energy (MJ) per kg API']]]/SUMIF(Table_Process_Details['[Energy (MJ) per kg API'] of Unique Inputs Sorted by '[Energy (MJ) per kg API']],"&lt;&gt;#N/A"),"0%")&amp;")"</f>
        <v>#N/A</v>
      </c>
      <c r="EL81" s="22" t="e">
        <f ca="1">INDEX(Table_Process_Details[Total '[Energy (MJ) per kg API'] of Unique Inputs (REAGENT)], MATCH(Table_Process_Details[[#This Row],[Unique Inputs Sorted by '[Energy (MJ) per kg API']]],Table_Process_Details[Unique Process Inputs],0))</f>
        <v>#N/A</v>
      </c>
      <c r="EM81" s="22" t="e">
        <f ca="1">INDEX(Table_Process_Details[Total '[Energy (MJ) per kg API'] of Unique Inputs (METAL)], MATCH(Table_Process_Details[[#This Row],[Unique Inputs Sorted by '[Energy (MJ) per kg API']]],Table_Process_Details[Unique Process Inputs],0))</f>
        <v>#N/A</v>
      </c>
      <c r="EN81" s="22" t="e">
        <f ca="1">INDEX(Table_Process_Details[Total '[Energy (MJ) per kg API'] of Unique Inputs (SOLVENT)], MATCH(Table_Process_Details[[#This Row],[Unique Inputs Sorted by '[Energy (MJ) per kg API']]],Table_Process_Details[Unique Process Inputs],0))</f>
        <v>#N/A</v>
      </c>
      <c r="EO81" s="22" t="e">
        <f ca="1">INDEX(Table_Process_Details[Total '[Energy (MJ) per kg API'] of Unique Inputs (WATER)], MATCH(Table_Process_Details[[#This Row],[Unique Inputs Sorted by '[Energy (MJ) per kg API']]],Table_Process_Details[Unique Process Inputs],0))</f>
        <v>#N/A</v>
      </c>
      <c r="EP81" s="22" t="e">
        <f ca="1">INDEX(Table_Process_Details[Total '[Energy (MJ) per kg API'] of Unique Inputs (ENZ&amp;PLNT)], MATCH(Table_Process_Details[[#This Row],[Unique Inputs Sorted by '[Energy (MJ) per kg API']]],Table_Process_Details[Unique Process Inputs],0))</f>
        <v>#N/A</v>
      </c>
      <c r="EQ81" s="22" t="e">
        <f ca="1">INDEX(Table_Process_Details[Total '[Energy (MJ) per kg API'] of Unique Inputs (OTHER)], MATCH(Table_Process_Details[[#This Row],[Unique Inputs Sorted by '[Energy (MJ) per kg API']]],Table_Process_Details[Unique Process Inputs],0))</f>
        <v>#N/A</v>
      </c>
      <c r="ER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1" s="22">
        <f ca="1">SUMIFS(Table_Process_Details[RV GWP (kg CO2 equiv.) per kg API],Table_Process_Details[Display Name],Table_Process_Details[[#This Row],[Unique Process Inputs]],Table_Process_Details[Input or Output],"Input")</f>
        <v>0</v>
      </c>
      <c r="EZ81" s="1">
        <f ca="1">SUMIFS(Table_Process_Details[RV GWP (kg CO2 equiv.) per kg API (REAGENT)],Table_Process_Details[Display Name],Table_Process_Details[[#This Row],[Unique Process Inputs]],Table_Process_Details[Input or Output],"Input")</f>
        <v>0</v>
      </c>
      <c r="FA81" s="1">
        <f ca="1">SUMIFS(Table_Process_Details[RV GWP (kg CO2 equiv.) per kg API (METAL)],Table_Process_Details[Display Name],Table_Process_Details[[#This Row],[Unique Process Inputs]],Table_Process_Details[Input or Output],"Input")</f>
        <v>0</v>
      </c>
      <c r="FB81" s="1">
        <f ca="1">SUMIFS(Table_Process_Details[RV GWP (kg CO2 equiv.) per kg API (SOLVENT)],Table_Process_Details[Display Name],Table_Process_Details[[#This Row],[Unique Process Inputs]],Table_Process_Details[Input or Output],"Input")</f>
        <v>0</v>
      </c>
      <c r="FC81" s="1">
        <f ca="1">SUMIFS(Table_Process_Details[RV GWP (kg CO2 equiv.) per kg API (WATER)],Table_Process_Details[Display Name],Table_Process_Details[[#This Row],[Unique Process Inputs]],Table_Process_Details[Input or Output],"Input")</f>
        <v>0</v>
      </c>
      <c r="FD81" s="1">
        <f ca="1">SUMIFS(Table_Process_Details[RV GWP (kg CO2 equiv.) per kg API (ENZ&amp;PLNT)],Table_Process_Details[Display Name],Table_Process_Details[[#This Row],[Unique Process Inputs]],Table_Process_Details[Input or Output],"Input")</f>
        <v>0</v>
      </c>
      <c r="FE81" s="1">
        <f ca="1">SUMIFS(Table_Process_Details[RV GWP (kg CO2 equiv.) per kg API (OTHER)],Table_Process_Details[Display Name],Table_Process_Details[[#This Row],[Unique Process Inputs]],Table_Process_Details[Input or Output],"Input")</f>
        <v>0</v>
      </c>
      <c r="FF81" s="22" t="e">
        <f ca="1">INDEX(Table_Process_Details[Unique Process Inputs],MATCH(Table_Process_Details[[#This Row],['[GWP (kg CO2 equiv.) per kg API'] of Unique Inputs Sorted by '[GWP (kg CO2 equiv.) per kg API']]],Table_Process_Details[Total '[GWP (kg CO2 equiv.) per kg API'] of Unique Inputs],0))</f>
        <v>#N/A</v>
      </c>
      <c r="FG81" s="22" t="e">
        <f ca="1">IF(LARGE(Table_Process_Details[Total '[GWP (kg CO2 equiv.) per kg API'] of Unique Inputs],Table_Process_Details[[#This Row],[Table Row]])=0,NA(),LARGE(Table_Process_Details[Total '[GWP (kg CO2 equiv.) per kg API'] of Unique Inputs],Table_Process_Details[[#This Row],[Table Row]]))</f>
        <v>#N/A</v>
      </c>
      <c r="FH81" s="22" t="e">
        <f ca="1">SUM(OFFSET(Table_Process_Details['[GWP (kg CO2 equiv.) per kg API'] of Unique Inputs Sorted by '[GWP (kg CO2 equiv.) per kg API']],0,0,Table_Process_Details[[#This Row],[Table Row]]))</f>
        <v>#N/A</v>
      </c>
      <c r="FI81" s="22" t="e">
        <f ca="1">"("&amp;TEXT(Table_Process_Details[[#This Row],['[GWP (kg CO2 equiv.) per kg API'] of Unique Inputs Sorted by '[GWP (kg CO2 equiv.) per kg API']]]/SUMIF(Table_Process_Details['[GWP (kg CO2 equiv.) per kg API'] of Unique Inputs Sorted by '[GWP (kg CO2 equiv.) per kg API']],"&lt;&gt;#N/A"),"0%")&amp;")"</f>
        <v>#N/A</v>
      </c>
      <c r="FJ81" s="22" t="e">
        <f ca="1">INDEX(Table_Process_Details[Total '[GWP (kg CO2 equiv.) per kg API'] of Unique Inputs (REAGENT)], MATCH(Table_Process_Details[[#This Row],[Unique Inputs Sorted by '[GWP (kg CO2 equiv.) per kg API']]],Table_Process_Details[Unique Process Inputs],0))</f>
        <v>#N/A</v>
      </c>
      <c r="FK81" s="22" t="e">
        <f ca="1">INDEX(Table_Process_Details[Total '[GWP (kg CO2 equiv.) per kg API'] of Unique Inputs (METAL)], MATCH(Table_Process_Details[[#This Row],[Unique Inputs Sorted by '[GWP (kg CO2 equiv.) per kg API']]],Table_Process_Details[Unique Process Inputs],0))</f>
        <v>#N/A</v>
      </c>
      <c r="FL81" s="22" t="e">
        <f ca="1">INDEX(Table_Process_Details[Total '[GWP (kg CO2 equiv.) per kg API'] of Unique Inputs (SOLVENT)], MATCH(Table_Process_Details[[#This Row],[Unique Inputs Sorted by '[GWP (kg CO2 equiv.) per kg API']]],Table_Process_Details[Unique Process Inputs],0))</f>
        <v>#N/A</v>
      </c>
      <c r="FM81" s="22" t="e">
        <f ca="1">INDEX(Table_Process_Details[Total '[GWP (kg CO2 equiv.) per kg API'] of Unique Inputs (WATER)], MATCH(Table_Process_Details[[#This Row],[Unique Inputs Sorted by '[GWP (kg CO2 equiv.) per kg API']]],Table_Process_Details[Unique Process Inputs],0))</f>
        <v>#N/A</v>
      </c>
      <c r="FN81" s="22" t="e">
        <f ca="1">INDEX(Table_Process_Details[Total '[GWP (kg CO2 equiv.) per kg API'] of Unique Inputs (ENZ&amp;PLNT)], MATCH(Table_Process_Details[[#This Row],[Unique Inputs Sorted by '[GWP (kg CO2 equiv.) per kg API']]],Table_Process_Details[Unique Process Inputs],0))</f>
        <v>#N/A</v>
      </c>
      <c r="FO81" s="22" t="e">
        <f ca="1">INDEX(Table_Process_Details[Total '[GWP (kg CO2 equiv.) per kg API'] of Unique Inputs (OTHER)], MATCH(Table_Process_Details[[#This Row],[Unique Inputs Sorted by '[GWP (kg CO2 equiv.) per kg API']]],Table_Process_Details[Unique Process Inputs],0))</f>
        <v>#N/A</v>
      </c>
      <c r="FP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1" s="22">
        <f ca="1">SUMIFS(Table_Process_Details[RV Acidification (kg SO2 equiv.) per kg API],Table_Process_Details[Display Name],Table_Process_Details[[#This Row],[Unique Process Inputs]],Table_Process_Details[Input or Output],"Input")</f>
        <v>0</v>
      </c>
      <c r="FX81" s="1">
        <f ca="1">SUMIFS(Table_Process_Details[RV Acidification (kg SO2 equiv.) per kg API (REAGENT)],Table_Process_Details[Display Name],Table_Process_Details[[#This Row],[Unique Process Inputs]],Table_Process_Details[Input or Output],"Input")</f>
        <v>0</v>
      </c>
      <c r="FY81" s="1">
        <f ca="1">SUMIFS(Table_Process_Details[RV Acidification (kg SO2 equiv.) per kg API (METAL)],Table_Process_Details[Display Name],Table_Process_Details[[#This Row],[Unique Process Inputs]],Table_Process_Details[Input or Output],"Input")</f>
        <v>0</v>
      </c>
      <c r="FZ81" s="1">
        <f ca="1">SUMIFS(Table_Process_Details[RV Acidification (kg SO2 equiv.) per kg API (SOLVENT)],Table_Process_Details[Display Name],Table_Process_Details[[#This Row],[Unique Process Inputs]],Table_Process_Details[Input or Output],"Input")</f>
        <v>0</v>
      </c>
      <c r="GA81" s="1">
        <f ca="1">SUMIFS(Table_Process_Details[RV Acidification (kg SO2 equiv.) per kg API (WATER)],Table_Process_Details[Display Name],Table_Process_Details[[#This Row],[Unique Process Inputs]],Table_Process_Details[Input or Output],"Input")</f>
        <v>0</v>
      </c>
      <c r="GB81" s="1">
        <f ca="1">SUMIFS(Table_Process_Details[RV Acidification (kg SO2 equiv.) per kg API (ENZ&amp;PLNT)],Table_Process_Details[Display Name],Table_Process_Details[[#This Row],[Unique Process Inputs]],Table_Process_Details[Input or Output],"Input")</f>
        <v>0</v>
      </c>
      <c r="GC81" s="1">
        <f ca="1">SUMIFS(Table_Process_Details[RV Acidification (kg SO2 equiv.) per kg API (OTHER)],Table_Process_Details[Display Name],Table_Process_Details[[#This Row],[Unique Process Inputs]],Table_Process_Details[Input or Output],"Input")</f>
        <v>0</v>
      </c>
      <c r="GD81"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1"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1" s="22" t="e">
        <f ca="1">SUM(OFFSET(Table_Process_Details['[Acidification (kg SO2 equiv.) per kg API'] of Unique Inputs Sorted by '[Acidification (kg SO2 equiv.) per kg API']],0,0,Table_Process_Details[[#This Row],[Table Row]]))</f>
        <v>#N/A</v>
      </c>
      <c r="GG81"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1" s="22" t="e">
        <f ca="1">INDEX(Table_Process_Details[Total '[Acidification (kg SO2 equiv.) per kg API'] of Unique Inputs (REAGENT)], MATCH(Table_Process_Details[[#This Row],[Unique Inputs Sorted by '[Acidification (kg SO2 equiv.) per kg API']]],Table_Process_Details[Unique Process Inputs],0))</f>
        <v>#N/A</v>
      </c>
      <c r="GI81" s="22" t="e">
        <f ca="1">INDEX(Table_Process_Details[Total '[Acidification (kg SO2 equiv.) per kg API'] of Unique Inputs (METAL)], MATCH(Table_Process_Details[[#This Row],[Unique Inputs Sorted by '[Acidification (kg SO2 equiv.) per kg API']]],Table_Process_Details[Unique Process Inputs],0))</f>
        <v>#N/A</v>
      </c>
      <c r="GJ81" s="22" t="e">
        <f ca="1">INDEX(Table_Process_Details[Total '[Acidification (kg SO2 equiv.) per kg API'] of Unique Inputs (SOLVENT)], MATCH(Table_Process_Details[[#This Row],[Unique Inputs Sorted by '[Acidification (kg SO2 equiv.) per kg API']]],Table_Process_Details[Unique Process Inputs],0))</f>
        <v>#N/A</v>
      </c>
      <c r="GK81" s="22" t="e">
        <f ca="1">INDEX(Table_Process_Details[Total '[Acidification (kg SO2 equiv.) per kg API'] of Unique Inputs (WATER)], MATCH(Table_Process_Details[[#This Row],[Unique Inputs Sorted by '[Acidification (kg SO2 equiv.) per kg API']]],Table_Process_Details[Unique Process Inputs],0))</f>
        <v>#N/A</v>
      </c>
      <c r="GL81" s="22" t="e">
        <f ca="1">INDEX(Table_Process_Details[Total '[Acidification (kg SO2 equiv.) per kg API'] of Unique Inputs (ENZ&amp;PLNT)], MATCH(Table_Process_Details[[#This Row],[Unique Inputs Sorted by '[Acidification (kg SO2 equiv.) per kg API']]],Table_Process_Details[Unique Process Inputs],0))</f>
        <v>#N/A</v>
      </c>
      <c r="GM81" s="22" t="e">
        <f ca="1">INDEX(Table_Process_Details[Total '[Acidification (kg SO2 equiv.) per kg API'] of Unique Inputs (OTHER)], MATCH(Table_Process_Details[[#This Row],[Unique Inputs Sorted by '[Acidification (kg SO2 equiv.) per kg API']]],Table_Process_Details[Unique Process Inputs],0))</f>
        <v>#N/A</v>
      </c>
      <c r="GN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1" s="22">
        <f ca="1">SUMIFS(Table_Process_Details[RV Eutrophication (kg phosphate equiv.) per kg API],Table_Process_Details[Display Name],Table_Process_Details[[#This Row],[Unique Process Inputs]],Table_Process_Details[Input or Output],"Input")</f>
        <v>0</v>
      </c>
      <c r="GV81" s="1">
        <f ca="1">SUMIFS(Table_Process_Details[RV Eutrophication (kg phosphate equiv.) per kg API (REAGENT)],Table_Process_Details[Display Name],Table_Process_Details[[#This Row],[Unique Process Inputs]],Table_Process_Details[Input or Output],"Input")</f>
        <v>0</v>
      </c>
      <c r="GW81" s="1">
        <f ca="1">SUMIFS(Table_Process_Details[RV Eutrophication (kg phosphate equiv.) per kg API (METAL)],Table_Process_Details[Display Name],Table_Process_Details[[#This Row],[Unique Process Inputs]],Table_Process_Details[Input or Output],"Input")</f>
        <v>0</v>
      </c>
      <c r="GX81" s="1">
        <f ca="1">SUMIFS(Table_Process_Details[RV Eutrophication (kg phosphate equiv.) per kg API (SOLVENT)],Table_Process_Details[Display Name],Table_Process_Details[[#This Row],[Unique Process Inputs]],Table_Process_Details[Input or Output],"Input")</f>
        <v>0</v>
      </c>
      <c r="GY81" s="1">
        <f ca="1">SUMIFS(Table_Process_Details[RV Eutrophication (kg phosphate equiv.) per kg API (WATER)],Table_Process_Details[Display Name],Table_Process_Details[[#This Row],[Unique Process Inputs]],Table_Process_Details[Input or Output],"Input")</f>
        <v>0</v>
      </c>
      <c r="GZ81" s="1">
        <f ca="1">SUMIFS(Table_Process_Details[RV Eutrophication (kg phosphate equiv.) per kg API (ENZ&amp;PLNT)],Table_Process_Details[Display Name],Table_Process_Details[[#This Row],[Unique Process Inputs]],Table_Process_Details[Input or Output],"Input")</f>
        <v>0</v>
      </c>
      <c r="HA81" s="1">
        <f ca="1">SUMIFS(Table_Process_Details[RV Eutrophication (kg phosphate equiv.) per kg API (OTHER)],Table_Process_Details[Display Name],Table_Process_Details[[#This Row],[Unique Process Inputs]],Table_Process_Details[Input or Output],"Input")</f>
        <v>0</v>
      </c>
      <c r="HB81"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1"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1" s="22" t="e">
        <f ca="1">SUM(OFFSET(Table_Process_Details['[Eutrophication (kg posphate equiv.) per kg API'] of Unique Inputs Sorted by '[Eutrophication (kg posphate equiv.) per kg API']],0,0,Table_Process_Details[[#This Row],[Table Row]]))</f>
        <v>#N/A</v>
      </c>
      <c r="HE81"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1" s="1" t="e">
        <f ca="1">INDEX(Table_Process_Details[Total '[Eutrophication (kg posphate equiv.) per kg API'] of Unique Inputs (REAGENT)], MATCH(Table_Process_Details[[#This Row],[Unique Inputs Sorted by '[Eutrophication (kg posphate equiv.) per kg API']]],Table_Process_Details[Unique Process Inputs],0))</f>
        <v>#N/A</v>
      </c>
      <c r="HG81" s="1" t="e">
        <f ca="1">INDEX(Table_Process_Details[Total '[Eutrophication (kg posphate equiv.) per kg API'] of Unique Inputs (METAL)], MATCH(Table_Process_Details[[#This Row],[Unique Inputs Sorted by '[Eutrophication (kg posphate equiv.) per kg API']]],Table_Process_Details[Unique Process Inputs],0))</f>
        <v>#N/A</v>
      </c>
      <c r="HH81" s="1" t="e">
        <f ca="1">INDEX(Table_Process_Details[Total '[Eutrophication (kg posphate equiv.) per kg API'] of Unique Inputs (SOLVENT)], MATCH(Table_Process_Details[[#This Row],[Unique Inputs Sorted by '[Eutrophication (kg posphate equiv.) per kg API']]],Table_Process_Details[Unique Process Inputs],0))</f>
        <v>#N/A</v>
      </c>
      <c r="HI81" s="1" t="e">
        <f ca="1">INDEX(Table_Process_Details[Total '[Eutrophication (kg posphate equiv.) per kg API'] of Unique Inputs (WATER)], MATCH(Table_Process_Details[[#This Row],[Unique Inputs Sorted by '[Eutrophication (kg posphate equiv.) per kg API']]],Table_Process_Details[Unique Process Inputs],0))</f>
        <v>#N/A</v>
      </c>
      <c r="HJ81" s="1" t="e">
        <f ca="1">INDEX(Table_Process_Details[Total '[Eutrophication (kg posphate equiv.) per kg API'] of Unique Inputs (ENZ&amp;PLNT)], MATCH(Table_Process_Details[[#This Row],[Unique Inputs Sorted by '[Eutrophication (kg posphate equiv.) per kg API']]],Table_Process_Details[Unique Process Inputs],0))</f>
        <v>#N/A</v>
      </c>
      <c r="HK81" s="1" t="e">
        <f ca="1">INDEX(Table_Process_Details[Total '[Eutrophication (kg posphate equiv.) per kg API'] of Unique Inputs (OTHER)], MATCH(Table_Process_Details[[#This Row],[Unique Inputs Sorted by '[Eutrophication (kg posphate equiv.) per kg API']]],Table_Process_Details[Unique Process Inputs],0))</f>
        <v>#N/A</v>
      </c>
      <c r="HL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1" s="1">
        <f ca="1">SUMIFS(Table_Process_Details[RV Water (kg) per kg API],Table_Process_Details[Display Name],Table_Process_Details[[#This Row],[Unique Process Inputs]],Table_Process_Details[Input or Output],"Input")</f>
        <v>0</v>
      </c>
      <c r="HT81" s="1">
        <f ca="1">SUMIFS(Table_Process_Details[RV Water (kg) per kg API (REAGENT)],Table_Process_Details[Display Name],Table_Process_Details[[#This Row],[Unique Process Inputs]],Table_Process_Details[Input or Output],"Input")</f>
        <v>0</v>
      </c>
      <c r="HU81" s="1">
        <f ca="1">SUMIFS(Table_Process_Details[RV Water (kg) per kg API (METAL)],Table_Process_Details[Display Name],Table_Process_Details[[#This Row],[Unique Process Inputs]],Table_Process_Details[Input or Output],"Input")</f>
        <v>0</v>
      </c>
      <c r="HV81" s="1">
        <f ca="1">SUMIFS(Table_Process_Details[RV Water (kg) per kg API (SOLVENT)],Table_Process_Details[Display Name],Table_Process_Details[[#This Row],[Unique Process Inputs]],Table_Process_Details[Input or Output],"Input")</f>
        <v>0</v>
      </c>
      <c r="HW81" s="1">
        <f ca="1">SUMIFS(Table_Process_Details[RV Water (kg) per kg API (WATER)],Table_Process_Details[Display Name],Table_Process_Details[[#This Row],[Unique Process Inputs]],Table_Process_Details[Input or Output],"Input")</f>
        <v>0</v>
      </c>
      <c r="HX81" s="1">
        <f ca="1">SUMIFS(Table_Process_Details[RV Water (kg) per kg API (ENZ&amp;PLNT)],Table_Process_Details[Display Name],Table_Process_Details[[#This Row],[Unique Process Inputs]],Table_Process_Details[Input or Output],"Input")</f>
        <v>0</v>
      </c>
      <c r="HY81" s="1">
        <f ca="1">SUMIFS(Table_Process_Details[RV Water (kg) per kg API (OTHER)],Table_Process_Details[Display Name],Table_Process_Details[[#This Row],[Unique Process Inputs]],Table_Process_Details[Input or Output],"Input")</f>
        <v>0</v>
      </c>
      <c r="HZ81" s="22" t="e">
        <f ca="1">INDEX(Table_Process_Details[Unique Process Inputs],MATCH(Table_Process_Details[[#This Row],['[Water (kg) per kg API'] of Unique Inputs Sorted by '[Water (kg) per kg API']]],Table_Process_Details[Total '[Water (kg) per kg API'] of Unique Inputs],0))</f>
        <v>#N/A</v>
      </c>
      <c r="IA81" s="22" t="e">
        <f ca="1">IF(LARGE(Table_Process_Details[Total '[Water (kg) per kg API'] of Unique Inputs],Table_Process_Details[[#This Row],[Table Row]])=0,NA(),LARGE(Table_Process_Details[Total '[Water (kg) per kg API'] of Unique Inputs],Table_Process_Details[[#This Row],[Table Row]]))</f>
        <v>#N/A</v>
      </c>
      <c r="IB81" s="1" t="e">
        <f ca="1">SUM(OFFSET(Table_Process_Details['[Water (kg) per kg API'] of Unique Inputs Sorted by '[Water (kg) per kg API']],0,0,Table_Process_Details[[#This Row],[Table Row]]))</f>
        <v>#N/A</v>
      </c>
      <c r="IC81" s="1" t="e">
        <f ca="1">"("&amp;TEXT(Table_Process_Details[[#This Row],['[Water (kg) per kg API'] of Unique Inputs Sorted by '[Water (kg) per kg API']]]/SUMIF(Table_Process_Details['[Water (kg) per kg API'] of Unique Inputs Sorted by '[Water (kg) per kg API']],"&lt;&gt;#N/A"),"0%")&amp;")"</f>
        <v>#N/A</v>
      </c>
      <c r="ID81" s="1" t="e">
        <f ca="1">INDEX(Table_Process_Details[Total '[Water (kg) per kg API'] of Unique Inputs (REAGENT)], MATCH(Table_Process_Details[[#This Row],[Unique Inputs Sorted by '[Water (kg) per kg API']]],Table_Process_Details[Unique Process Inputs],0))</f>
        <v>#N/A</v>
      </c>
      <c r="IE81" s="1" t="e">
        <f ca="1">INDEX(Table_Process_Details[Total '[Water (kg) per kg API'] of Unique Inputs (METAL)], MATCH(Table_Process_Details[[#This Row],[Unique Inputs Sorted by '[Water (kg) per kg API']]],Table_Process_Details[Unique Process Inputs],0))</f>
        <v>#N/A</v>
      </c>
      <c r="IF81" s="1" t="e">
        <f ca="1">INDEX(Table_Process_Details[Total '[Water (kg) per kg API'] of Unique Inputs (SOLVENT)], MATCH(Table_Process_Details[[#This Row],[Unique Inputs Sorted by '[Water (kg) per kg API']]],Table_Process_Details[Unique Process Inputs],0))</f>
        <v>#N/A</v>
      </c>
      <c r="IG81" s="1" t="e">
        <f ca="1">INDEX(Table_Process_Details[Total '[Water (kg) per kg API'] of Unique Inputs (WATER)], MATCH(Table_Process_Details[[#This Row],[Unique Inputs Sorted by '[Water (kg) per kg API']]],Table_Process_Details[Unique Process Inputs],0))</f>
        <v>#N/A</v>
      </c>
      <c r="IH81" s="1" t="e">
        <f ca="1">INDEX(Table_Process_Details[Total '[Water (kg) per kg API'] of Unique Inputs (ENZ&amp;PLNT)], MATCH(Table_Process_Details[[#This Row],[Unique Inputs Sorted by '[Water (kg) per kg API']]],Table_Process_Details[Unique Process Inputs],0))</f>
        <v>#N/A</v>
      </c>
      <c r="II81" s="1" t="e">
        <f ca="1">INDEX(Table_Process_Details[Total '[Water (kg) per kg API'] of Unique Inputs (OTHER)], MATCH(Table_Process_Details[[#This Row],[Unique Inputs Sorted by '[Water (kg) per kg API']]],Table_Process_Details[Unique Process Inputs],0))</f>
        <v>#N/A</v>
      </c>
    </row>
    <row r="82" spans="1:243" s="119" customFormat="1" x14ac:dyDescent="0.25">
      <c r="A82" s="126" t="str">
        <f>A81</f>
        <v>4c) Virtual solution prep for (4): 0.3 M reagent L (organic) in water</v>
      </c>
      <c r="B82" s="127" t="s">
        <v>5</v>
      </c>
      <c r="C82" s="127" t="s">
        <v>155</v>
      </c>
      <c r="D82" s="126" t="s">
        <v>155</v>
      </c>
      <c r="E82" s="126" t="str">
        <f>'1. Define Process Steps'!C23</f>
        <v>0.3 M reagent L (organic) in water</v>
      </c>
      <c r="F82" s="165">
        <f>F81+F80</f>
        <v>140</v>
      </c>
      <c r="G82" s="128"/>
      <c r="H82" s="128"/>
      <c r="I82" s="128"/>
      <c r="J82" s="128" t="str">
        <f>INDEX(Process_Steps[Reference],MATCH(Table_Process_Details[[#This Row],[Step Name]],Process_Steps[Name],0))</f>
        <v>Penultimate Reference Document</v>
      </c>
      <c r="K82" s="129" t="str">
        <f>INDEX(Process_Steps[Real or Virtual?],MATCH(Table_Process_Details[[#This Row],[Step Name]],Process_Steps[Name],0))</f>
        <v>Virtual</v>
      </c>
      <c r="L82"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2"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82" s="128">
        <f>INDEX(Table_Process_Details[Physical Mass (kg)],MATCH(1,INDEX(((Table_Process_Details[Step Name]=Table_Process_Details[[#This Row],[Step Name]])*(Table_Process_Details[Input or Output]="Output")),0),0))</f>
        <v>140</v>
      </c>
      <c r="O82" s="130">
        <f ca="1">INDEX(Process_Steps[Step Scale Factor for 1kg Packaged API],MATCH(Table_Process_Details[[#This Row],[Step Name]],Process_Steps[Name],0))</f>
        <v>2.7527986786566545E-2</v>
      </c>
      <c r="P82"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v>
      </c>
      <c r="Q82"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v>
      </c>
      <c r="R82" s="128">
        <f ca="1">_xlfn.SWITCH(Run_Reset_PNG,"Reset",Table_Process_Details[[#This Row],[X Init]],"Run",Table_Process_Details[[#This Row],[X Moved]],"Freeze",Table_Process_Details[[#This Row],[X Mover]])</f>
        <v>12.621624199762062</v>
      </c>
      <c r="S82" s="128">
        <f ca="1">_xlfn.SWITCH(Run_Reset_PNG,"Reset",Table_Process_Details[[#This Row],[Y Init]],"Run",Table_Process_Details[[#This Row],[Y Moved]],"Freeze",Table_Process_Details[[#This Row],[Y Mover]])</f>
        <v>1.4198616275470548</v>
      </c>
      <c r="T82" s="128" cm="1">
        <f t="array" aca="1" ref="T8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-0.84589864409203241</v>
      </c>
      <c r="U82" s="128" cm="1">
        <f t="array" aca="1" ref="U8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-0.12085792980266274</v>
      </c>
      <c r="V82" s="128" cm="1">
        <f t="array" aca="1" ref="V82" ca="1">SUM(--(SQRT((Table_Process_Details[[#This Row],[X Mover]]-Table_Process_Details[X Mover])^2+(Table_Process_Details[[#This Row],[Y Mover]]-Table_Process_Details[Y Mover])^2)&lt;Collision_Distance))</f>
        <v>17</v>
      </c>
      <c r="W82" s="128" cm="1">
        <f t="array" aca="1" ref="W8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0.17120933362990451</v>
      </c>
      <c r="X82" s="128" cm="1">
        <f t="array" aca="1" ref="X8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-7.6591247999535053E-2</v>
      </c>
      <c r="Y82" s="128" cm="1">
        <f t="array" aca="1" ref="Y8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82" s="128">
        <f>0</f>
        <v>0</v>
      </c>
      <c r="AA82" s="128">
        <f>0</f>
        <v>0</v>
      </c>
      <c r="AB82"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-6.3108120998810309</v>
      </c>
      <c r="AC82" s="128" cm="1">
        <f t="array" aca="1" ref="AC8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-0.7099308137735274</v>
      </c>
      <c r="AD82" s="128">
        <f>MIN(1,COUNTA(Table_Process_Details[[#This Row],[target x]]),COUNTA(Table_Process_Details[[#This Row],[target y]]))*COUNTA(Table_Process_Details[Step Name])</f>
        <v>98</v>
      </c>
      <c r="AE82"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12.564539192033056</v>
      </c>
      <c r="AF82"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1.3799777295815367</v>
      </c>
      <c r="AG82"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82" s="128" t="e" cm="1">
        <f t="array" ref="AH82">INDEX(Table_Process_Details[X Mover],MATCH(1,INDEX((Table_Process_Details[Input or Output]="Output")*(Table_Process_Details[Step Name]=Table_Process_Details[[#This Row],[Step Name]])*(Table_Process_Details[[#This Row],[Input or Output]]="Input"),0),0))</f>
        <v>#N/A</v>
      </c>
      <c r="AI82" s="128" t="e" cm="1">
        <f t="array" ref="AI82">INDEX(Table_Process_Details[Y Mover],MATCH(1,INDEX((Table_Process_Details[Input or Output]="Output")*(Table_Process_Details[Step Name]=Table_Process_Details[[#This Row],[Step Name]])*(Table_Process_Details[[#This Row],[Input or Output]]="Input"),0),0))</f>
        <v>#N/A</v>
      </c>
      <c r="AJ82" s="128" t="e">
        <f>SQRT((Table_Process_Details[[#This Row],[X End (To Node Center)]]-Table_Process_Details[[#This Row],[X Guide]])^2+(Table_Process_Details[[#This Row],[Y End (to Node Center)]]-Table_Process_Details[[#This Row],[Y Guide]])^2)</f>
        <v>#N/A</v>
      </c>
      <c r="AK82" s="128" t="e" cm="1">
        <f t="array" ref="AK82">INDEX(Table_Process_Details[X Mover],MATCH(1,INDEX((Table_Process_Details[Step Name]=Table_Process_Details[[#This Row],[LCA Data Source Subclass]])*(Table_Process_Details[Input or Output]="Output"),0)*(Table_Process_Details[[#This Row],[Input or Output]]="Input"),0))</f>
        <v>#N/A</v>
      </c>
      <c r="AL82" s="128" t="e" cm="1">
        <f t="array" ref="AL82">INDEX(Table_Process_Details[X Mover],MATCH(1,INDEX(((Table_Process_Details[Table Row]=Table_Process_Details[[#This Row],[Table Row]])*(1)),0)*(Table_Process_Details[[#This Row],[Input or Output]]="Input"),0))</f>
        <v>#N/A</v>
      </c>
      <c r="AM82" s="128" t="e" cm="1">
        <f t="array" ref="AM82">(Table_Process_Details[[#This Row],[X End (To Node Center)]]*Table_Process_Details[[#This Row],[r0]]-Table_Process_Details[[#This Row],[X End (To Node Center)]]*Arrow_Offset+Table_Process_Details[[#This Row],[X Guide]]*Arrow_Offset)/Table_Process_Details[[#This Row],[r0]]</f>
        <v>#N/A</v>
      </c>
      <c r="AN82" s="128" t="e">
        <f>IF(NOT(Table_Process_Details[[#This Row],[Display As]]="None"),Table_Process_Details[[#This Row],[X Start Prefilter]],NA())</f>
        <v>#N/A</v>
      </c>
      <c r="AO82" s="128" t="e">
        <f>IF(NOT(Table_Process_Details[[#This Row],[Display As]]="None"),Table_Process_Details[[#This Row],[X Guide Prefilter]],NA())</f>
        <v>#N/A</v>
      </c>
      <c r="AP82" s="128" t="e">
        <f>IF(NOT(Table_Process_Details[[#This Row],[Display As]]="None"),Table_Process_Details[[#This Row],[X End (to Stop Radius) Prefilter]],NA())</f>
        <v>#N/A</v>
      </c>
      <c r="AQ82" s="128" t="e">
        <f>NA()</f>
        <v>#N/A</v>
      </c>
      <c r="AR82" s="128" t="e" cm="1">
        <f t="array" ref="AR82">INDEX(Table_Process_Details[Y Mover],MATCH(1,INDEX((Table_Process_Details[Step Name]=Table_Process_Details[[#This Row],[LCA Data Source Subclass]])*(Table_Process_Details[Input or Output]="Output"),0)*(Table_Process_Details[[#This Row],[Input or Output]]="Input"),0))</f>
        <v>#N/A</v>
      </c>
      <c r="AS82" s="128" t="e" cm="1">
        <f t="array" ref="AS82">INDEX(Table_Process_Details[Y Mover],MATCH(1,INDEX(((Table_Process_Details[Table Row]=Table_Process_Details[[#This Row],[Table Row]])*(1)),0)*(Table_Process_Details[[#This Row],[Input or Output]]="Input"),0))</f>
        <v>#N/A</v>
      </c>
      <c r="AT82" s="128" t="e" cm="1">
        <f t="array" ref="AT82">(Table_Process_Details[[#This Row],[Y Guide]]*Arrow_Offset-Table_Process_Details[[#This Row],[Y End (to Node Center)]]*Arrow_Offset+Table_Process_Details[[#This Row],[Y End (to Node Center)]]*Table_Process_Details[[#This Row],[r0]])/Table_Process_Details[[#This Row],[r0]]</f>
        <v>#N/A</v>
      </c>
      <c r="AU82" s="128" t="e">
        <f>IF(NOT(Table_Process_Details[[#This Row],[Display As]]="None"),Table_Process_Details[[#This Row],[Y Start Prefilter]],NA())</f>
        <v>#N/A</v>
      </c>
      <c r="AV82" s="128" t="e">
        <f>IF(NOT(Table_Process_Details[[#This Row],[Display As]]="None"),Table_Process_Details[[#This Row],[Y Guide Prefilter]],NA())</f>
        <v>#N/A</v>
      </c>
      <c r="AW82" s="128" t="e">
        <f>IF(NOT(Table_Process_Details[[#This Row],[Display As]]="None"),Table_Process_Details[[#This Row],[Y End (to Stop Radius) Prefilter]],NA())</f>
        <v>#N/A</v>
      </c>
      <c r="AX82" s="128" t="e">
        <f>NA()</f>
        <v>#N/A</v>
      </c>
      <c r="AY82" s="128" t="e">
        <f>IF(Table_Process_Details[[#This Row],[Display As]]="Real Step",Table_Process_Details[[#This Row],[X Mover]],NA())</f>
        <v>#N/A</v>
      </c>
      <c r="AZ82" s="128" t="e">
        <f>IF(Table_Process_Details[[#This Row],[Display As]]="Real Step",Table_Process_Details[[#This Row],[Y Mover]],NA())</f>
        <v>#N/A</v>
      </c>
      <c r="BA82" s="128">
        <f ca="1">IF(Table_Process_Details[[#This Row],[Display As]]="Raw Material",Table_Process_Details[[#This Row],[X Mover]],NA())</f>
        <v>12.621624199762062</v>
      </c>
      <c r="BB82" s="128">
        <f ca="1">IF(Table_Process_Details[[#This Row],[Display As]]="Raw Material",Table_Process_Details[[#This Row],[Y Mover]],NA())</f>
        <v>1.4198616275470548</v>
      </c>
      <c r="BC82" s="128">
        <f ca="1">IF(OR(Table_Process_Details[[#This Row],[Display As]]="Real Step",Table_Process_Details[[#This Row],[Display As]]="Raw Material"),Table_Process_Details[[#This Row],[X Mover]],NA())</f>
        <v>12.621624199762062</v>
      </c>
      <c r="BD82" s="128">
        <f ca="1">IF(OR(Table_Process_Details[[#This Row],[Display As]]="Real Step",Table_Process_Details[[#This Row],[Display As]]="Raw Material"),Table_Process_Details[[#This Row],[Y Mover]],NA())</f>
        <v>1.4198616275470548</v>
      </c>
      <c r="BE82" s="126">
        <f>ROW()-ROW(Table_Process_Details[[#Headers],[Table Row]])</f>
        <v>78</v>
      </c>
      <c r="BF82" s="122" t="e" cm="1">
        <f t="array" aca="1" ref="BF82" ca="1">INDEX(Table_Process_Details[Display Name],MATCH(0,IF(Table_Process_Details[Input or Output]="Input",INDEX(COUNTIF(OFFSET(Table_Process_Details[[#Headers],[Unique Process Inputs]],0,0,Table_Process_Details[[#This Row],[Table Row]],1),Table_Process_Details[Display Name]),),""),0))</f>
        <v>#N/A</v>
      </c>
      <c r="BG82" s="122">
        <f ca="1">Table_Process_Details[[#This Row],[Physical Mass (kg)]]*Table_Process_Details[[#This Row],[Step Scale Factor for 1kg Packaged API]]</f>
        <v>3.8539181501193163</v>
      </c>
      <c r="BH82"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2" s="122">
        <f ca="1">MATCH(Table_Process_Details[[#This Row],[LCA Data Source Class]],INDIRECT(Table_Process_Details[[#This Row],[Input or Output]]),0)</f>
        <v>1</v>
      </c>
      <c r="BJ82" s="122">
        <f ca="1">MATCH(Table_Process_Details[[#This Row],[LCA Data Source Subclass]],INDIRECT(Table_Process_Details[[#This Row],[LCA Data Source Class]]&amp;"[Name]"),0)</f>
        <v>1</v>
      </c>
      <c r="BK82" s="122">
        <f ca="1">IFERROR(INDEX(INDIRECT(Table_Process_Details[[#This Row],[LCA Data Source Class]]&amp;"[Mass Net (kg)]"),MATCH(Table_Process_Details[[#This Row],[LCA Data Source Subclass]],INDIRECT(Table_Process_Details[[#This Row],[LCA Data Source Class]]&amp;"[Name]"),0)),0)</f>
        <v>0</v>
      </c>
      <c r="BL82" s="122">
        <f ca="1">IFERROR(INDEX(INDIRECT(Table_Process_Details[[#This Row],[LCA Data Source Class]]&amp;"[Energy (MJ)]"),MATCH(Table_Process_Details[[#This Row],[LCA Data Source Subclass]],INDIRECT(Table_Process_Details[[#This Row],[LCA Data Source Class]]&amp;"[Name]"),0)),0)</f>
        <v>0</v>
      </c>
      <c r="BM82" s="122">
        <f ca="1">IFERROR(INDEX(INDIRECT(Table_Process_Details[[#This Row],[LCA Data Source Class]]&amp;"[GWP (kg CO2 equiv.)]"),MATCH(Table_Process_Details[[#This Row],[LCA Data Source Subclass]],INDIRECT(Table_Process_Details[[#This Row],[LCA Data Source Class]]&amp;"[Name]"),0)),0)</f>
        <v>0</v>
      </c>
      <c r="BN82" s="122">
        <f ca="1">IFERROR(INDEX(INDIRECT(Table_Process_Details[[#This Row],[LCA Data Source Class]]&amp;"[Acidification (kg SO2 equiv.)]"),MATCH(Table_Process_Details[[#This Row],[LCA Data Source Subclass]],INDIRECT(Table_Process_Details[[#This Row],[LCA Data Source Class]]&amp;"[Name]"),0)),0)</f>
        <v>0</v>
      </c>
      <c r="BO82" s="122">
        <f ca="1">IFERROR(INDEX(INDIRECT(Table_Process_Details[[#This Row],[LCA Data Source Class]]&amp;"[Eutrophication (kg posphate equiv.)]"),MATCH(Table_Process_Details[[#This Row],[LCA Data Source Subclass]],INDIRECT(Table_Process_Details[[#This Row],[LCA Data Source Class]]&amp;"[Name]"),0)),0)</f>
        <v>0</v>
      </c>
      <c r="BP82" s="122">
        <f ca="1">IFERROR(INDEX(INDIRECT(Table_Process_Details[[#This Row],[LCA Data Source Class]]&amp;"[Water (kg)]"),MATCH(Table_Process_Details[[#This Row],[LCA Data Source Subclass]],INDIRECT(Table_Process_Details[[#This Row],[LCA Data Source Class]]&amp;"[Name]"),0)),0)</f>
        <v>0</v>
      </c>
      <c r="BQ82" s="129">
        <f ca="1">(Table_Process_Details[[#This Row],[Input or Output]]="Input")*(Table_Process_Details[[#This Row],[LCA Data Source Class]]&lt;&gt;"Process_Steps")*Table_Process_Details[[#This Row],[Scaled Physical Mass per kg API for All Inputs &amp; Outputs]]</f>
        <v>0</v>
      </c>
      <c r="BR82" s="129">
        <f ca="1">(Table_Process_Details[[#This Row],[Material Class]]="REAGENT")*Table_Process_Details[[#This Row],[Physical Mass per kg API]]</f>
        <v>0</v>
      </c>
      <c r="BS82" s="129">
        <f ca="1">(Table_Process_Details[[#This Row],[Material Class]]="METAL")*Table_Process_Details[[#This Row],[Physical Mass per kg API]]</f>
        <v>0</v>
      </c>
      <c r="BT82" s="129">
        <f ca="1">(Table_Process_Details[[#This Row],[Material Class]]="SOLVENT")*Table_Process_Details[[#This Row],[Physical Mass per kg API]]</f>
        <v>0</v>
      </c>
      <c r="BU82" s="129">
        <f ca="1">(Table_Process_Details[[#This Row],[Material Class]]="WATER")*Table_Process_Details[[#This Row],[Physical Mass per kg API]]</f>
        <v>0</v>
      </c>
      <c r="BV82" s="129">
        <f ca="1">(Table_Process_Details[[#This Row],[Material Class]]="ENZ&amp;PLNT")*Table_Process_Details[[#This Row],[Physical Mass per kg API]]</f>
        <v>0</v>
      </c>
      <c r="BW82" s="129">
        <f ca="1">(Table_Process_Details[[#This Row],[Material Class]]="OTHER")*Table_Process_Details[[#This Row],[Physical Mass per kg API]]</f>
        <v>0</v>
      </c>
      <c r="BX82"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2"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2"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2"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2"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2"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2"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2" s="131">
        <f ca="1">SUMIFS(Table_Process_Details[RV Physical Mass per kg API],Table_Process_Details[Display Name],Table_Process_Details[[#This Row],[Unique Process Inputs]],Table_Process_Details[Input or Output],"Input")</f>
        <v>0</v>
      </c>
      <c r="CF82" s="131">
        <f ca="1">SUMIFS(Table_Process_Details[RV Physical Mass per kg API (REAGENT)],Table_Process_Details[Display Name],Table_Process_Details[[#This Row],[Unique Process Inputs]],Table_Process_Details[Input or Output],"Input")</f>
        <v>0</v>
      </c>
      <c r="CG82" s="131">
        <f ca="1">SUMIFS(Table_Process_Details[RV Physical Mass per kg API (METAL)],Table_Process_Details[Display Name],Table_Process_Details[[#This Row],[Unique Process Inputs]],Table_Process_Details[Input or Output],"Input")</f>
        <v>0</v>
      </c>
      <c r="CH82" s="131">
        <f ca="1">SUMIFS(Table_Process_Details[RV Physical Mass per kg API (SOLVENT)],Table_Process_Details[Display Name],Table_Process_Details[[#This Row],[Unique Process Inputs]],Table_Process_Details[Input or Output],"Input")</f>
        <v>0</v>
      </c>
      <c r="CI82" s="131">
        <f ca="1">SUMIFS(Table_Process_Details[RV Physical Mass per kg API (WATER)],Table_Process_Details[Display Name],Table_Process_Details[[#This Row],[Unique Process Inputs]],Table_Process_Details[Input or Output],"Input")</f>
        <v>0</v>
      </c>
      <c r="CJ82" s="131">
        <f ca="1">SUMIFS(Table_Process_Details[RV Physical Mass per kg API (ENZ&amp;PLNT)],Table_Process_Details[Display Name],Table_Process_Details[[#This Row],[Unique Process Inputs]],Table_Process_Details[Input or Output],"Input")</f>
        <v>0</v>
      </c>
      <c r="CK82" s="131">
        <f ca="1">SUMIFS(Table_Process_Details[RV Physical Mass per kg API (OTHER)],Table_Process_Details[Display Name],Table_Process_Details[[#This Row],[Unique Process Inputs]],Table_Process_Details[Input or Output],"Input")</f>
        <v>0</v>
      </c>
      <c r="CL82" s="126" t="e">
        <f ca="1">INDEX(Table_Process_Details[Unique Process Inputs],MATCH(Table_Process_Details[[#This Row],['[Physical Mass per kg API'] of Unique Inputs Sorted by '[Physical Mass per kg API']]],Table_Process_Details[Total '[Physical Mass per kg API'] of Unique Inputs],0))</f>
        <v>#N/A</v>
      </c>
      <c r="CM82" s="126" t="e">
        <f ca="1">IF(LARGE(Table_Process_Details[Total '[Physical Mass per kg API'] of Unique Inputs],Table_Process_Details[[#This Row],[Table Row]])=0,NA(),LARGE(Table_Process_Details[Total '[Physical Mass per kg API'] of Unique Inputs],Table_Process_Details[[#This Row],[Table Row]]))</f>
        <v>#N/A</v>
      </c>
      <c r="CN82" s="126" t="e">
        <f ca="1">SUM(OFFSET(Table_Process_Details['[Physical Mass per kg API'] of Unique Inputs Sorted by '[Physical Mass per kg API']],0,0,Table_Process_Details[[#This Row],[Table Row]]))</f>
        <v>#N/A</v>
      </c>
      <c r="CO82" s="126" t="e">
        <f ca="1">"("&amp;TEXT(Table_Process_Details[[#This Row],['[Physical Mass per kg API'] of Unique Inputs Sorted by '[Physical Mass per kg API']]]/SUMIF(Table_Process_Details['[Physical Mass per kg API'] of Unique Inputs Sorted by '[Physical Mass per kg API']],"&lt;&gt;#N/A"),"0%")&amp;")"</f>
        <v>#N/A</v>
      </c>
      <c r="CP82" s="126" t="e">
        <f ca="1">INDEX(Table_Process_Details[Total '[Physical Mass per kg API'] of Unique Inputs (REAGENT)],MATCH(Table_Process_Details[[#This Row],[Unique Inputs Sorted by '[Physical Mass per kg API']]],Table_Process_Details[Unique Process Inputs],0))</f>
        <v>#N/A</v>
      </c>
      <c r="CQ82" s="126" t="e">
        <f ca="1">INDEX(Table_Process_Details[Total '[Physical Mass per kg API'] of Unique Inputs (METAL)],MATCH(Table_Process_Details[[#This Row],[Unique Inputs Sorted by '[Physical Mass per kg API']]],Table_Process_Details[Unique Process Inputs],0))</f>
        <v>#N/A</v>
      </c>
      <c r="CR82" s="126" t="e">
        <f ca="1">INDEX(Table_Process_Details[Total '[Physical Mass per kg API'] of Unique Inputs (SOLVENT)],MATCH(Table_Process_Details[[#This Row],[Unique Inputs Sorted by '[Physical Mass per kg API']]],Table_Process_Details[Unique Process Inputs],0))</f>
        <v>#N/A</v>
      </c>
      <c r="CS82" s="126" t="e">
        <f ca="1">INDEX(Table_Process_Details[Total '[Physical Mass per kg API'] of Unique Inputs (WATER)],MATCH(Table_Process_Details[[#This Row],[Unique Inputs Sorted by '[Physical Mass per kg API']]],Table_Process_Details[Unique Process Inputs],0))</f>
        <v>#N/A</v>
      </c>
      <c r="CT82" s="126" t="e">
        <f ca="1">INDEX(Table_Process_Details[Total '[Physical Mass per kg API'] of Unique Inputs (ENZ&amp;PLNT)],MATCH(Table_Process_Details[[#This Row],[Unique Inputs Sorted by '[Physical Mass per kg API']]],Table_Process_Details[Unique Process Inputs],0))</f>
        <v>#N/A</v>
      </c>
      <c r="CU82" s="126" t="e">
        <f ca="1">INDEX(Table_Process_Details[Total '[Physical Mass per kg API'] of Unique Inputs (OTHER)],MATCH(Table_Process_Details[[#This Row],[Unique Inputs Sorted by '[Physical Mass per kg API']]],Table_Process_Details[Unique Process Inputs],0))</f>
        <v>#N/A</v>
      </c>
      <c r="CV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2"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2" s="126">
        <f ca="1">SUMIFS(Table_Process_Details[RV Mass Net (kg) per kg API],Table_Process_Details[Display Name],Table_Process_Details[[#This Row],[Unique Process Inputs]],Table_Process_Details[Input or Output],"Input")</f>
        <v>0</v>
      </c>
      <c r="DD82" s="126">
        <f ca="1">SUMIFS(Table_Process_Details[RV Mass Net (kg) per kg API (REAGENT)],Table_Process_Details[Display Name],Table_Process_Details[[#This Row],[Unique Process Inputs]],Table_Process_Details[Input or Output],"Input")</f>
        <v>0</v>
      </c>
      <c r="DE82" s="126">
        <f ca="1">SUMIFS(Table_Process_Details[RV Mass Net (kg) per kg API (METAL)],Table_Process_Details[Display Name],Table_Process_Details[[#This Row],[Unique Process Inputs]],Table_Process_Details[Input or Output],"Input")</f>
        <v>0</v>
      </c>
      <c r="DF82" s="126">
        <f ca="1">SUMIFS(Table_Process_Details[RV Mass Net (kg) per kg API (SOLVENT)],Table_Process_Details[Display Name],Table_Process_Details[[#This Row],[Unique Process Inputs]],Table_Process_Details[Input or Output],"Input")</f>
        <v>0</v>
      </c>
      <c r="DG82" s="126">
        <f ca="1">SUMIFS(Table_Process_Details[RV Mass Net (kg) per kg API (WATER)],Table_Process_Details[Display Name],Table_Process_Details[[#This Row],[Unique Process Inputs]],Table_Process_Details[Input or Output],"Input")</f>
        <v>0</v>
      </c>
      <c r="DH82" s="126">
        <f ca="1">SUMIFS(Table_Process_Details[RV Mass Net (kg) per kg API (ENZ&amp;PLNT)],Table_Process_Details[Display Name],Table_Process_Details[[#This Row],[Unique Process Inputs]],Table_Process_Details[Input or Output],"Input")</f>
        <v>0</v>
      </c>
      <c r="DI82" s="126">
        <f ca="1">SUMIFS(Table_Process_Details[RV Mass Net (kg) per kg API (OTHER)],Table_Process_Details[Display Name],Table_Process_Details[[#This Row],[Unique Process Inputs]],Table_Process_Details[Input or Output],"Input")</f>
        <v>0</v>
      </c>
      <c r="DJ82" s="126" t="e">
        <f ca="1">INDEX(Table_Process_Details[Unique Process Inputs],MATCH(Table_Process_Details[[#This Row],['[Mass Net (kg) per kg API'] of Unique Inputs Sorted by '[Mass Net (kg) per kg API']]],Table_Process_Details[Total '[Mass Net (kg) per kg API'] of Unique Inputs],0))</f>
        <v>#N/A</v>
      </c>
      <c r="DK82" s="126" t="e">
        <f ca="1">IF(LARGE(Table_Process_Details[Total '[Mass Net (kg) per kg API'] of Unique Inputs],Table_Process_Details[[#This Row],[Table Row]])=0,NA(),LARGE(Table_Process_Details[Total '[Mass Net (kg) per kg API'] of Unique Inputs],Table_Process_Details[[#This Row],[Table Row]]))</f>
        <v>#N/A</v>
      </c>
      <c r="DL82" s="126" t="e">
        <f ca="1">SUM(OFFSET(Table_Process_Details['[Mass Net (kg) per kg API'] of Unique Inputs Sorted by '[Mass Net (kg) per kg API']],0,0,Table_Process_Details[[#This Row],[Table Row]]))</f>
        <v>#N/A</v>
      </c>
      <c r="DM82" s="126" t="e">
        <f ca="1">"("&amp;TEXT(Table_Process_Details[[#This Row],['[Mass Net (kg) per kg API'] of Unique Inputs Sorted by '[Mass Net (kg) per kg API']]]/SUMIF(Table_Process_Details['[Mass Net (kg) per kg API'] of Unique Inputs Sorted by '[Mass Net (kg) per kg API']],"&lt;&gt;#N/A"),"0%")&amp;")"</f>
        <v>#N/A</v>
      </c>
      <c r="DN82" s="126" t="e">
        <f ca="1">INDEX(Table_Process_Details[Total '[Mass Net (kg) per kg API'] of Unique Inputs (REAGENT)], MATCH(Table_Process_Details[[#This Row],[Unique Inputs Sorted by '[Mass Net (kg) per kg API']]],Table_Process_Details[Unique Process Inputs],0))</f>
        <v>#N/A</v>
      </c>
      <c r="DO82" s="126" t="e">
        <f ca="1">INDEX(Table_Process_Details[Total '[Mass Net (kg) per kg API'] of Unique Inputs (METAL)], MATCH(Table_Process_Details[[#This Row],[Unique Inputs Sorted by '[Mass Net (kg) per kg API']]],Table_Process_Details[Unique Process Inputs],0))</f>
        <v>#N/A</v>
      </c>
      <c r="DP82" s="126" t="e">
        <f ca="1">INDEX(Table_Process_Details[Total '[Mass Net (kg) per kg API'] of Unique Inputs (SOLVENT)], MATCH(Table_Process_Details[[#This Row],[Unique Inputs Sorted by '[Mass Net (kg) per kg API']]],Table_Process_Details[Unique Process Inputs],0))</f>
        <v>#N/A</v>
      </c>
      <c r="DQ82" s="126" t="e">
        <f ca="1">INDEX(Table_Process_Details[Total '[Mass Net (kg) per kg API'] of Unique Inputs (WATER)], MATCH(Table_Process_Details[[#This Row],[Unique Inputs Sorted by '[Mass Net (kg) per kg API']]],Table_Process_Details[Unique Process Inputs],0))</f>
        <v>#N/A</v>
      </c>
      <c r="DR82" s="126" t="e">
        <f ca="1">INDEX(Table_Process_Details[Total '[Mass Net (kg) per kg API'] of Unique Inputs (ENZ&amp;PLNT)], MATCH(Table_Process_Details[[#This Row],[Unique Inputs Sorted by '[Mass Net (kg) per kg API']]],Table_Process_Details[Unique Process Inputs],0))</f>
        <v>#N/A</v>
      </c>
      <c r="DS82" s="126" t="e">
        <f ca="1">INDEX(Table_Process_Details[Total '[Mass Net (kg) per kg API'] of Unique Inputs (OTHER)], MATCH(Table_Process_Details[[#This Row],[Unique Inputs Sorted by '[Mass Net (kg) per kg API']]],Table_Process_Details[Unique Process Inputs],0))</f>
        <v>#N/A</v>
      </c>
      <c r="DT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2"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2" s="131">
        <f ca="1">SUMIFS(Table_Process_Details[RV Energy (MJ) per kg API],Table_Process_Details[Display Name],Table_Process_Details[[#This Row],[Unique Process Inputs]],Table_Process_Details[Input or Output],"Input")</f>
        <v>0</v>
      </c>
      <c r="EB82" s="131">
        <f ca="1">SUMIFS(Table_Process_Details[RV Energy (MJ) per kg API (REAGENT)],Table_Process_Details[Display Name],Table_Process_Details[[#This Row],[Unique Process Inputs]],Table_Process_Details[Input or Output],"Input")</f>
        <v>0</v>
      </c>
      <c r="EC82" s="131">
        <f ca="1">SUMIFS(Table_Process_Details[RV Energy (MJ) per kg API (METAL)],Table_Process_Details[Display Name],Table_Process_Details[[#This Row],[Unique Process Inputs]],Table_Process_Details[Input or Output],"Input")</f>
        <v>0</v>
      </c>
      <c r="ED82" s="131">
        <f ca="1">SUMIFS(Table_Process_Details[RV Energy (MJ) per kg API (SOLVENT)],Table_Process_Details[Display Name],Table_Process_Details[[#This Row],[Unique Process Inputs]],Table_Process_Details[Input or Output],"Input")</f>
        <v>0</v>
      </c>
      <c r="EE82" s="131">
        <f ca="1">SUMIFS(Table_Process_Details[RV Energy (MJ) per kg API (WATER)],Table_Process_Details[Display Name],Table_Process_Details[[#This Row],[Unique Process Inputs]],Table_Process_Details[Input or Output],"Input")</f>
        <v>0</v>
      </c>
      <c r="EF82" s="131">
        <f ca="1">SUMIFS(Table_Process_Details[RV Energy (MJ) per kg API (ENZ&amp;PLNT)],Table_Process_Details[Display Name],Table_Process_Details[[#This Row],[Unique Process Inputs]],Table_Process_Details[Input or Output],"Input")</f>
        <v>0</v>
      </c>
      <c r="EG82" s="131">
        <f ca="1">SUMIFS(Table_Process_Details[RV Energy (MJ) per kg API (OTHER)],Table_Process_Details[Display Name],Table_Process_Details[[#This Row],[Unique Process Inputs]],Table_Process_Details[Input or Output],"Input")</f>
        <v>0</v>
      </c>
      <c r="EH82" s="131" t="e">
        <f ca="1">INDEX(Table_Process_Details[Unique Process Inputs],MATCH(Table_Process_Details[[#This Row],['[Energy (MJ) per kg API'] of Unique Inputs Sorted by '[Energy (MJ) per kg API']]],Table_Process_Details[Total '[Energy (MJ) per kg API'] of Unique Inputs],0))</f>
        <v>#N/A</v>
      </c>
      <c r="EI82" s="126" t="e">
        <f ca="1">IF(LARGE(Table_Process_Details[Total '[Energy (MJ) per kg API'] of Unique Inputs],Table_Process_Details[[#This Row],[Table Row]])=0,NA(),LARGE(Table_Process_Details[Total '[Energy (MJ) per kg API'] of Unique Inputs],Table_Process_Details[[#This Row],[Table Row]]))</f>
        <v>#N/A</v>
      </c>
      <c r="EJ82" s="126" t="e">
        <f ca="1">SUM(OFFSET(Table_Process_Details['[Energy (MJ) per kg API'] of Unique Inputs Sorted by '[Energy (MJ) per kg API']],0,0,Table_Process_Details[[#This Row],[Table Row]]))</f>
        <v>#N/A</v>
      </c>
      <c r="EK82" s="126" t="e">
        <f ca="1">"("&amp;TEXT(Table_Process_Details[[#This Row],['[Energy (MJ) per kg API'] of Unique Inputs Sorted by '[Energy (MJ) per kg API']]]/SUMIF(Table_Process_Details['[Energy (MJ) per kg API'] of Unique Inputs Sorted by '[Energy (MJ) per kg API']],"&lt;&gt;#N/A"),"0%")&amp;")"</f>
        <v>#N/A</v>
      </c>
      <c r="EL82" s="126" t="e">
        <f ca="1">INDEX(Table_Process_Details[Total '[Energy (MJ) per kg API'] of Unique Inputs (REAGENT)], MATCH(Table_Process_Details[[#This Row],[Unique Inputs Sorted by '[Energy (MJ) per kg API']]],Table_Process_Details[Unique Process Inputs],0))</f>
        <v>#N/A</v>
      </c>
      <c r="EM82" s="126" t="e">
        <f ca="1">INDEX(Table_Process_Details[Total '[Energy (MJ) per kg API'] of Unique Inputs (METAL)], MATCH(Table_Process_Details[[#This Row],[Unique Inputs Sorted by '[Energy (MJ) per kg API']]],Table_Process_Details[Unique Process Inputs],0))</f>
        <v>#N/A</v>
      </c>
      <c r="EN82" s="126" t="e">
        <f ca="1">INDEX(Table_Process_Details[Total '[Energy (MJ) per kg API'] of Unique Inputs (SOLVENT)], MATCH(Table_Process_Details[[#This Row],[Unique Inputs Sorted by '[Energy (MJ) per kg API']]],Table_Process_Details[Unique Process Inputs],0))</f>
        <v>#N/A</v>
      </c>
      <c r="EO82" s="126" t="e">
        <f ca="1">INDEX(Table_Process_Details[Total '[Energy (MJ) per kg API'] of Unique Inputs (WATER)], MATCH(Table_Process_Details[[#This Row],[Unique Inputs Sorted by '[Energy (MJ) per kg API']]],Table_Process_Details[Unique Process Inputs],0))</f>
        <v>#N/A</v>
      </c>
      <c r="EP82" s="126" t="e">
        <f ca="1">INDEX(Table_Process_Details[Total '[Energy (MJ) per kg API'] of Unique Inputs (ENZ&amp;PLNT)], MATCH(Table_Process_Details[[#This Row],[Unique Inputs Sorted by '[Energy (MJ) per kg API']]],Table_Process_Details[Unique Process Inputs],0))</f>
        <v>#N/A</v>
      </c>
      <c r="EQ82" s="126" t="e">
        <f ca="1">INDEX(Table_Process_Details[Total '[Energy (MJ) per kg API'] of Unique Inputs (OTHER)], MATCH(Table_Process_Details[[#This Row],[Unique Inputs Sorted by '[Energy (MJ) per kg API']]],Table_Process_Details[Unique Process Inputs],0))</f>
        <v>#N/A</v>
      </c>
      <c r="ER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2"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2" s="126">
        <f ca="1">SUMIFS(Table_Process_Details[RV GWP (kg CO2 equiv.) per kg API],Table_Process_Details[Display Name],Table_Process_Details[[#This Row],[Unique Process Inputs]],Table_Process_Details[Input or Output],"Input")</f>
        <v>0</v>
      </c>
      <c r="EZ82" s="131">
        <f ca="1">SUMIFS(Table_Process_Details[RV GWP (kg CO2 equiv.) per kg API (REAGENT)],Table_Process_Details[Display Name],Table_Process_Details[[#This Row],[Unique Process Inputs]],Table_Process_Details[Input or Output],"Input")</f>
        <v>0</v>
      </c>
      <c r="FA82" s="131">
        <f ca="1">SUMIFS(Table_Process_Details[RV GWP (kg CO2 equiv.) per kg API (METAL)],Table_Process_Details[Display Name],Table_Process_Details[[#This Row],[Unique Process Inputs]],Table_Process_Details[Input or Output],"Input")</f>
        <v>0</v>
      </c>
      <c r="FB82" s="131">
        <f ca="1">SUMIFS(Table_Process_Details[RV GWP (kg CO2 equiv.) per kg API (SOLVENT)],Table_Process_Details[Display Name],Table_Process_Details[[#This Row],[Unique Process Inputs]],Table_Process_Details[Input or Output],"Input")</f>
        <v>0</v>
      </c>
      <c r="FC82" s="131">
        <f ca="1">SUMIFS(Table_Process_Details[RV GWP (kg CO2 equiv.) per kg API (WATER)],Table_Process_Details[Display Name],Table_Process_Details[[#This Row],[Unique Process Inputs]],Table_Process_Details[Input or Output],"Input")</f>
        <v>0</v>
      </c>
      <c r="FD82" s="131">
        <f ca="1">SUMIFS(Table_Process_Details[RV GWP (kg CO2 equiv.) per kg API (ENZ&amp;PLNT)],Table_Process_Details[Display Name],Table_Process_Details[[#This Row],[Unique Process Inputs]],Table_Process_Details[Input or Output],"Input")</f>
        <v>0</v>
      </c>
      <c r="FE82" s="131">
        <f ca="1">SUMIFS(Table_Process_Details[RV GWP (kg CO2 equiv.) per kg API (OTHER)],Table_Process_Details[Display Name],Table_Process_Details[[#This Row],[Unique Process Inputs]],Table_Process_Details[Input or Output],"Input")</f>
        <v>0</v>
      </c>
      <c r="FF82" s="126" t="e">
        <f ca="1">INDEX(Table_Process_Details[Unique Process Inputs],MATCH(Table_Process_Details[[#This Row],['[GWP (kg CO2 equiv.) per kg API'] of Unique Inputs Sorted by '[GWP (kg CO2 equiv.) per kg API']]],Table_Process_Details[Total '[GWP (kg CO2 equiv.) per kg API'] of Unique Inputs],0))</f>
        <v>#N/A</v>
      </c>
      <c r="FG82" s="126" t="e">
        <f ca="1">IF(LARGE(Table_Process_Details[Total '[GWP (kg CO2 equiv.) per kg API'] of Unique Inputs],Table_Process_Details[[#This Row],[Table Row]])=0,NA(),LARGE(Table_Process_Details[Total '[GWP (kg CO2 equiv.) per kg API'] of Unique Inputs],Table_Process_Details[[#This Row],[Table Row]]))</f>
        <v>#N/A</v>
      </c>
      <c r="FH82" s="126" t="e">
        <f ca="1">SUM(OFFSET(Table_Process_Details['[GWP (kg CO2 equiv.) per kg API'] of Unique Inputs Sorted by '[GWP (kg CO2 equiv.) per kg API']],0,0,Table_Process_Details[[#This Row],[Table Row]]))</f>
        <v>#N/A</v>
      </c>
      <c r="FI82" s="126" t="e">
        <f ca="1">"("&amp;TEXT(Table_Process_Details[[#This Row],['[GWP (kg CO2 equiv.) per kg API'] of Unique Inputs Sorted by '[GWP (kg CO2 equiv.) per kg API']]]/SUMIF(Table_Process_Details['[GWP (kg CO2 equiv.) per kg API'] of Unique Inputs Sorted by '[GWP (kg CO2 equiv.) per kg API']],"&lt;&gt;#N/A"),"0%")&amp;")"</f>
        <v>#N/A</v>
      </c>
      <c r="FJ82" s="126" t="e">
        <f ca="1">INDEX(Table_Process_Details[Total '[GWP (kg CO2 equiv.) per kg API'] of Unique Inputs (REAGENT)], MATCH(Table_Process_Details[[#This Row],[Unique Inputs Sorted by '[GWP (kg CO2 equiv.) per kg API']]],Table_Process_Details[Unique Process Inputs],0))</f>
        <v>#N/A</v>
      </c>
      <c r="FK82" s="126" t="e">
        <f ca="1">INDEX(Table_Process_Details[Total '[GWP (kg CO2 equiv.) per kg API'] of Unique Inputs (METAL)], MATCH(Table_Process_Details[[#This Row],[Unique Inputs Sorted by '[GWP (kg CO2 equiv.) per kg API']]],Table_Process_Details[Unique Process Inputs],0))</f>
        <v>#N/A</v>
      </c>
      <c r="FL82" s="126" t="e">
        <f ca="1">INDEX(Table_Process_Details[Total '[GWP (kg CO2 equiv.) per kg API'] of Unique Inputs (SOLVENT)], MATCH(Table_Process_Details[[#This Row],[Unique Inputs Sorted by '[GWP (kg CO2 equiv.) per kg API']]],Table_Process_Details[Unique Process Inputs],0))</f>
        <v>#N/A</v>
      </c>
      <c r="FM82" s="126" t="e">
        <f ca="1">INDEX(Table_Process_Details[Total '[GWP (kg CO2 equiv.) per kg API'] of Unique Inputs (WATER)], MATCH(Table_Process_Details[[#This Row],[Unique Inputs Sorted by '[GWP (kg CO2 equiv.) per kg API']]],Table_Process_Details[Unique Process Inputs],0))</f>
        <v>#N/A</v>
      </c>
      <c r="FN82" s="126" t="e">
        <f ca="1">INDEX(Table_Process_Details[Total '[GWP (kg CO2 equiv.) per kg API'] of Unique Inputs (ENZ&amp;PLNT)], MATCH(Table_Process_Details[[#This Row],[Unique Inputs Sorted by '[GWP (kg CO2 equiv.) per kg API']]],Table_Process_Details[Unique Process Inputs],0))</f>
        <v>#N/A</v>
      </c>
      <c r="FO82" s="126" t="e">
        <f ca="1">INDEX(Table_Process_Details[Total '[GWP (kg CO2 equiv.) per kg API'] of Unique Inputs (OTHER)], MATCH(Table_Process_Details[[#This Row],[Unique Inputs Sorted by '[GWP (kg CO2 equiv.) per kg API']]],Table_Process_Details[Unique Process Inputs],0))</f>
        <v>#N/A</v>
      </c>
      <c r="FP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2"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2" s="126">
        <f ca="1">SUMIFS(Table_Process_Details[RV Acidification (kg SO2 equiv.) per kg API],Table_Process_Details[Display Name],Table_Process_Details[[#This Row],[Unique Process Inputs]],Table_Process_Details[Input or Output],"Input")</f>
        <v>0</v>
      </c>
      <c r="FX82" s="131">
        <f ca="1">SUMIFS(Table_Process_Details[RV Acidification (kg SO2 equiv.) per kg API (REAGENT)],Table_Process_Details[Display Name],Table_Process_Details[[#This Row],[Unique Process Inputs]],Table_Process_Details[Input or Output],"Input")</f>
        <v>0</v>
      </c>
      <c r="FY82" s="131">
        <f ca="1">SUMIFS(Table_Process_Details[RV Acidification (kg SO2 equiv.) per kg API (METAL)],Table_Process_Details[Display Name],Table_Process_Details[[#This Row],[Unique Process Inputs]],Table_Process_Details[Input or Output],"Input")</f>
        <v>0</v>
      </c>
      <c r="FZ82" s="131">
        <f ca="1">SUMIFS(Table_Process_Details[RV Acidification (kg SO2 equiv.) per kg API (SOLVENT)],Table_Process_Details[Display Name],Table_Process_Details[[#This Row],[Unique Process Inputs]],Table_Process_Details[Input or Output],"Input")</f>
        <v>0</v>
      </c>
      <c r="GA82" s="131">
        <f ca="1">SUMIFS(Table_Process_Details[RV Acidification (kg SO2 equiv.) per kg API (WATER)],Table_Process_Details[Display Name],Table_Process_Details[[#This Row],[Unique Process Inputs]],Table_Process_Details[Input or Output],"Input")</f>
        <v>0</v>
      </c>
      <c r="GB82" s="131">
        <f ca="1">SUMIFS(Table_Process_Details[RV Acidification (kg SO2 equiv.) per kg API (ENZ&amp;PLNT)],Table_Process_Details[Display Name],Table_Process_Details[[#This Row],[Unique Process Inputs]],Table_Process_Details[Input or Output],"Input")</f>
        <v>0</v>
      </c>
      <c r="GC82" s="131">
        <f ca="1">SUMIFS(Table_Process_Details[RV Acidification (kg SO2 equiv.) per kg API (OTHER)],Table_Process_Details[Display Name],Table_Process_Details[[#This Row],[Unique Process Inputs]],Table_Process_Details[Input or Output],"Input")</f>
        <v>0</v>
      </c>
      <c r="GD82"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2"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82" s="126" t="e">
        <f ca="1">SUM(OFFSET(Table_Process_Details['[Acidification (kg SO2 equiv.) per kg API'] of Unique Inputs Sorted by '[Acidification (kg SO2 equiv.) per kg API']],0,0,Table_Process_Details[[#This Row],[Table Row]]))</f>
        <v>#N/A</v>
      </c>
      <c r="GG82"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2" s="126" t="e">
        <f ca="1">INDEX(Table_Process_Details[Total '[Acidification (kg SO2 equiv.) per kg API'] of Unique Inputs (REAGENT)], MATCH(Table_Process_Details[[#This Row],[Unique Inputs Sorted by '[Acidification (kg SO2 equiv.) per kg API']]],Table_Process_Details[Unique Process Inputs],0))</f>
        <v>#N/A</v>
      </c>
      <c r="GI82" s="126" t="e">
        <f ca="1">INDEX(Table_Process_Details[Total '[Acidification (kg SO2 equiv.) per kg API'] of Unique Inputs (METAL)], MATCH(Table_Process_Details[[#This Row],[Unique Inputs Sorted by '[Acidification (kg SO2 equiv.) per kg API']]],Table_Process_Details[Unique Process Inputs],0))</f>
        <v>#N/A</v>
      </c>
      <c r="GJ82" s="126" t="e">
        <f ca="1">INDEX(Table_Process_Details[Total '[Acidification (kg SO2 equiv.) per kg API'] of Unique Inputs (SOLVENT)], MATCH(Table_Process_Details[[#This Row],[Unique Inputs Sorted by '[Acidification (kg SO2 equiv.) per kg API']]],Table_Process_Details[Unique Process Inputs],0))</f>
        <v>#N/A</v>
      </c>
      <c r="GK82" s="126" t="e">
        <f ca="1">INDEX(Table_Process_Details[Total '[Acidification (kg SO2 equiv.) per kg API'] of Unique Inputs (WATER)], MATCH(Table_Process_Details[[#This Row],[Unique Inputs Sorted by '[Acidification (kg SO2 equiv.) per kg API']]],Table_Process_Details[Unique Process Inputs],0))</f>
        <v>#N/A</v>
      </c>
      <c r="GL82" s="126" t="e">
        <f ca="1">INDEX(Table_Process_Details[Total '[Acidification (kg SO2 equiv.) per kg API'] of Unique Inputs (ENZ&amp;PLNT)], MATCH(Table_Process_Details[[#This Row],[Unique Inputs Sorted by '[Acidification (kg SO2 equiv.) per kg API']]],Table_Process_Details[Unique Process Inputs],0))</f>
        <v>#N/A</v>
      </c>
      <c r="GM82" s="126" t="e">
        <f ca="1">INDEX(Table_Process_Details[Total '[Acidification (kg SO2 equiv.) per kg API'] of Unique Inputs (OTHER)], MATCH(Table_Process_Details[[#This Row],[Unique Inputs Sorted by '[Acidification (kg SO2 equiv.) per kg API']]],Table_Process_Details[Unique Process Inputs],0))</f>
        <v>#N/A</v>
      </c>
      <c r="GN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2"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2" s="126">
        <f ca="1">SUMIFS(Table_Process_Details[RV Eutrophication (kg phosphate equiv.) per kg API],Table_Process_Details[Display Name],Table_Process_Details[[#This Row],[Unique Process Inputs]],Table_Process_Details[Input or Output],"Input")</f>
        <v>0</v>
      </c>
      <c r="GV82" s="131">
        <f ca="1">SUMIFS(Table_Process_Details[RV Eutrophication (kg phosphate equiv.) per kg API (REAGENT)],Table_Process_Details[Display Name],Table_Process_Details[[#This Row],[Unique Process Inputs]],Table_Process_Details[Input or Output],"Input")</f>
        <v>0</v>
      </c>
      <c r="GW82" s="131">
        <f ca="1">SUMIFS(Table_Process_Details[RV Eutrophication (kg phosphate equiv.) per kg API (METAL)],Table_Process_Details[Display Name],Table_Process_Details[[#This Row],[Unique Process Inputs]],Table_Process_Details[Input or Output],"Input")</f>
        <v>0</v>
      </c>
      <c r="GX82" s="131">
        <f ca="1">SUMIFS(Table_Process_Details[RV Eutrophication (kg phosphate equiv.) per kg API (SOLVENT)],Table_Process_Details[Display Name],Table_Process_Details[[#This Row],[Unique Process Inputs]],Table_Process_Details[Input or Output],"Input")</f>
        <v>0</v>
      </c>
      <c r="GY82" s="131">
        <f ca="1">SUMIFS(Table_Process_Details[RV Eutrophication (kg phosphate equiv.) per kg API (WATER)],Table_Process_Details[Display Name],Table_Process_Details[[#This Row],[Unique Process Inputs]],Table_Process_Details[Input or Output],"Input")</f>
        <v>0</v>
      </c>
      <c r="GZ82" s="131">
        <f ca="1">SUMIFS(Table_Process_Details[RV Eutrophication (kg phosphate equiv.) per kg API (ENZ&amp;PLNT)],Table_Process_Details[Display Name],Table_Process_Details[[#This Row],[Unique Process Inputs]],Table_Process_Details[Input or Output],"Input")</f>
        <v>0</v>
      </c>
      <c r="HA82" s="131">
        <f ca="1">SUMIFS(Table_Process_Details[RV Eutrophication (kg phosphate equiv.) per kg API (OTHER)],Table_Process_Details[Display Name],Table_Process_Details[[#This Row],[Unique Process Inputs]],Table_Process_Details[Input or Output],"Input")</f>
        <v>0</v>
      </c>
      <c r="HB82"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2"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2" s="126" t="e">
        <f ca="1">SUM(OFFSET(Table_Process_Details['[Eutrophication (kg posphate equiv.) per kg API'] of Unique Inputs Sorted by '[Eutrophication (kg posphate equiv.) per kg API']],0,0,Table_Process_Details[[#This Row],[Table Row]]))</f>
        <v>#N/A</v>
      </c>
      <c r="HE82"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2" s="131" t="e">
        <f ca="1">INDEX(Table_Process_Details[Total '[Eutrophication (kg posphate equiv.) per kg API'] of Unique Inputs (REAGENT)], MATCH(Table_Process_Details[[#This Row],[Unique Inputs Sorted by '[Eutrophication (kg posphate equiv.) per kg API']]],Table_Process_Details[Unique Process Inputs],0))</f>
        <v>#N/A</v>
      </c>
      <c r="HG82" s="131" t="e">
        <f ca="1">INDEX(Table_Process_Details[Total '[Eutrophication (kg posphate equiv.) per kg API'] of Unique Inputs (METAL)], MATCH(Table_Process_Details[[#This Row],[Unique Inputs Sorted by '[Eutrophication (kg posphate equiv.) per kg API']]],Table_Process_Details[Unique Process Inputs],0))</f>
        <v>#N/A</v>
      </c>
      <c r="HH82" s="131" t="e">
        <f ca="1">INDEX(Table_Process_Details[Total '[Eutrophication (kg posphate equiv.) per kg API'] of Unique Inputs (SOLVENT)], MATCH(Table_Process_Details[[#This Row],[Unique Inputs Sorted by '[Eutrophication (kg posphate equiv.) per kg API']]],Table_Process_Details[Unique Process Inputs],0))</f>
        <v>#N/A</v>
      </c>
      <c r="HI82" s="131" t="e">
        <f ca="1">INDEX(Table_Process_Details[Total '[Eutrophication (kg posphate equiv.) per kg API'] of Unique Inputs (WATER)], MATCH(Table_Process_Details[[#This Row],[Unique Inputs Sorted by '[Eutrophication (kg posphate equiv.) per kg API']]],Table_Process_Details[Unique Process Inputs],0))</f>
        <v>#N/A</v>
      </c>
      <c r="HJ82" s="131" t="e">
        <f ca="1">INDEX(Table_Process_Details[Total '[Eutrophication (kg posphate equiv.) per kg API'] of Unique Inputs (ENZ&amp;PLNT)], MATCH(Table_Process_Details[[#This Row],[Unique Inputs Sorted by '[Eutrophication (kg posphate equiv.) per kg API']]],Table_Process_Details[Unique Process Inputs],0))</f>
        <v>#N/A</v>
      </c>
      <c r="HK82" s="131" t="e">
        <f ca="1">INDEX(Table_Process_Details[Total '[Eutrophication (kg posphate equiv.) per kg API'] of Unique Inputs (OTHER)], MATCH(Table_Process_Details[[#This Row],[Unique Inputs Sorted by '[Eutrophication (kg posphate equiv.) per kg API']]],Table_Process_Details[Unique Process Inputs],0))</f>
        <v>#N/A</v>
      </c>
      <c r="HL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2"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2" s="131">
        <f ca="1">SUMIFS(Table_Process_Details[RV Water (kg) per kg API],Table_Process_Details[Display Name],Table_Process_Details[[#This Row],[Unique Process Inputs]],Table_Process_Details[Input or Output],"Input")</f>
        <v>0</v>
      </c>
      <c r="HT82" s="131">
        <f ca="1">SUMIFS(Table_Process_Details[RV Water (kg) per kg API (REAGENT)],Table_Process_Details[Display Name],Table_Process_Details[[#This Row],[Unique Process Inputs]],Table_Process_Details[Input or Output],"Input")</f>
        <v>0</v>
      </c>
      <c r="HU82" s="131">
        <f ca="1">SUMIFS(Table_Process_Details[RV Water (kg) per kg API (METAL)],Table_Process_Details[Display Name],Table_Process_Details[[#This Row],[Unique Process Inputs]],Table_Process_Details[Input or Output],"Input")</f>
        <v>0</v>
      </c>
      <c r="HV82" s="131">
        <f ca="1">SUMIFS(Table_Process_Details[RV Water (kg) per kg API (SOLVENT)],Table_Process_Details[Display Name],Table_Process_Details[[#This Row],[Unique Process Inputs]],Table_Process_Details[Input or Output],"Input")</f>
        <v>0</v>
      </c>
      <c r="HW82" s="131">
        <f ca="1">SUMIFS(Table_Process_Details[RV Water (kg) per kg API (WATER)],Table_Process_Details[Display Name],Table_Process_Details[[#This Row],[Unique Process Inputs]],Table_Process_Details[Input or Output],"Input")</f>
        <v>0</v>
      </c>
      <c r="HX82" s="131">
        <f ca="1">SUMIFS(Table_Process_Details[RV Water (kg) per kg API (ENZ&amp;PLNT)],Table_Process_Details[Display Name],Table_Process_Details[[#This Row],[Unique Process Inputs]],Table_Process_Details[Input or Output],"Input")</f>
        <v>0</v>
      </c>
      <c r="HY82" s="131">
        <f ca="1">SUMIFS(Table_Process_Details[RV Water (kg) per kg API (OTHER)],Table_Process_Details[Display Name],Table_Process_Details[[#This Row],[Unique Process Inputs]],Table_Process_Details[Input or Output],"Input")</f>
        <v>0</v>
      </c>
      <c r="HZ82" s="126" t="e">
        <f ca="1">INDEX(Table_Process_Details[Unique Process Inputs],MATCH(Table_Process_Details[[#This Row],['[Water (kg) per kg API'] of Unique Inputs Sorted by '[Water (kg) per kg API']]],Table_Process_Details[Total '[Water (kg) per kg API'] of Unique Inputs],0))</f>
        <v>#N/A</v>
      </c>
      <c r="IA82" s="126" t="e">
        <f ca="1">IF(LARGE(Table_Process_Details[Total '[Water (kg) per kg API'] of Unique Inputs],Table_Process_Details[[#This Row],[Table Row]])=0,NA(),LARGE(Table_Process_Details[Total '[Water (kg) per kg API'] of Unique Inputs],Table_Process_Details[[#This Row],[Table Row]]))</f>
        <v>#N/A</v>
      </c>
      <c r="IB82" s="131" t="e">
        <f ca="1">SUM(OFFSET(Table_Process_Details['[Water (kg) per kg API'] of Unique Inputs Sorted by '[Water (kg) per kg API']],0,0,Table_Process_Details[[#This Row],[Table Row]]))</f>
        <v>#N/A</v>
      </c>
      <c r="IC82" s="131" t="e">
        <f ca="1">"("&amp;TEXT(Table_Process_Details[[#This Row],['[Water (kg) per kg API'] of Unique Inputs Sorted by '[Water (kg) per kg API']]]/SUMIF(Table_Process_Details['[Water (kg) per kg API'] of Unique Inputs Sorted by '[Water (kg) per kg API']],"&lt;&gt;#N/A"),"0%")&amp;")"</f>
        <v>#N/A</v>
      </c>
      <c r="ID82" s="131" t="e">
        <f ca="1">INDEX(Table_Process_Details[Total '[Water (kg) per kg API'] of Unique Inputs (REAGENT)], MATCH(Table_Process_Details[[#This Row],[Unique Inputs Sorted by '[Water (kg) per kg API']]],Table_Process_Details[Unique Process Inputs],0))</f>
        <v>#N/A</v>
      </c>
      <c r="IE82" s="131" t="e">
        <f ca="1">INDEX(Table_Process_Details[Total '[Water (kg) per kg API'] of Unique Inputs (METAL)], MATCH(Table_Process_Details[[#This Row],[Unique Inputs Sorted by '[Water (kg) per kg API']]],Table_Process_Details[Unique Process Inputs],0))</f>
        <v>#N/A</v>
      </c>
      <c r="IF82" s="131" t="e">
        <f ca="1">INDEX(Table_Process_Details[Total '[Water (kg) per kg API'] of Unique Inputs (SOLVENT)], MATCH(Table_Process_Details[[#This Row],[Unique Inputs Sorted by '[Water (kg) per kg API']]],Table_Process_Details[Unique Process Inputs],0))</f>
        <v>#N/A</v>
      </c>
      <c r="IG82" s="131" t="e">
        <f ca="1">INDEX(Table_Process_Details[Total '[Water (kg) per kg API'] of Unique Inputs (WATER)], MATCH(Table_Process_Details[[#This Row],[Unique Inputs Sorted by '[Water (kg) per kg API']]],Table_Process_Details[Unique Process Inputs],0))</f>
        <v>#N/A</v>
      </c>
      <c r="IH82" s="131" t="e">
        <f ca="1">INDEX(Table_Process_Details[Total '[Water (kg) per kg API'] of Unique Inputs (ENZ&amp;PLNT)], MATCH(Table_Process_Details[[#This Row],[Unique Inputs Sorted by '[Water (kg) per kg API']]],Table_Process_Details[Unique Process Inputs],0))</f>
        <v>#N/A</v>
      </c>
      <c r="II82" s="131" t="e">
        <f ca="1">INDEX(Table_Process_Details[Total '[Water (kg) per kg API'] of Unique Inputs (OTHER)], MATCH(Table_Process_Details[[#This Row],[Unique Inputs Sorted by '[Water (kg) per kg API']]],Table_Process_Details[Unique Process Inputs],0))</f>
        <v>#N/A</v>
      </c>
    </row>
    <row r="83" spans="1:243" customFormat="1" x14ac:dyDescent="0.25">
      <c r="A83" s="22" t="str">
        <f>'1. Define Process Steps'!A24</f>
        <v>4d) Virtual material prep for (4): 95 wt% reagent M (organic)</v>
      </c>
      <c r="B83" s="21" t="s">
        <v>4</v>
      </c>
      <c r="C83" s="21" t="s">
        <v>7</v>
      </c>
      <c r="D83" s="22" t="s">
        <v>158</v>
      </c>
      <c r="E83" s="22" t="s">
        <v>837</v>
      </c>
      <c r="F83" s="26">
        <v>95</v>
      </c>
      <c r="G83" s="26"/>
      <c r="H83" s="26"/>
      <c r="I83" s="26"/>
      <c r="J83" s="26" t="str">
        <f>INDEX(Process_Steps[Reference],MATCH(Table_Process_Details[[#This Row],[Step Name]],Process_Steps[Name],0))</f>
        <v>Penultimate Reference Document</v>
      </c>
      <c r="K83" s="27" t="str">
        <f>INDEX(Process_Steps[Real or Virtual?],MATCH(Table_Process_Details[[#This Row],[Step Name]],Process_Steps[Name],0))</f>
        <v>Virtual</v>
      </c>
      <c r="L83"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83"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83" s="26">
        <f>INDEX(Table_Process_Details[Physical Mass (kg)],MATCH(1,INDEX(((Table_Process_Details[Step Name]=Table_Process_Details[[#This Row],[Step Name]])*(Table_Process_Details[Input or Output]="Output")),0),0))</f>
        <v>100</v>
      </c>
      <c r="O83" s="29">
        <f ca="1">INDEX(Process_Steps[Step Scale Factor for 1kg Packaged API],MATCH(Table_Process_Details[[#This Row],[Step Name]],Process_Steps[Name],0))</f>
        <v>2.2022389429253234E-2</v>
      </c>
      <c r="P83"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17.333333333333332</v>
      </c>
      <c r="Q83"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2.3333333333333321</v>
      </c>
      <c r="R83" s="26">
        <f ca="1">_xlfn.SWITCH(Run_Reset_PNG,"Reset",Table_Process_Details[[#This Row],[X Init]],"Run",Table_Process_Details[[#This Row],[X Moved]],"Freeze",Table_Process_Details[[#This Row],[X Mover]])</f>
        <v>25.402716935448144</v>
      </c>
      <c r="S83" s="26">
        <f ca="1">_xlfn.SWITCH(Run_Reset_PNG,"Reset",Table_Process_Details[[#This Row],[Y Init]],"Run",Table_Process_Details[[#This Row],[Y Moved]],"Freeze",Table_Process_Details[[#This Row],[Y Mover]])</f>
        <v>-14.603042109624679</v>
      </c>
      <c r="T83" s="26" cm="1">
        <f t="array" aca="1" ref="T8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0.91800614408615822</v>
      </c>
      <c r="U83" s="26" cm="1">
        <f t="array" aca="1" ref="U8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-4.4416032267551948</v>
      </c>
      <c r="V83" s="26" cm="1">
        <f t="array" aca="1" ref="V83" ca="1">SUM(--(SQRT((Table_Process_Details[[#This Row],[X Mover]]-Table_Process_Details[X Mover])^2+(Table_Process_Details[[#This Row],[Y Mover]]-Table_Process_Details[Y Mover])^2)&lt;Collision_Distance))</f>
        <v>6</v>
      </c>
      <c r="W83" s="26" cm="1">
        <f t="array" aca="1" ref="W8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-1.247483350260865E-2</v>
      </c>
      <c r="X83" s="26" cm="1">
        <f t="array" aca="1" ref="X8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0.6794629229001663</v>
      </c>
      <c r="Y83" s="26" cm="1">
        <f t="array" aca="1" ref="Y8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83" s="26">
        <f>0</f>
        <v>0</v>
      </c>
      <c r="AA83" s="26">
        <f>0</f>
        <v>0</v>
      </c>
      <c r="AB83"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-12.701358467724072</v>
      </c>
      <c r="AC83" s="26" cm="1">
        <f t="array" aca="1" ref="AC8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7.3015210548123397</v>
      </c>
      <c r="AD83" s="26">
        <f>MIN(1,COUNTA(Table_Process_Details[[#This Row],[target x]]),COUNTA(Table_Process_Details[[#This Row],[target y]]))*COUNTA(Table_Process_Details[Step Name])</f>
        <v>98</v>
      </c>
      <c r="AE83"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25.413637427309649</v>
      </c>
      <c r="AF83"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-14.589341074297872</v>
      </c>
      <c r="AG83"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83" s="26" cm="1">
        <f t="array" aca="1" ref="AH83" ca="1">INDEX(Table_Process_Details[X Mover],MATCH(1,INDEX((Table_Process_Details[Input or Output]="Output")*(Table_Process_Details[Step Name]=Table_Process_Details[[#This Row],[Step Name]])*(Table_Process_Details[[#This Row],[Input or Output]]="Input"),0),0))</f>
        <v>25.322697016273306</v>
      </c>
      <c r="AI83" s="26" cm="1">
        <f t="array" aca="1" ref="AI83" ca="1">INDEX(Table_Process_Details[Y Mover],MATCH(1,INDEX((Table_Process_Details[Input or Output]="Output")*(Table_Process_Details[Step Name]=Table_Process_Details[[#This Row],[Step Name]])*(Table_Process_Details[[#This Row],[Input or Output]]="Input"),0),0))</f>
        <v>-10.244621761858062</v>
      </c>
      <c r="AJ83" s="26" t="e">
        <f ca="1">SQRT((Table_Process_Details[[#This Row],[X End (To Node Center)]]-Table_Process_Details[[#This Row],[X Guide]])^2+(Table_Process_Details[[#This Row],[Y End (to Node Center)]]-Table_Process_Details[[#This Row],[Y Guide]])^2)</f>
        <v>#N/A</v>
      </c>
      <c r="AK83" s="26" t="e" cm="1">
        <f t="array" ref="AK83">INDEX(Table_Process_Details[X Mover],MATCH(1,INDEX((Table_Process_Details[Step Name]=Table_Process_Details[[#This Row],[LCA Data Source Subclass]])*(Table_Process_Details[Input or Output]="Output"),0)*(Table_Process_Details[[#This Row],[Input or Output]]="Input"),0))</f>
        <v>#N/A</v>
      </c>
      <c r="AL83" s="26" cm="1">
        <f t="array" aca="1" ref="AL83" ca="1">INDEX(Table_Process_Details[X Mover],MATCH(1,INDEX(((Table_Process_Details[Table Row]=Table_Process_Details[[#This Row],[Table Row]])*(1)),0)*(Table_Process_Details[[#This Row],[Input or Output]]="Input"),0))</f>
        <v>25.402716935448144</v>
      </c>
      <c r="AM83" s="26" t="e" cm="1">
        <f t="array" aca="1" ref="AM83" ca="1">(Table_Process_Details[[#This Row],[X End (To Node Center)]]*Table_Process_Details[[#This Row],[r0]]-Table_Process_Details[[#This Row],[X End (To Node Center)]]*Arrow_Offset+Table_Process_Details[[#This Row],[X Guide]]*Arrow_Offset)/Table_Process_Details[[#This Row],[r0]]</f>
        <v>#N/A</v>
      </c>
      <c r="AN83" s="26" t="e">
        <f>IF(NOT(Table_Process_Details[[#This Row],[Display As]]="None"),Table_Process_Details[[#This Row],[X Start Prefilter]],NA())</f>
        <v>#N/A</v>
      </c>
      <c r="AO83" s="26" t="e">
        <f>IF(NOT(Table_Process_Details[[#This Row],[Display As]]="None"),Table_Process_Details[[#This Row],[X Guide Prefilter]],NA())</f>
        <v>#N/A</v>
      </c>
      <c r="AP83" s="26" t="e">
        <f>IF(NOT(Table_Process_Details[[#This Row],[Display As]]="None"),Table_Process_Details[[#This Row],[X End (to Stop Radius) Prefilter]],NA())</f>
        <v>#N/A</v>
      </c>
      <c r="AQ83" s="26" t="e">
        <f>NA()</f>
        <v>#N/A</v>
      </c>
      <c r="AR83" s="26" t="e" cm="1">
        <f t="array" ref="AR83">INDEX(Table_Process_Details[Y Mover],MATCH(1,INDEX((Table_Process_Details[Step Name]=Table_Process_Details[[#This Row],[LCA Data Source Subclass]])*(Table_Process_Details[Input or Output]="Output"),0)*(Table_Process_Details[[#This Row],[Input or Output]]="Input"),0))</f>
        <v>#N/A</v>
      </c>
      <c r="AS83" s="26" cm="1">
        <f t="array" aca="1" ref="AS83" ca="1">INDEX(Table_Process_Details[Y Mover],MATCH(1,INDEX(((Table_Process_Details[Table Row]=Table_Process_Details[[#This Row],[Table Row]])*(1)),0)*(Table_Process_Details[[#This Row],[Input or Output]]="Input"),0))</f>
        <v>-14.603042109624679</v>
      </c>
      <c r="AT83" s="26" t="e" cm="1">
        <f t="array" aca="1" ref="AT83" ca="1">(Table_Process_Details[[#This Row],[Y Guide]]*Arrow_Offset-Table_Process_Details[[#This Row],[Y End (to Node Center)]]*Arrow_Offset+Table_Process_Details[[#This Row],[Y End (to Node Center)]]*Table_Process_Details[[#This Row],[r0]])/Table_Process_Details[[#This Row],[r0]]</f>
        <v>#N/A</v>
      </c>
      <c r="AU83" s="26" t="e">
        <f>IF(NOT(Table_Process_Details[[#This Row],[Display As]]="None"),Table_Process_Details[[#This Row],[Y Start Prefilter]],NA())</f>
        <v>#N/A</v>
      </c>
      <c r="AV83" s="26" t="e">
        <f>IF(NOT(Table_Process_Details[[#This Row],[Display As]]="None"),Table_Process_Details[[#This Row],[Y Guide Prefilter]],NA())</f>
        <v>#N/A</v>
      </c>
      <c r="AW83" s="26" t="e">
        <f>IF(NOT(Table_Process_Details[[#This Row],[Display As]]="None"),Table_Process_Details[[#This Row],[Y End (to Stop Radius) Prefilter]],NA())</f>
        <v>#N/A</v>
      </c>
      <c r="AX83" s="26" t="e">
        <f>NA()</f>
        <v>#N/A</v>
      </c>
      <c r="AY83" s="26" t="e">
        <f>IF(Table_Process_Details[[#This Row],[Display As]]="Real Step",Table_Process_Details[[#This Row],[X Mover]],NA())</f>
        <v>#N/A</v>
      </c>
      <c r="AZ83" s="26" t="e">
        <f>IF(Table_Process_Details[[#This Row],[Display As]]="Real Step",Table_Process_Details[[#This Row],[Y Mover]],NA())</f>
        <v>#N/A</v>
      </c>
      <c r="BA83" s="26" t="e">
        <f>IF(Table_Process_Details[[#This Row],[Display As]]="Raw Material",Table_Process_Details[[#This Row],[X Mover]],NA())</f>
        <v>#N/A</v>
      </c>
      <c r="BB83" s="26" t="e">
        <f>IF(Table_Process_Details[[#This Row],[Display As]]="Raw Material",Table_Process_Details[[#This Row],[Y Mover]],NA())</f>
        <v>#N/A</v>
      </c>
      <c r="BC83" s="26" t="e">
        <f>IF(OR(Table_Process_Details[[#This Row],[Display As]]="Real Step",Table_Process_Details[[#This Row],[Display As]]="Raw Material"),Table_Process_Details[[#This Row],[X Mover]],NA())</f>
        <v>#N/A</v>
      </c>
      <c r="BD83" s="26" t="e">
        <f>IF(OR(Table_Process_Details[[#This Row],[Display As]]="Real Step",Table_Process_Details[[#This Row],[Display As]]="Raw Material"),Table_Process_Details[[#This Row],[Y Mover]],NA())</f>
        <v>#N/A</v>
      </c>
      <c r="BE83" s="22">
        <f>ROW()-ROW(Table_Process_Details[[#Headers],[Table Row]])</f>
        <v>79</v>
      </c>
      <c r="BF83" s="23" t="e" cm="1">
        <f t="array" aca="1" ref="BF83" ca="1">INDEX(Table_Process_Details[Display Name],MATCH(0,IF(Table_Process_Details[Input or Output]="Input",INDEX(COUNTIF(OFFSET(Table_Process_Details[[#Headers],[Unique Process Inputs]],0,0,Table_Process_Details[[#This Row],[Table Row]],1),Table_Process_Details[Display Name]),),""),0))</f>
        <v>#N/A</v>
      </c>
      <c r="BG83" s="23">
        <f ca="1">Table_Process_Details[[#This Row],[Physical Mass (kg)]]*Table_Process_Details[[#This Row],[Step Scale Factor for 1kg Packaged API]]</f>
        <v>2.0921269957790574</v>
      </c>
      <c r="BH83"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3" s="23">
        <f ca="1">MATCH(Table_Process_Details[[#This Row],[LCA Data Source Class]],INDIRECT(Table_Process_Details[[#This Row],[Input or Output]]),0)</f>
        <v>6</v>
      </c>
      <c r="BJ83" s="23">
        <f ca="1">MATCH(Table_Process_Details[[#This Row],[LCA Data Source Subclass]],INDIRECT(Table_Process_Details[[#This Row],[LCA Data Source Class]]&amp;"[Name]"),0)</f>
        <v>1</v>
      </c>
      <c r="BK83" s="23">
        <f ca="1">IFERROR(INDEX(INDIRECT(Table_Process_Details[[#This Row],[LCA Data Source Class]]&amp;"[Mass Net (kg)]"),MATCH(Table_Process_Details[[#This Row],[LCA Data Source Subclass]],INDIRECT(Table_Process_Details[[#This Row],[LCA Data Source Class]]&amp;"[Name]"),0)),0)</f>
        <v>1.34</v>
      </c>
      <c r="BL83" s="23">
        <f ca="1">IFERROR(INDEX(INDIRECT(Table_Process_Details[[#This Row],[LCA Data Source Class]]&amp;"[Energy (MJ)]"),MATCH(Table_Process_Details[[#This Row],[LCA Data Source Subclass]],INDIRECT(Table_Process_Details[[#This Row],[LCA Data Source Class]]&amp;"[Name]"),0)),0)</f>
        <v>10.63</v>
      </c>
      <c r="BM83" s="23">
        <f ca="1">IFERROR(INDEX(INDIRECT(Table_Process_Details[[#This Row],[LCA Data Source Class]]&amp;"[GWP (kg CO2 equiv.)]"),MATCH(Table_Process_Details[[#This Row],[LCA Data Source Subclass]],INDIRECT(Table_Process_Details[[#This Row],[LCA Data Source Class]]&amp;"[Name]"),0)),0)</f>
        <v>1.3854</v>
      </c>
      <c r="BN83" s="23">
        <f ca="1">IFERROR(INDEX(INDIRECT(Table_Process_Details[[#This Row],[LCA Data Source Class]]&amp;"[Acidification (kg SO2 equiv.)]"),MATCH(Table_Process_Details[[#This Row],[LCA Data Source Subclass]],INDIRECT(Table_Process_Details[[#This Row],[LCA Data Source Class]]&amp;"[Name]"),0)),0)</f>
        <v>1.3899999999999999E-2</v>
      </c>
      <c r="BO83" s="23">
        <f ca="1">IFERROR(INDEX(INDIRECT(Table_Process_Details[[#This Row],[LCA Data Source Class]]&amp;"[Eutrophication (kg posphate equiv.)]"),MATCH(Table_Process_Details[[#This Row],[LCA Data Source Subclass]],INDIRECT(Table_Process_Details[[#This Row],[LCA Data Source Class]]&amp;"[Name]"),0)),0)</f>
        <v>6.9999999999999999E-4</v>
      </c>
      <c r="BP83" s="23">
        <f ca="1">IFERROR(INDEX(INDIRECT(Table_Process_Details[[#This Row],[LCA Data Source Class]]&amp;"[Water (kg)]"),MATCH(Table_Process_Details[[#This Row],[LCA Data Source Subclass]],INDIRECT(Table_Process_Details[[#This Row],[LCA Data Source Class]]&amp;"[Name]"),0)),0)</f>
        <v>0.69123000000000001</v>
      </c>
      <c r="BQ83" s="27">
        <f ca="1">(Table_Process_Details[[#This Row],[Input or Output]]="Input")*(Table_Process_Details[[#This Row],[LCA Data Source Class]]&lt;&gt;"Process_Steps")*Table_Process_Details[[#This Row],[Scaled Physical Mass per kg API for All Inputs &amp; Outputs]]</f>
        <v>2.0921269957790574</v>
      </c>
      <c r="BR83" s="27">
        <f ca="1">(Table_Process_Details[[#This Row],[Material Class]]="REAGENT")*Table_Process_Details[[#This Row],[Physical Mass per kg API]]</f>
        <v>2.0921269957790574</v>
      </c>
      <c r="BS83" s="27">
        <f ca="1">(Table_Process_Details[[#This Row],[Material Class]]="METAL")*Table_Process_Details[[#This Row],[Physical Mass per kg API]]</f>
        <v>0</v>
      </c>
      <c r="BT83" s="27">
        <f ca="1">(Table_Process_Details[[#This Row],[Material Class]]="SOLVENT")*Table_Process_Details[[#This Row],[Physical Mass per kg API]]</f>
        <v>0</v>
      </c>
      <c r="BU83" s="27">
        <f ca="1">(Table_Process_Details[[#This Row],[Material Class]]="WATER")*Table_Process_Details[[#This Row],[Physical Mass per kg API]]</f>
        <v>0</v>
      </c>
      <c r="BV83" s="27">
        <f ca="1">(Table_Process_Details[[#This Row],[Material Class]]="ENZ&amp;PLNT")*Table_Process_Details[[#This Row],[Physical Mass per kg API]]</f>
        <v>0</v>
      </c>
      <c r="BW83" s="27">
        <f ca="1">(Table_Process_Details[[#This Row],[Material Class]]="OTHER")*Table_Process_Details[[#This Row],[Physical Mass per kg API]]</f>
        <v>0</v>
      </c>
      <c r="BX83"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3"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3"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3"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3"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3"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3"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3" s="1">
        <f ca="1">SUMIFS(Table_Process_Details[RV Physical Mass per kg API],Table_Process_Details[Display Name],Table_Process_Details[[#This Row],[Unique Process Inputs]],Table_Process_Details[Input or Output],"Input")</f>
        <v>0</v>
      </c>
      <c r="CF83" s="1">
        <f ca="1">SUMIFS(Table_Process_Details[RV Physical Mass per kg API (REAGENT)],Table_Process_Details[Display Name],Table_Process_Details[[#This Row],[Unique Process Inputs]],Table_Process_Details[Input or Output],"Input")</f>
        <v>0</v>
      </c>
      <c r="CG83" s="1">
        <f ca="1">SUMIFS(Table_Process_Details[RV Physical Mass per kg API (METAL)],Table_Process_Details[Display Name],Table_Process_Details[[#This Row],[Unique Process Inputs]],Table_Process_Details[Input or Output],"Input")</f>
        <v>0</v>
      </c>
      <c r="CH83" s="1">
        <f ca="1">SUMIFS(Table_Process_Details[RV Physical Mass per kg API (SOLVENT)],Table_Process_Details[Display Name],Table_Process_Details[[#This Row],[Unique Process Inputs]],Table_Process_Details[Input or Output],"Input")</f>
        <v>0</v>
      </c>
      <c r="CI83" s="1">
        <f ca="1">SUMIFS(Table_Process_Details[RV Physical Mass per kg API (WATER)],Table_Process_Details[Display Name],Table_Process_Details[[#This Row],[Unique Process Inputs]],Table_Process_Details[Input or Output],"Input")</f>
        <v>0</v>
      </c>
      <c r="CJ83" s="1">
        <f ca="1">SUMIFS(Table_Process_Details[RV Physical Mass per kg API (ENZ&amp;PLNT)],Table_Process_Details[Display Name],Table_Process_Details[[#This Row],[Unique Process Inputs]],Table_Process_Details[Input or Output],"Input")</f>
        <v>0</v>
      </c>
      <c r="CK83" s="1">
        <f ca="1">SUMIFS(Table_Process_Details[RV Physical Mass per kg API (OTHER)],Table_Process_Details[Display Name],Table_Process_Details[[#This Row],[Unique Process Inputs]],Table_Process_Details[Input or Output],"Input")</f>
        <v>0</v>
      </c>
      <c r="CL83" s="22" t="e">
        <f ca="1">INDEX(Table_Process_Details[Unique Process Inputs],MATCH(Table_Process_Details[[#This Row],['[Physical Mass per kg API'] of Unique Inputs Sorted by '[Physical Mass per kg API']]],Table_Process_Details[Total '[Physical Mass per kg API'] of Unique Inputs],0))</f>
        <v>#N/A</v>
      </c>
      <c r="CM83" s="22" t="e">
        <f ca="1">IF(LARGE(Table_Process_Details[Total '[Physical Mass per kg API'] of Unique Inputs],Table_Process_Details[[#This Row],[Table Row]])=0,NA(),LARGE(Table_Process_Details[Total '[Physical Mass per kg API'] of Unique Inputs],Table_Process_Details[[#This Row],[Table Row]]))</f>
        <v>#N/A</v>
      </c>
      <c r="CN83" s="22" t="e">
        <f ca="1">SUM(OFFSET(Table_Process_Details['[Physical Mass per kg API'] of Unique Inputs Sorted by '[Physical Mass per kg API']],0,0,Table_Process_Details[[#This Row],[Table Row]]))</f>
        <v>#N/A</v>
      </c>
      <c r="CO83" s="22" t="e">
        <f ca="1">"("&amp;TEXT(Table_Process_Details[[#This Row],['[Physical Mass per kg API'] of Unique Inputs Sorted by '[Physical Mass per kg API']]]/SUMIF(Table_Process_Details['[Physical Mass per kg API'] of Unique Inputs Sorted by '[Physical Mass per kg API']],"&lt;&gt;#N/A"),"0%")&amp;")"</f>
        <v>#N/A</v>
      </c>
      <c r="CP83" s="22" t="e">
        <f ca="1">INDEX(Table_Process_Details[Total '[Physical Mass per kg API'] of Unique Inputs (REAGENT)],MATCH(Table_Process_Details[[#This Row],[Unique Inputs Sorted by '[Physical Mass per kg API']]],Table_Process_Details[Unique Process Inputs],0))</f>
        <v>#N/A</v>
      </c>
      <c r="CQ83" s="22" t="e">
        <f ca="1">INDEX(Table_Process_Details[Total '[Physical Mass per kg API'] of Unique Inputs (METAL)],MATCH(Table_Process_Details[[#This Row],[Unique Inputs Sorted by '[Physical Mass per kg API']]],Table_Process_Details[Unique Process Inputs],0))</f>
        <v>#N/A</v>
      </c>
      <c r="CR83" s="22" t="e">
        <f ca="1">INDEX(Table_Process_Details[Total '[Physical Mass per kg API'] of Unique Inputs (SOLVENT)],MATCH(Table_Process_Details[[#This Row],[Unique Inputs Sorted by '[Physical Mass per kg API']]],Table_Process_Details[Unique Process Inputs],0))</f>
        <v>#N/A</v>
      </c>
      <c r="CS83" s="22" t="e">
        <f ca="1">INDEX(Table_Process_Details[Total '[Physical Mass per kg API'] of Unique Inputs (WATER)],MATCH(Table_Process_Details[[#This Row],[Unique Inputs Sorted by '[Physical Mass per kg API']]],Table_Process_Details[Unique Process Inputs],0))</f>
        <v>#N/A</v>
      </c>
      <c r="CT83" s="22" t="e">
        <f ca="1">INDEX(Table_Process_Details[Total '[Physical Mass per kg API'] of Unique Inputs (ENZ&amp;PLNT)],MATCH(Table_Process_Details[[#This Row],[Unique Inputs Sorted by '[Physical Mass per kg API']]],Table_Process_Details[Unique Process Inputs],0))</f>
        <v>#N/A</v>
      </c>
      <c r="CU83" s="22" t="e">
        <f ca="1">INDEX(Table_Process_Details[Total '[Physical Mass per kg API'] of Unique Inputs (OTHER)],MATCH(Table_Process_Details[[#This Row],[Unique Inputs Sorted by '[Physical Mass per kg API']]],Table_Process_Details[Unique Process Inputs],0))</f>
        <v>#N/A</v>
      </c>
      <c r="CV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3"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3" s="22">
        <f ca="1">SUMIFS(Table_Process_Details[RV Mass Net (kg) per kg API],Table_Process_Details[Display Name],Table_Process_Details[[#This Row],[Unique Process Inputs]],Table_Process_Details[Input or Output],"Input")</f>
        <v>0</v>
      </c>
      <c r="DD83" s="22">
        <f ca="1">SUMIFS(Table_Process_Details[RV Mass Net (kg) per kg API (REAGENT)],Table_Process_Details[Display Name],Table_Process_Details[[#This Row],[Unique Process Inputs]],Table_Process_Details[Input or Output],"Input")</f>
        <v>0</v>
      </c>
      <c r="DE83" s="22">
        <f ca="1">SUMIFS(Table_Process_Details[RV Mass Net (kg) per kg API (METAL)],Table_Process_Details[Display Name],Table_Process_Details[[#This Row],[Unique Process Inputs]],Table_Process_Details[Input or Output],"Input")</f>
        <v>0</v>
      </c>
      <c r="DF83" s="22">
        <f ca="1">SUMIFS(Table_Process_Details[RV Mass Net (kg) per kg API (SOLVENT)],Table_Process_Details[Display Name],Table_Process_Details[[#This Row],[Unique Process Inputs]],Table_Process_Details[Input or Output],"Input")</f>
        <v>0</v>
      </c>
      <c r="DG83" s="22">
        <f ca="1">SUMIFS(Table_Process_Details[RV Mass Net (kg) per kg API (WATER)],Table_Process_Details[Display Name],Table_Process_Details[[#This Row],[Unique Process Inputs]],Table_Process_Details[Input or Output],"Input")</f>
        <v>0</v>
      </c>
      <c r="DH83" s="22">
        <f ca="1">SUMIFS(Table_Process_Details[RV Mass Net (kg) per kg API (ENZ&amp;PLNT)],Table_Process_Details[Display Name],Table_Process_Details[[#This Row],[Unique Process Inputs]],Table_Process_Details[Input or Output],"Input")</f>
        <v>0</v>
      </c>
      <c r="DI83" s="22">
        <f ca="1">SUMIFS(Table_Process_Details[RV Mass Net (kg) per kg API (OTHER)],Table_Process_Details[Display Name],Table_Process_Details[[#This Row],[Unique Process Inputs]],Table_Process_Details[Input or Output],"Input")</f>
        <v>0</v>
      </c>
      <c r="DJ83" s="22" t="e">
        <f ca="1">INDEX(Table_Process_Details[Unique Process Inputs],MATCH(Table_Process_Details[[#This Row],['[Mass Net (kg) per kg API'] of Unique Inputs Sorted by '[Mass Net (kg) per kg API']]],Table_Process_Details[Total '[Mass Net (kg) per kg API'] of Unique Inputs],0))</f>
        <v>#N/A</v>
      </c>
      <c r="DK83" s="22" t="e">
        <f ca="1">IF(LARGE(Table_Process_Details[Total '[Mass Net (kg) per kg API'] of Unique Inputs],Table_Process_Details[[#This Row],[Table Row]])=0,NA(),LARGE(Table_Process_Details[Total '[Mass Net (kg) per kg API'] of Unique Inputs],Table_Process_Details[[#This Row],[Table Row]]))</f>
        <v>#N/A</v>
      </c>
      <c r="DL83" s="22" t="e">
        <f ca="1">SUM(OFFSET(Table_Process_Details['[Mass Net (kg) per kg API'] of Unique Inputs Sorted by '[Mass Net (kg) per kg API']],0,0,Table_Process_Details[[#This Row],[Table Row]]))</f>
        <v>#N/A</v>
      </c>
      <c r="DM83" s="22" t="e">
        <f ca="1">"("&amp;TEXT(Table_Process_Details[[#This Row],['[Mass Net (kg) per kg API'] of Unique Inputs Sorted by '[Mass Net (kg) per kg API']]]/SUMIF(Table_Process_Details['[Mass Net (kg) per kg API'] of Unique Inputs Sorted by '[Mass Net (kg) per kg API']],"&lt;&gt;#N/A"),"0%")&amp;")"</f>
        <v>#N/A</v>
      </c>
      <c r="DN83" s="22" t="e">
        <f ca="1">INDEX(Table_Process_Details[Total '[Mass Net (kg) per kg API'] of Unique Inputs (REAGENT)], MATCH(Table_Process_Details[[#This Row],[Unique Inputs Sorted by '[Mass Net (kg) per kg API']]],Table_Process_Details[Unique Process Inputs],0))</f>
        <v>#N/A</v>
      </c>
      <c r="DO83" s="22" t="e">
        <f ca="1">INDEX(Table_Process_Details[Total '[Mass Net (kg) per kg API'] of Unique Inputs (METAL)], MATCH(Table_Process_Details[[#This Row],[Unique Inputs Sorted by '[Mass Net (kg) per kg API']]],Table_Process_Details[Unique Process Inputs],0))</f>
        <v>#N/A</v>
      </c>
      <c r="DP83" s="22" t="e">
        <f ca="1">INDEX(Table_Process_Details[Total '[Mass Net (kg) per kg API'] of Unique Inputs (SOLVENT)], MATCH(Table_Process_Details[[#This Row],[Unique Inputs Sorted by '[Mass Net (kg) per kg API']]],Table_Process_Details[Unique Process Inputs],0))</f>
        <v>#N/A</v>
      </c>
      <c r="DQ83" s="22" t="e">
        <f ca="1">INDEX(Table_Process_Details[Total '[Mass Net (kg) per kg API'] of Unique Inputs (WATER)], MATCH(Table_Process_Details[[#This Row],[Unique Inputs Sorted by '[Mass Net (kg) per kg API']]],Table_Process_Details[Unique Process Inputs],0))</f>
        <v>#N/A</v>
      </c>
      <c r="DR83" s="22" t="e">
        <f ca="1">INDEX(Table_Process_Details[Total '[Mass Net (kg) per kg API'] of Unique Inputs (ENZ&amp;PLNT)], MATCH(Table_Process_Details[[#This Row],[Unique Inputs Sorted by '[Mass Net (kg) per kg API']]],Table_Process_Details[Unique Process Inputs],0))</f>
        <v>#N/A</v>
      </c>
      <c r="DS83" s="22" t="e">
        <f ca="1">INDEX(Table_Process_Details[Total '[Mass Net (kg) per kg API'] of Unique Inputs (OTHER)], MATCH(Table_Process_Details[[#This Row],[Unique Inputs Sorted by '[Mass Net (kg) per kg API']]],Table_Process_Details[Unique Process Inputs],0))</f>
        <v>#N/A</v>
      </c>
      <c r="DT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3"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3" s="1">
        <f ca="1">SUMIFS(Table_Process_Details[RV Energy (MJ) per kg API],Table_Process_Details[Display Name],Table_Process_Details[[#This Row],[Unique Process Inputs]],Table_Process_Details[Input or Output],"Input")</f>
        <v>0</v>
      </c>
      <c r="EB83" s="1">
        <f ca="1">SUMIFS(Table_Process_Details[RV Energy (MJ) per kg API (REAGENT)],Table_Process_Details[Display Name],Table_Process_Details[[#This Row],[Unique Process Inputs]],Table_Process_Details[Input or Output],"Input")</f>
        <v>0</v>
      </c>
      <c r="EC83" s="1">
        <f ca="1">SUMIFS(Table_Process_Details[RV Energy (MJ) per kg API (METAL)],Table_Process_Details[Display Name],Table_Process_Details[[#This Row],[Unique Process Inputs]],Table_Process_Details[Input or Output],"Input")</f>
        <v>0</v>
      </c>
      <c r="ED83" s="1">
        <f ca="1">SUMIFS(Table_Process_Details[RV Energy (MJ) per kg API (SOLVENT)],Table_Process_Details[Display Name],Table_Process_Details[[#This Row],[Unique Process Inputs]],Table_Process_Details[Input or Output],"Input")</f>
        <v>0</v>
      </c>
      <c r="EE83" s="1">
        <f ca="1">SUMIFS(Table_Process_Details[RV Energy (MJ) per kg API (WATER)],Table_Process_Details[Display Name],Table_Process_Details[[#This Row],[Unique Process Inputs]],Table_Process_Details[Input or Output],"Input")</f>
        <v>0</v>
      </c>
      <c r="EF83" s="1">
        <f ca="1">SUMIFS(Table_Process_Details[RV Energy (MJ) per kg API (ENZ&amp;PLNT)],Table_Process_Details[Display Name],Table_Process_Details[[#This Row],[Unique Process Inputs]],Table_Process_Details[Input or Output],"Input")</f>
        <v>0</v>
      </c>
      <c r="EG83" s="1">
        <f ca="1">SUMIFS(Table_Process_Details[RV Energy (MJ) per kg API (OTHER)],Table_Process_Details[Display Name],Table_Process_Details[[#This Row],[Unique Process Inputs]],Table_Process_Details[Input or Output],"Input")</f>
        <v>0</v>
      </c>
      <c r="EH83" s="1" t="e">
        <f ca="1">INDEX(Table_Process_Details[Unique Process Inputs],MATCH(Table_Process_Details[[#This Row],['[Energy (MJ) per kg API'] of Unique Inputs Sorted by '[Energy (MJ) per kg API']]],Table_Process_Details[Total '[Energy (MJ) per kg API'] of Unique Inputs],0))</f>
        <v>#N/A</v>
      </c>
      <c r="EI83" s="22" t="e">
        <f ca="1">IF(LARGE(Table_Process_Details[Total '[Energy (MJ) per kg API'] of Unique Inputs],Table_Process_Details[[#This Row],[Table Row]])=0,NA(),LARGE(Table_Process_Details[Total '[Energy (MJ) per kg API'] of Unique Inputs],Table_Process_Details[[#This Row],[Table Row]]))</f>
        <v>#N/A</v>
      </c>
      <c r="EJ83" s="22" t="e">
        <f ca="1">SUM(OFFSET(Table_Process_Details['[Energy (MJ) per kg API'] of Unique Inputs Sorted by '[Energy (MJ) per kg API']],0,0,Table_Process_Details[[#This Row],[Table Row]]))</f>
        <v>#N/A</v>
      </c>
      <c r="EK83" s="22" t="e">
        <f ca="1">"("&amp;TEXT(Table_Process_Details[[#This Row],['[Energy (MJ) per kg API'] of Unique Inputs Sorted by '[Energy (MJ) per kg API']]]/SUMIF(Table_Process_Details['[Energy (MJ) per kg API'] of Unique Inputs Sorted by '[Energy (MJ) per kg API']],"&lt;&gt;#N/A"),"0%")&amp;")"</f>
        <v>#N/A</v>
      </c>
      <c r="EL83" s="22" t="e">
        <f ca="1">INDEX(Table_Process_Details[Total '[Energy (MJ) per kg API'] of Unique Inputs (REAGENT)], MATCH(Table_Process_Details[[#This Row],[Unique Inputs Sorted by '[Energy (MJ) per kg API']]],Table_Process_Details[Unique Process Inputs],0))</f>
        <v>#N/A</v>
      </c>
      <c r="EM83" s="22" t="e">
        <f ca="1">INDEX(Table_Process_Details[Total '[Energy (MJ) per kg API'] of Unique Inputs (METAL)], MATCH(Table_Process_Details[[#This Row],[Unique Inputs Sorted by '[Energy (MJ) per kg API']]],Table_Process_Details[Unique Process Inputs],0))</f>
        <v>#N/A</v>
      </c>
      <c r="EN83" s="22" t="e">
        <f ca="1">INDEX(Table_Process_Details[Total '[Energy (MJ) per kg API'] of Unique Inputs (SOLVENT)], MATCH(Table_Process_Details[[#This Row],[Unique Inputs Sorted by '[Energy (MJ) per kg API']]],Table_Process_Details[Unique Process Inputs],0))</f>
        <v>#N/A</v>
      </c>
      <c r="EO83" s="22" t="e">
        <f ca="1">INDEX(Table_Process_Details[Total '[Energy (MJ) per kg API'] of Unique Inputs (WATER)], MATCH(Table_Process_Details[[#This Row],[Unique Inputs Sorted by '[Energy (MJ) per kg API']]],Table_Process_Details[Unique Process Inputs],0))</f>
        <v>#N/A</v>
      </c>
      <c r="EP83" s="22" t="e">
        <f ca="1">INDEX(Table_Process_Details[Total '[Energy (MJ) per kg API'] of Unique Inputs (ENZ&amp;PLNT)], MATCH(Table_Process_Details[[#This Row],[Unique Inputs Sorted by '[Energy (MJ) per kg API']]],Table_Process_Details[Unique Process Inputs],0))</f>
        <v>#N/A</v>
      </c>
      <c r="EQ83" s="22" t="e">
        <f ca="1">INDEX(Table_Process_Details[Total '[Energy (MJ) per kg API'] of Unique Inputs (OTHER)], MATCH(Table_Process_Details[[#This Row],[Unique Inputs Sorted by '[Energy (MJ) per kg API']]],Table_Process_Details[Unique Process Inputs],0))</f>
        <v>#N/A</v>
      </c>
      <c r="ER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3"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3" s="22">
        <f ca="1">SUMIFS(Table_Process_Details[RV GWP (kg CO2 equiv.) per kg API],Table_Process_Details[Display Name],Table_Process_Details[[#This Row],[Unique Process Inputs]],Table_Process_Details[Input or Output],"Input")</f>
        <v>0</v>
      </c>
      <c r="EZ83" s="1">
        <f ca="1">SUMIFS(Table_Process_Details[RV GWP (kg CO2 equiv.) per kg API (REAGENT)],Table_Process_Details[Display Name],Table_Process_Details[[#This Row],[Unique Process Inputs]],Table_Process_Details[Input or Output],"Input")</f>
        <v>0</v>
      </c>
      <c r="FA83" s="1">
        <f ca="1">SUMIFS(Table_Process_Details[RV GWP (kg CO2 equiv.) per kg API (METAL)],Table_Process_Details[Display Name],Table_Process_Details[[#This Row],[Unique Process Inputs]],Table_Process_Details[Input or Output],"Input")</f>
        <v>0</v>
      </c>
      <c r="FB83" s="1">
        <f ca="1">SUMIFS(Table_Process_Details[RV GWP (kg CO2 equiv.) per kg API (SOLVENT)],Table_Process_Details[Display Name],Table_Process_Details[[#This Row],[Unique Process Inputs]],Table_Process_Details[Input or Output],"Input")</f>
        <v>0</v>
      </c>
      <c r="FC83" s="1">
        <f ca="1">SUMIFS(Table_Process_Details[RV GWP (kg CO2 equiv.) per kg API (WATER)],Table_Process_Details[Display Name],Table_Process_Details[[#This Row],[Unique Process Inputs]],Table_Process_Details[Input or Output],"Input")</f>
        <v>0</v>
      </c>
      <c r="FD83" s="1">
        <f ca="1">SUMIFS(Table_Process_Details[RV GWP (kg CO2 equiv.) per kg API (ENZ&amp;PLNT)],Table_Process_Details[Display Name],Table_Process_Details[[#This Row],[Unique Process Inputs]],Table_Process_Details[Input or Output],"Input")</f>
        <v>0</v>
      </c>
      <c r="FE83" s="1">
        <f ca="1">SUMIFS(Table_Process_Details[RV GWP (kg CO2 equiv.) per kg API (OTHER)],Table_Process_Details[Display Name],Table_Process_Details[[#This Row],[Unique Process Inputs]],Table_Process_Details[Input or Output],"Input")</f>
        <v>0</v>
      </c>
      <c r="FF83" s="22" t="e">
        <f ca="1">INDEX(Table_Process_Details[Unique Process Inputs],MATCH(Table_Process_Details[[#This Row],['[GWP (kg CO2 equiv.) per kg API'] of Unique Inputs Sorted by '[GWP (kg CO2 equiv.) per kg API']]],Table_Process_Details[Total '[GWP (kg CO2 equiv.) per kg API'] of Unique Inputs],0))</f>
        <v>#N/A</v>
      </c>
      <c r="FG83" s="22" t="e">
        <f ca="1">IF(LARGE(Table_Process_Details[Total '[GWP (kg CO2 equiv.) per kg API'] of Unique Inputs],Table_Process_Details[[#This Row],[Table Row]])=0,NA(),LARGE(Table_Process_Details[Total '[GWP (kg CO2 equiv.) per kg API'] of Unique Inputs],Table_Process_Details[[#This Row],[Table Row]]))</f>
        <v>#N/A</v>
      </c>
      <c r="FH83" s="22" t="e">
        <f ca="1">SUM(OFFSET(Table_Process_Details['[GWP (kg CO2 equiv.) per kg API'] of Unique Inputs Sorted by '[GWP (kg CO2 equiv.) per kg API']],0,0,Table_Process_Details[[#This Row],[Table Row]]))</f>
        <v>#N/A</v>
      </c>
      <c r="FI83" s="22" t="e">
        <f ca="1">"("&amp;TEXT(Table_Process_Details[[#This Row],['[GWP (kg CO2 equiv.) per kg API'] of Unique Inputs Sorted by '[GWP (kg CO2 equiv.) per kg API']]]/SUMIF(Table_Process_Details['[GWP (kg CO2 equiv.) per kg API'] of Unique Inputs Sorted by '[GWP (kg CO2 equiv.) per kg API']],"&lt;&gt;#N/A"),"0%")&amp;")"</f>
        <v>#N/A</v>
      </c>
      <c r="FJ83" s="22" t="e">
        <f ca="1">INDEX(Table_Process_Details[Total '[GWP (kg CO2 equiv.) per kg API'] of Unique Inputs (REAGENT)], MATCH(Table_Process_Details[[#This Row],[Unique Inputs Sorted by '[GWP (kg CO2 equiv.) per kg API']]],Table_Process_Details[Unique Process Inputs],0))</f>
        <v>#N/A</v>
      </c>
      <c r="FK83" s="22" t="e">
        <f ca="1">INDEX(Table_Process_Details[Total '[GWP (kg CO2 equiv.) per kg API'] of Unique Inputs (METAL)], MATCH(Table_Process_Details[[#This Row],[Unique Inputs Sorted by '[GWP (kg CO2 equiv.) per kg API']]],Table_Process_Details[Unique Process Inputs],0))</f>
        <v>#N/A</v>
      </c>
      <c r="FL83" s="22" t="e">
        <f ca="1">INDEX(Table_Process_Details[Total '[GWP (kg CO2 equiv.) per kg API'] of Unique Inputs (SOLVENT)], MATCH(Table_Process_Details[[#This Row],[Unique Inputs Sorted by '[GWP (kg CO2 equiv.) per kg API']]],Table_Process_Details[Unique Process Inputs],0))</f>
        <v>#N/A</v>
      </c>
      <c r="FM83" s="22" t="e">
        <f ca="1">INDEX(Table_Process_Details[Total '[GWP (kg CO2 equiv.) per kg API'] of Unique Inputs (WATER)], MATCH(Table_Process_Details[[#This Row],[Unique Inputs Sorted by '[GWP (kg CO2 equiv.) per kg API']]],Table_Process_Details[Unique Process Inputs],0))</f>
        <v>#N/A</v>
      </c>
      <c r="FN83" s="22" t="e">
        <f ca="1">INDEX(Table_Process_Details[Total '[GWP (kg CO2 equiv.) per kg API'] of Unique Inputs (ENZ&amp;PLNT)], MATCH(Table_Process_Details[[#This Row],[Unique Inputs Sorted by '[GWP (kg CO2 equiv.) per kg API']]],Table_Process_Details[Unique Process Inputs],0))</f>
        <v>#N/A</v>
      </c>
      <c r="FO83" s="22" t="e">
        <f ca="1">INDEX(Table_Process_Details[Total '[GWP (kg CO2 equiv.) per kg API'] of Unique Inputs (OTHER)], MATCH(Table_Process_Details[[#This Row],[Unique Inputs Sorted by '[GWP (kg CO2 equiv.) per kg API']]],Table_Process_Details[Unique Process Inputs],0))</f>
        <v>#N/A</v>
      </c>
      <c r="FP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3"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3" s="22">
        <f ca="1">SUMIFS(Table_Process_Details[RV Acidification (kg SO2 equiv.) per kg API],Table_Process_Details[Display Name],Table_Process_Details[[#This Row],[Unique Process Inputs]],Table_Process_Details[Input or Output],"Input")</f>
        <v>0</v>
      </c>
      <c r="FX83" s="1">
        <f ca="1">SUMIFS(Table_Process_Details[RV Acidification (kg SO2 equiv.) per kg API (REAGENT)],Table_Process_Details[Display Name],Table_Process_Details[[#This Row],[Unique Process Inputs]],Table_Process_Details[Input or Output],"Input")</f>
        <v>0</v>
      </c>
      <c r="FY83" s="1">
        <f ca="1">SUMIFS(Table_Process_Details[RV Acidification (kg SO2 equiv.) per kg API (METAL)],Table_Process_Details[Display Name],Table_Process_Details[[#This Row],[Unique Process Inputs]],Table_Process_Details[Input or Output],"Input")</f>
        <v>0</v>
      </c>
      <c r="FZ83" s="1">
        <f ca="1">SUMIFS(Table_Process_Details[RV Acidification (kg SO2 equiv.) per kg API (SOLVENT)],Table_Process_Details[Display Name],Table_Process_Details[[#This Row],[Unique Process Inputs]],Table_Process_Details[Input or Output],"Input")</f>
        <v>0</v>
      </c>
      <c r="GA83" s="1">
        <f ca="1">SUMIFS(Table_Process_Details[RV Acidification (kg SO2 equiv.) per kg API (WATER)],Table_Process_Details[Display Name],Table_Process_Details[[#This Row],[Unique Process Inputs]],Table_Process_Details[Input or Output],"Input")</f>
        <v>0</v>
      </c>
      <c r="GB83" s="1">
        <f ca="1">SUMIFS(Table_Process_Details[RV Acidification (kg SO2 equiv.) per kg API (ENZ&amp;PLNT)],Table_Process_Details[Display Name],Table_Process_Details[[#This Row],[Unique Process Inputs]],Table_Process_Details[Input or Output],"Input")</f>
        <v>0</v>
      </c>
      <c r="GC83" s="1">
        <f ca="1">SUMIFS(Table_Process_Details[RV Acidification (kg SO2 equiv.) per kg API (OTHER)],Table_Process_Details[Display Name],Table_Process_Details[[#This Row],[Unique Process Inputs]],Table_Process_Details[Input or Output],"Input")</f>
        <v>0</v>
      </c>
      <c r="GD83"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3"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3" s="22" t="e">
        <f ca="1">SUM(OFFSET(Table_Process_Details['[Acidification (kg SO2 equiv.) per kg API'] of Unique Inputs Sorted by '[Acidification (kg SO2 equiv.) per kg API']],0,0,Table_Process_Details[[#This Row],[Table Row]]))</f>
        <v>#N/A</v>
      </c>
      <c r="GG83"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3" s="22" t="e">
        <f ca="1">INDEX(Table_Process_Details[Total '[Acidification (kg SO2 equiv.) per kg API'] of Unique Inputs (REAGENT)], MATCH(Table_Process_Details[[#This Row],[Unique Inputs Sorted by '[Acidification (kg SO2 equiv.) per kg API']]],Table_Process_Details[Unique Process Inputs],0))</f>
        <v>#N/A</v>
      </c>
      <c r="GI83" s="22" t="e">
        <f ca="1">INDEX(Table_Process_Details[Total '[Acidification (kg SO2 equiv.) per kg API'] of Unique Inputs (METAL)], MATCH(Table_Process_Details[[#This Row],[Unique Inputs Sorted by '[Acidification (kg SO2 equiv.) per kg API']]],Table_Process_Details[Unique Process Inputs],0))</f>
        <v>#N/A</v>
      </c>
      <c r="GJ83" s="22" t="e">
        <f ca="1">INDEX(Table_Process_Details[Total '[Acidification (kg SO2 equiv.) per kg API'] of Unique Inputs (SOLVENT)], MATCH(Table_Process_Details[[#This Row],[Unique Inputs Sorted by '[Acidification (kg SO2 equiv.) per kg API']]],Table_Process_Details[Unique Process Inputs],0))</f>
        <v>#N/A</v>
      </c>
      <c r="GK83" s="22" t="e">
        <f ca="1">INDEX(Table_Process_Details[Total '[Acidification (kg SO2 equiv.) per kg API'] of Unique Inputs (WATER)], MATCH(Table_Process_Details[[#This Row],[Unique Inputs Sorted by '[Acidification (kg SO2 equiv.) per kg API']]],Table_Process_Details[Unique Process Inputs],0))</f>
        <v>#N/A</v>
      </c>
      <c r="GL83" s="22" t="e">
        <f ca="1">INDEX(Table_Process_Details[Total '[Acidification (kg SO2 equiv.) per kg API'] of Unique Inputs (ENZ&amp;PLNT)], MATCH(Table_Process_Details[[#This Row],[Unique Inputs Sorted by '[Acidification (kg SO2 equiv.) per kg API']]],Table_Process_Details[Unique Process Inputs],0))</f>
        <v>#N/A</v>
      </c>
      <c r="GM83" s="22" t="e">
        <f ca="1">INDEX(Table_Process_Details[Total '[Acidification (kg SO2 equiv.) per kg API'] of Unique Inputs (OTHER)], MATCH(Table_Process_Details[[#This Row],[Unique Inputs Sorted by '[Acidification (kg SO2 equiv.) per kg API']]],Table_Process_Details[Unique Process Inputs],0))</f>
        <v>#N/A</v>
      </c>
      <c r="GN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3"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3" s="22">
        <f ca="1">SUMIFS(Table_Process_Details[RV Eutrophication (kg phosphate equiv.) per kg API],Table_Process_Details[Display Name],Table_Process_Details[[#This Row],[Unique Process Inputs]],Table_Process_Details[Input or Output],"Input")</f>
        <v>0</v>
      </c>
      <c r="GV83" s="1">
        <f ca="1">SUMIFS(Table_Process_Details[RV Eutrophication (kg phosphate equiv.) per kg API (REAGENT)],Table_Process_Details[Display Name],Table_Process_Details[[#This Row],[Unique Process Inputs]],Table_Process_Details[Input or Output],"Input")</f>
        <v>0</v>
      </c>
      <c r="GW83" s="1">
        <f ca="1">SUMIFS(Table_Process_Details[RV Eutrophication (kg phosphate equiv.) per kg API (METAL)],Table_Process_Details[Display Name],Table_Process_Details[[#This Row],[Unique Process Inputs]],Table_Process_Details[Input or Output],"Input")</f>
        <v>0</v>
      </c>
      <c r="GX83" s="1">
        <f ca="1">SUMIFS(Table_Process_Details[RV Eutrophication (kg phosphate equiv.) per kg API (SOLVENT)],Table_Process_Details[Display Name],Table_Process_Details[[#This Row],[Unique Process Inputs]],Table_Process_Details[Input or Output],"Input")</f>
        <v>0</v>
      </c>
      <c r="GY83" s="1">
        <f ca="1">SUMIFS(Table_Process_Details[RV Eutrophication (kg phosphate equiv.) per kg API (WATER)],Table_Process_Details[Display Name],Table_Process_Details[[#This Row],[Unique Process Inputs]],Table_Process_Details[Input or Output],"Input")</f>
        <v>0</v>
      </c>
      <c r="GZ83" s="1">
        <f ca="1">SUMIFS(Table_Process_Details[RV Eutrophication (kg phosphate equiv.) per kg API (ENZ&amp;PLNT)],Table_Process_Details[Display Name],Table_Process_Details[[#This Row],[Unique Process Inputs]],Table_Process_Details[Input or Output],"Input")</f>
        <v>0</v>
      </c>
      <c r="HA83" s="1">
        <f ca="1">SUMIFS(Table_Process_Details[RV Eutrophication (kg phosphate equiv.) per kg API (OTHER)],Table_Process_Details[Display Name],Table_Process_Details[[#This Row],[Unique Process Inputs]],Table_Process_Details[Input or Output],"Input")</f>
        <v>0</v>
      </c>
      <c r="HB83"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3"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3" s="22" t="e">
        <f ca="1">SUM(OFFSET(Table_Process_Details['[Eutrophication (kg posphate equiv.) per kg API'] of Unique Inputs Sorted by '[Eutrophication (kg posphate equiv.) per kg API']],0,0,Table_Process_Details[[#This Row],[Table Row]]))</f>
        <v>#N/A</v>
      </c>
      <c r="HE83"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3" s="1" t="e">
        <f ca="1">INDEX(Table_Process_Details[Total '[Eutrophication (kg posphate equiv.) per kg API'] of Unique Inputs (REAGENT)], MATCH(Table_Process_Details[[#This Row],[Unique Inputs Sorted by '[Eutrophication (kg posphate equiv.) per kg API']]],Table_Process_Details[Unique Process Inputs],0))</f>
        <v>#N/A</v>
      </c>
      <c r="HG83" s="1" t="e">
        <f ca="1">INDEX(Table_Process_Details[Total '[Eutrophication (kg posphate equiv.) per kg API'] of Unique Inputs (METAL)], MATCH(Table_Process_Details[[#This Row],[Unique Inputs Sorted by '[Eutrophication (kg posphate equiv.) per kg API']]],Table_Process_Details[Unique Process Inputs],0))</f>
        <v>#N/A</v>
      </c>
      <c r="HH83" s="1" t="e">
        <f ca="1">INDEX(Table_Process_Details[Total '[Eutrophication (kg posphate equiv.) per kg API'] of Unique Inputs (SOLVENT)], MATCH(Table_Process_Details[[#This Row],[Unique Inputs Sorted by '[Eutrophication (kg posphate equiv.) per kg API']]],Table_Process_Details[Unique Process Inputs],0))</f>
        <v>#N/A</v>
      </c>
      <c r="HI83" s="1" t="e">
        <f ca="1">INDEX(Table_Process_Details[Total '[Eutrophication (kg posphate equiv.) per kg API'] of Unique Inputs (WATER)], MATCH(Table_Process_Details[[#This Row],[Unique Inputs Sorted by '[Eutrophication (kg posphate equiv.) per kg API']]],Table_Process_Details[Unique Process Inputs],0))</f>
        <v>#N/A</v>
      </c>
      <c r="HJ83" s="1" t="e">
        <f ca="1">INDEX(Table_Process_Details[Total '[Eutrophication (kg posphate equiv.) per kg API'] of Unique Inputs (ENZ&amp;PLNT)], MATCH(Table_Process_Details[[#This Row],[Unique Inputs Sorted by '[Eutrophication (kg posphate equiv.) per kg API']]],Table_Process_Details[Unique Process Inputs],0))</f>
        <v>#N/A</v>
      </c>
      <c r="HK83" s="1" t="e">
        <f ca="1">INDEX(Table_Process_Details[Total '[Eutrophication (kg posphate equiv.) per kg API'] of Unique Inputs (OTHER)], MATCH(Table_Process_Details[[#This Row],[Unique Inputs Sorted by '[Eutrophication (kg posphate equiv.) per kg API']]],Table_Process_Details[Unique Process Inputs],0))</f>
        <v>#N/A</v>
      </c>
      <c r="HL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3"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3" s="1">
        <f ca="1">SUMIFS(Table_Process_Details[RV Water (kg) per kg API],Table_Process_Details[Display Name],Table_Process_Details[[#This Row],[Unique Process Inputs]],Table_Process_Details[Input or Output],"Input")</f>
        <v>0</v>
      </c>
      <c r="HT83" s="1">
        <f ca="1">SUMIFS(Table_Process_Details[RV Water (kg) per kg API (REAGENT)],Table_Process_Details[Display Name],Table_Process_Details[[#This Row],[Unique Process Inputs]],Table_Process_Details[Input or Output],"Input")</f>
        <v>0</v>
      </c>
      <c r="HU83" s="1">
        <f ca="1">SUMIFS(Table_Process_Details[RV Water (kg) per kg API (METAL)],Table_Process_Details[Display Name],Table_Process_Details[[#This Row],[Unique Process Inputs]],Table_Process_Details[Input or Output],"Input")</f>
        <v>0</v>
      </c>
      <c r="HV83" s="1">
        <f ca="1">SUMIFS(Table_Process_Details[RV Water (kg) per kg API (SOLVENT)],Table_Process_Details[Display Name],Table_Process_Details[[#This Row],[Unique Process Inputs]],Table_Process_Details[Input or Output],"Input")</f>
        <v>0</v>
      </c>
      <c r="HW83" s="1">
        <f ca="1">SUMIFS(Table_Process_Details[RV Water (kg) per kg API (WATER)],Table_Process_Details[Display Name],Table_Process_Details[[#This Row],[Unique Process Inputs]],Table_Process_Details[Input or Output],"Input")</f>
        <v>0</v>
      </c>
      <c r="HX83" s="1">
        <f ca="1">SUMIFS(Table_Process_Details[RV Water (kg) per kg API (ENZ&amp;PLNT)],Table_Process_Details[Display Name],Table_Process_Details[[#This Row],[Unique Process Inputs]],Table_Process_Details[Input or Output],"Input")</f>
        <v>0</v>
      </c>
      <c r="HY83" s="1">
        <f ca="1">SUMIFS(Table_Process_Details[RV Water (kg) per kg API (OTHER)],Table_Process_Details[Display Name],Table_Process_Details[[#This Row],[Unique Process Inputs]],Table_Process_Details[Input or Output],"Input")</f>
        <v>0</v>
      </c>
      <c r="HZ83" s="22" t="e">
        <f ca="1">INDEX(Table_Process_Details[Unique Process Inputs],MATCH(Table_Process_Details[[#This Row],['[Water (kg) per kg API'] of Unique Inputs Sorted by '[Water (kg) per kg API']]],Table_Process_Details[Total '[Water (kg) per kg API'] of Unique Inputs],0))</f>
        <v>#N/A</v>
      </c>
      <c r="IA83" s="22" t="e">
        <f ca="1">IF(LARGE(Table_Process_Details[Total '[Water (kg) per kg API'] of Unique Inputs],Table_Process_Details[[#This Row],[Table Row]])=0,NA(),LARGE(Table_Process_Details[Total '[Water (kg) per kg API'] of Unique Inputs],Table_Process_Details[[#This Row],[Table Row]]))</f>
        <v>#N/A</v>
      </c>
      <c r="IB83" s="1" t="e">
        <f ca="1">SUM(OFFSET(Table_Process_Details['[Water (kg) per kg API'] of Unique Inputs Sorted by '[Water (kg) per kg API']],0,0,Table_Process_Details[[#This Row],[Table Row]]))</f>
        <v>#N/A</v>
      </c>
      <c r="IC83" s="1" t="e">
        <f ca="1">"("&amp;TEXT(Table_Process_Details[[#This Row],['[Water (kg) per kg API'] of Unique Inputs Sorted by '[Water (kg) per kg API']]]/SUMIF(Table_Process_Details['[Water (kg) per kg API'] of Unique Inputs Sorted by '[Water (kg) per kg API']],"&lt;&gt;#N/A"),"0%")&amp;")"</f>
        <v>#N/A</v>
      </c>
      <c r="ID83" s="1" t="e">
        <f ca="1">INDEX(Table_Process_Details[Total '[Water (kg) per kg API'] of Unique Inputs (REAGENT)], MATCH(Table_Process_Details[[#This Row],[Unique Inputs Sorted by '[Water (kg) per kg API']]],Table_Process_Details[Unique Process Inputs],0))</f>
        <v>#N/A</v>
      </c>
      <c r="IE83" s="1" t="e">
        <f ca="1">INDEX(Table_Process_Details[Total '[Water (kg) per kg API'] of Unique Inputs (METAL)], MATCH(Table_Process_Details[[#This Row],[Unique Inputs Sorted by '[Water (kg) per kg API']]],Table_Process_Details[Unique Process Inputs],0))</f>
        <v>#N/A</v>
      </c>
      <c r="IF83" s="1" t="e">
        <f ca="1">INDEX(Table_Process_Details[Total '[Water (kg) per kg API'] of Unique Inputs (SOLVENT)], MATCH(Table_Process_Details[[#This Row],[Unique Inputs Sorted by '[Water (kg) per kg API']]],Table_Process_Details[Unique Process Inputs],0))</f>
        <v>#N/A</v>
      </c>
      <c r="IG83" s="1" t="e">
        <f ca="1">INDEX(Table_Process_Details[Total '[Water (kg) per kg API'] of Unique Inputs (WATER)], MATCH(Table_Process_Details[[#This Row],[Unique Inputs Sorted by '[Water (kg) per kg API']]],Table_Process_Details[Unique Process Inputs],0))</f>
        <v>#N/A</v>
      </c>
      <c r="IH83" s="1" t="e">
        <f ca="1">INDEX(Table_Process_Details[Total '[Water (kg) per kg API'] of Unique Inputs (ENZ&amp;PLNT)], MATCH(Table_Process_Details[[#This Row],[Unique Inputs Sorted by '[Water (kg) per kg API']]],Table_Process_Details[Unique Process Inputs],0))</f>
        <v>#N/A</v>
      </c>
      <c r="II83" s="1" t="e">
        <f ca="1">INDEX(Table_Process_Details[Total '[Water (kg) per kg API'] of Unique Inputs (OTHER)], MATCH(Table_Process_Details[[#This Row],[Unique Inputs Sorted by '[Water (kg) per kg API']]],Table_Process_Details[Unique Process Inputs],0))</f>
        <v>#N/A</v>
      </c>
    </row>
    <row r="84" spans="1:243" customFormat="1" x14ac:dyDescent="0.25">
      <c r="A84" s="22" t="str">
        <f>A83</f>
        <v>4d) Virtual material prep for (4): 95 wt% reagent M (organic)</v>
      </c>
      <c r="B84" s="21" t="s">
        <v>4</v>
      </c>
      <c r="C84" s="21" t="s">
        <v>6</v>
      </c>
      <c r="D84" s="22" t="s">
        <v>146</v>
      </c>
      <c r="E84" s="22" t="s">
        <v>814</v>
      </c>
      <c r="F84" s="26">
        <v>5</v>
      </c>
      <c r="G84" s="26"/>
      <c r="H84" s="26"/>
      <c r="I84" s="26"/>
      <c r="J84" s="26" t="str">
        <f>INDEX(Process_Steps[Reference],MATCH(Table_Process_Details[[#This Row],[Step Name]],Process_Steps[Name],0))</f>
        <v>Penultimate Reference Document</v>
      </c>
      <c r="K84" s="27" t="str">
        <f>INDEX(Process_Steps[Real or Virtual?],MATCH(Table_Process_Details[[#This Row],[Step Name]],Process_Steps[Name],0))</f>
        <v>Virtual</v>
      </c>
      <c r="L8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8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84" s="26">
        <f>INDEX(Table_Process_Details[Physical Mass (kg)],MATCH(1,INDEX(((Table_Process_Details[Step Name]=Table_Process_Details[[#This Row],[Step Name]])*(Table_Process_Details[Input or Output]="Output")),0),0))</f>
        <v>100</v>
      </c>
      <c r="O84" s="29">
        <f ca="1">INDEX(Process_Steps[Step Scale Factor for 1kg Packaged API],MATCH(Table_Process_Details[[#This Row],[Step Name]],Process_Steps[Name],0))</f>
        <v>2.2022389429253234E-2</v>
      </c>
      <c r="P8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17.666666666666668</v>
      </c>
      <c r="Q8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2.6666666666666679</v>
      </c>
      <c r="R84" s="26">
        <f ca="1">_xlfn.SWITCH(Run_Reset_PNG,"Reset",Table_Process_Details[[#This Row],[X Init]],"Run",Table_Process_Details[[#This Row],[X Moved]],"Freeze",Table_Process_Details[[#This Row],[X Mover]])</f>
        <v>29.355510661482814</v>
      </c>
      <c r="S84" s="26">
        <f ca="1">_xlfn.SWITCH(Run_Reset_PNG,"Reset",Table_Process_Details[[#This Row],[Y Init]],"Run",Table_Process_Details[[#This Row],[Y Moved]],"Freeze",Table_Process_Details[[#This Row],[Y Mover]])</f>
        <v>-9.0291474675940684</v>
      </c>
      <c r="T84" s="26" cm="1">
        <f t="array" aca="1" ref="T8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5.0412071575981114</v>
      </c>
      <c r="U84" s="26" cm="1">
        <f t="array" aca="1" ref="U8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1.0658693067969873</v>
      </c>
      <c r="V84" s="26" cm="1">
        <f t="array" aca="1" ref="V84" ca="1">SUM(--(SQRT((Table_Process_Details[[#This Row],[X Mover]]-Table_Process_Details[X Mover])^2+(Table_Process_Details[[#This Row],[Y Mover]]-Table_Process_Details[Y Mover])^2)&lt;Collision_Distance))</f>
        <v>7</v>
      </c>
      <c r="W84" s="26" cm="1">
        <f t="array" aca="1" ref="W8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-0.5802204226659301</v>
      </c>
      <c r="X84" s="26" cm="1">
        <f t="array" aca="1" ref="X8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-0.17487617103140138</v>
      </c>
      <c r="Y84" s="26" cm="1">
        <f t="array" aca="1" ref="Y8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84" s="26">
        <f>0</f>
        <v>0</v>
      </c>
      <c r="AA84" s="26">
        <f>0</f>
        <v>0</v>
      </c>
      <c r="AB8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-14.677755330741407</v>
      </c>
      <c r="AC84" s="26" cm="1">
        <f t="array" aca="1" ref="AC8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4.5145737337970342</v>
      </c>
      <c r="AD84" s="26">
        <f>MIN(1,COUNTA(Table_Process_Details[[#This Row],[target x]]),COUNTA(Table_Process_Details[[#This Row],[target y]]))*COUNTA(Table_Process_Details[Step Name])</f>
        <v>98</v>
      </c>
      <c r="AE8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29.345689676323335</v>
      </c>
      <c r="AF8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-9.0056895158810324</v>
      </c>
      <c r="AG8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None</v>
      </c>
      <c r="AH84" s="26" cm="1">
        <f t="array" aca="1" ref="AH84" ca="1">INDEX(Table_Process_Details[X Mover],MATCH(1,INDEX((Table_Process_Details[Input or Output]="Output")*(Table_Process_Details[Step Name]=Table_Process_Details[[#This Row],[Step Name]])*(Table_Process_Details[[#This Row],[Input or Output]]="Input"),0),0))</f>
        <v>25.322697016273306</v>
      </c>
      <c r="AI84" s="26" cm="1">
        <f t="array" aca="1" ref="AI84" ca="1">INDEX(Table_Process_Details[Y Mover],MATCH(1,INDEX((Table_Process_Details[Input or Output]="Output")*(Table_Process_Details[Step Name]=Table_Process_Details[[#This Row],[Step Name]])*(Table_Process_Details[[#This Row],[Input or Output]]="Input"),0),0))</f>
        <v>-10.244621761858062</v>
      </c>
      <c r="AJ84" s="26" t="e">
        <f ca="1">SQRT((Table_Process_Details[[#This Row],[X End (To Node Center)]]-Table_Process_Details[[#This Row],[X Guide]])^2+(Table_Process_Details[[#This Row],[Y End (to Node Center)]]-Table_Process_Details[[#This Row],[Y Guide]])^2)</f>
        <v>#N/A</v>
      </c>
      <c r="AK84" s="26" t="e" cm="1">
        <f t="array" ref="AK84">INDEX(Table_Process_Details[X Mover],MATCH(1,INDEX((Table_Process_Details[Step Name]=Table_Process_Details[[#This Row],[LCA Data Source Subclass]])*(Table_Process_Details[Input or Output]="Output"),0)*(Table_Process_Details[[#This Row],[Input or Output]]="Input"),0))</f>
        <v>#N/A</v>
      </c>
      <c r="AL84" s="26" cm="1">
        <f t="array" aca="1" ref="AL84" ca="1">INDEX(Table_Process_Details[X Mover],MATCH(1,INDEX(((Table_Process_Details[Table Row]=Table_Process_Details[[#This Row],[Table Row]])*(1)),0)*(Table_Process_Details[[#This Row],[Input or Output]]="Input"),0))</f>
        <v>29.355510661482814</v>
      </c>
      <c r="AM84" s="26" t="e" cm="1">
        <f t="array" aca="1" ref="AM84" ca="1">(Table_Process_Details[[#This Row],[X End (To Node Center)]]*Table_Process_Details[[#This Row],[r0]]-Table_Process_Details[[#This Row],[X End (To Node Center)]]*Arrow_Offset+Table_Process_Details[[#This Row],[X Guide]]*Arrow_Offset)/Table_Process_Details[[#This Row],[r0]]</f>
        <v>#N/A</v>
      </c>
      <c r="AN84" s="26" t="e">
        <f>IF(NOT(Table_Process_Details[[#This Row],[Display As]]="None"),Table_Process_Details[[#This Row],[X Start Prefilter]],NA())</f>
        <v>#N/A</v>
      </c>
      <c r="AO84" s="26" t="e">
        <f>IF(NOT(Table_Process_Details[[#This Row],[Display As]]="None"),Table_Process_Details[[#This Row],[X Guide Prefilter]],NA())</f>
        <v>#N/A</v>
      </c>
      <c r="AP84" s="26" t="e">
        <f>IF(NOT(Table_Process_Details[[#This Row],[Display As]]="None"),Table_Process_Details[[#This Row],[X End (to Stop Radius) Prefilter]],NA())</f>
        <v>#N/A</v>
      </c>
      <c r="AQ84" s="26" t="e">
        <f>NA()</f>
        <v>#N/A</v>
      </c>
      <c r="AR84" s="26" t="e" cm="1">
        <f t="array" ref="AR84">INDEX(Table_Process_Details[Y Mover],MATCH(1,INDEX((Table_Process_Details[Step Name]=Table_Process_Details[[#This Row],[LCA Data Source Subclass]])*(Table_Process_Details[Input or Output]="Output"),0)*(Table_Process_Details[[#This Row],[Input or Output]]="Input"),0))</f>
        <v>#N/A</v>
      </c>
      <c r="AS84" s="26" cm="1">
        <f t="array" aca="1" ref="AS84" ca="1">INDEX(Table_Process_Details[Y Mover],MATCH(1,INDEX(((Table_Process_Details[Table Row]=Table_Process_Details[[#This Row],[Table Row]])*(1)),0)*(Table_Process_Details[[#This Row],[Input or Output]]="Input"),0))</f>
        <v>-9.0291474675940684</v>
      </c>
      <c r="AT84" s="26" t="e" cm="1">
        <f t="array" aca="1" ref="AT84" ca="1">(Table_Process_Details[[#This Row],[Y Guide]]*Arrow_Offset-Table_Process_Details[[#This Row],[Y End (to Node Center)]]*Arrow_Offset+Table_Process_Details[[#This Row],[Y End (to Node Center)]]*Table_Process_Details[[#This Row],[r0]])/Table_Process_Details[[#This Row],[r0]]</f>
        <v>#N/A</v>
      </c>
      <c r="AU84" s="26" t="e">
        <f>IF(NOT(Table_Process_Details[[#This Row],[Display As]]="None"),Table_Process_Details[[#This Row],[Y Start Prefilter]],NA())</f>
        <v>#N/A</v>
      </c>
      <c r="AV84" s="26" t="e">
        <f>IF(NOT(Table_Process_Details[[#This Row],[Display As]]="None"),Table_Process_Details[[#This Row],[Y Guide Prefilter]],NA())</f>
        <v>#N/A</v>
      </c>
      <c r="AW84" s="26" t="e">
        <f>IF(NOT(Table_Process_Details[[#This Row],[Display As]]="None"),Table_Process_Details[[#This Row],[Y End (to Stop Radius) Prefilter]],NA())</f>
        <v>#N/A</v>
      </c>
      <c r="AX84" s="26" t="e">
        <f>NA()</f>
        <v>#N/A</v>
      </c>
      <c r="AY84" s="26" t="e">
        <f>IF(Table_Process_Details[[#This Row],[Display As]]="Real Step",Table_Process_Details[[#This Row],[X Mover]],NA())</f>
        <v>#N/A</v>
      </c>
      <c r="AZ84" s="26" t="e">
        <f>IF(Table_Process_Details[[#This Row],[Display As]]="Real Step",Table_Process_Details[[#This Row],[Y Mover]],NA())</f>
        <v>#N/A</v>
      </c>
      <c r="BA84" s="26" t="e">
        <f>IF(Table_Process_Details[[#This Row],[Display As]]="Raw Material",Table_Process_Details[[#This Row],[X Mover]],NA())</f>
        <v>#N/A</v>
      </c>
      <c r="BB84" s="26" t="e">
        <f>IF(Table_Process_Details[[#This Row],[Display As]]="Raw Material",Table_Process_Details[[#This Row],[Y Mover]],NA())</f>
        <v>#N/A</v>
      </c>
      <c r="BC84" s="26" t="e">
        <f>IF(OR(Table_Process_Details[[#This Row],[Display As]]="Real Step",Table_Process_Details[[#This Row],[Display As]]="Raw Material"),Table_Process_Details[[#This Row],[X Mover]],NA())</f>
        <v>#N/A</v>
      </c>
      <c r="BD84" s="26" t="e">
        <f>IF(OR(Table_Process_Details[[#This Row],[Display As]]="Real Step",Table_Process_Details[[#This Row],[Display As]]="Raw Material"),Table_Process_Details[[#This Row],[Y Mover]],NA())</f>
        <v>#N/A</v>
      </c>
      <c r="BE84" s="22">
        <f>ROW()-ROW(Table_Process_Details[[#Headers],[Table Row]])</f>
        <v>80</v>
      </c>
      <c r="BF84" s="23" t="e" cm="1">
        <f t="array" aca="1" ref="BF84" ca="1">INDEX(Table_Process_Details[Display Name],MATCH(0,IF(Table_Process_Details[Input or Output]="Input",INDEX(COUNTIF(OFFSET(Table_Process_Details[[#Headers],[Unique Process Inputs]],0,0,Table_Process_Details[[#This Row],[Table Row]],1),Table_Process_Details[Display Name]),),""),0))</f>
        <v>#N/A</v>
      </c>
      <c r="BG84" s="23">
        <f ca="1">Table_Process_Details[[#This Row],[Physical Mass (kg)]]*Table_Process_Details[[#This Row],[Step Scale Factor for 1kg Packaged API]]</f>
        <v>0.11011194714626617</v>
      </c>
      <c r="BH8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4" s="23">
        <f ca="1">MATCH(Table_Process_Details[[#This Row],[LCA Data Source Class]],INDIRECT(Table_Process_Details[[#This Row],[Input or Output]]),0)</f>
        <v>2</v>
      </c>
      <c r="BJ84" s="23">
        <f ca="1">MATCH(Table_Process_Details[[#This Row],[LCA Data Source Subclass]],INDIRECT(Table_Process_Details[[#This Row],[LCA Data Source Class]]&amp;"[Name]"),0)</f>
        <v>64</v>
      </c>
      <c r="BK84" s="23">
        <f ca="1">IFERROR(INDEX(INDIRECT(Table_Process_Details[[#This Row],[LCA Data Source Class]]&amp;"[Mass Net (kg)]"),MATCH(Table_Process_Details[[#This Row],[LCA Data Source Subclass]],INDIRECT(Table_Process_Details[[#This Row],[LCA Data Source Class]]&amp;"[Name]"),0)),0)</f>
        <v>1.5302652999999999E-3</v>
      </c>
      <c r="BL84" s="23">
        <f ca="1">IFERROR(INDEX(INDIRECT(Table_Process_Details[[#This Row],[LCA Data Source Class]]&amp;"[Energy (MJ)]"),MATCH(Table_Process_Details[[#This Row],[LCA Data Source Subclass]],INDIRECT(Table_Process_Details[[#This Row],[LCA Data Source Class]]&amp;"[Name]"),0)),0)</f>
        <v>1.9058192000000002E-2</v>
      </c>
      <c r="BM84" s="23">
        <f ca="1">IFERROR(INDEX(INDIRECT(Table_Process_Details[[#This Row],[LCA Data Source Class]]&amp;"[GWP (kg CO2 equiv.)]"),MATCH(Table_Process_Details[[#This Row],[LCA Data Source Subclass]],INDIRECT(Table_Process_Details[[#This Row],[LCA Data Source Class]]&amp;"[Name]"),0)),0)</f>
        <v>1.015742E-3</v>
      </c>
      <c r="BN84" s="23">
        <f ca="1">IFERROR(INDEX(INDIRECT(Table_Process_Details[[#This Row],[LCA Data Source Class]]&amp;"[Acidification (kg SO2 equiv.)]"),MATCH(Table_Process_Details[[#This Row],[LCA Data Source Subclass]],INDIRECT(Table_Process_Details[[#This Row],[LCA Data Source Class]]&amp;"[Name]"),0)),0)</f>
        <v>3.8914349999999996E-6</v>
      </c>
      <c r="BO84" s="23">
        <f ca="1">IFERROR(INDEX(INDIRECT(Table_Process_Details[[#This Row],[LCA Data Source Class]]&amp;"[Eutrophication (kg posphate equiv.)]"),MATCH(Table_Process_Details[[#This Row],[LCA Data Source Subclass]],INDIRECT(Table_Process_Details[[#This Row],[LCA Data Source Class]]&amp;"[Name]"),0)),0)</f>
        <v>2.3181694000000001E-6</v>
      </c>
      <c r="BP84" s="23">
        <f ca="1">IFERROR(INDEX(INDIRECT(Table_Process_Details[[#This Row],[LCA Data Source Class]]&amp;"[Water (kg)]"),MATCH(Table_Process_Details[[#This Row],[LCA Data Source Subclass]],INDIRECT(Table_Process_Details[[#This Row],[LCA Data Source Class]]&amp;"[Name]"),0)),0)</f>
        <v>1.2633490999999999</v>
      </c>
      <c r="BQ84" s="27">
        <f ca="1">(Table_Process_Details[[#This Row],[Input or Output]]="Input")*(Table_Process_Details[[#This Row],[LCA Data Source Class]]&lt;&gt;"Process_Steps")*Table_Process_Details[[#This Row],[Scaled Physical Mass per kg API for All Inputs &amp; Outputs]]</f>
        <v>0.11011194714626617</v>
      </c>
      <c r="BR84" s="27">
        <f ca="1">(Table_Process_Details[[#This Row],[Material Class]]="REAGENT")*Table_Process_Details[[#This Row],[Physical Mass per kg API]]</f>
        <v>0</v>
      </c>
      <c r="BS84" s="27">
        <f ca="1">(Table_Process_Details[[#This Row],[Material Class]]="METAL")*Table_Process_Details[[#This Row],[Physical Mass per kg API]]</f>
        <v>0</v>
      </c>
      <c r="BT84" s="27">
        <f ca="1">(Table_Process_Details[[#This Row],[Material Class]]="SOLVENT")*Table_Process_Details[[#This Row],[Physical Mass per kg API]]</f>
        <v>0</v>
      </c>
      <c r="BU84" s="27">
        <f ca="1">(Table_Process_Details[[#This Row],[Material Class]]="WATER")*Table_Process_Details[[#This Row],[Physical Mass per kg API]]</f>
        <v>0.11011194714626617</v>
      </c>
      <c r="BV84" s="27">
        <f ca="1">(Table_Process_Details[[#This Row],[Material Class]]="ENZ&amp;PLNT")*Table_Process_Details[[#This Row],[Physical Mass per kg API]]</f>
        <v>0</v>
      </c>
      <c r="BW84" s="27">
        <f ca="1">(Table_Process_Details[[#This Row],[Material Class]]="OTHER")*Table_Process_Details[[#This Row],[Physical Mass per kg API]]</f>
        <v>0</v>
      </c>
      <c r="BX8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4" s="1">
        <f ca="1">SUMIFS(Table_Process_Details[RV Physical Mass per kg API],Table_Process_Details[Display Name],Table_Process_Details[[#This Row],[Unique Process Inputs]],Table_Process_Details[Input or Output],"Input")</f>
        <v>0</v>
      </c>
      <c r="CF84" s="1">
        <f ca="1">SUMIFS(Table_Process_Details[RV Physical Mass per kg API (REAGENT)],Table_Process_Details[Display Name],Table_Process_Details[[#This Row],[Unique Process Inputs]],Table_Process_Details[Input or Output],"Input")</f>
        <v>0</v>
      </c>
      <c r="CG84" s="1">
        <f ca="1">SUMIFS(Table_Process_Details[RV Physical Mass per kg API (METAL)],Table_Process_Details[Display Name],Table_Process_Details[[#This Row],[Unique Process Inputs]],Table_Process_Details[Input or Output],"Input")</f>
        <v>0</v>
      </c>
      <c r="CH84" s="1">
        <f ca="1">SUMIFS(Table_Process_Details[RV Physical Mass per kg API (SOLVENT)],Table_Process_Details[Display Name],Table_Process_Details[[#This Row],[Unique Process Inputs]],Table_Process_Details[Input or Output],"Input")</f>
        <v>0</v>
      </c>
      <c r="CI84" s="1">
        <f ca="1">SUMIFS(Table_Process_Details[RV Physical Mass per kg API (WATER)],Table_Process_Details[Display Name],Table_Process_Details[[#This Row],[Unique Process Inputs]],Table_Process_Details[Input or Output],"Input")</f>
        <v>0</v>
      </c>
      <c r="CJ84" s="1">
        <f ca="1">SUMIFS(Table_Process_Details[RV Physical Mass per kg API (ENZ&amp;PLNT)],Table_Process_Details[Display Name],Table_Process_Details[[#This Row],[Unique Process Inputs]],Table_Process_Details[Input or Output],"Input")</f>
        <v>0</v>
      </c>
      <c r="CK84" s="1">
        <f ca="1">SUMIFS(Table_Process_Details[RV Physical Mass per kg API (OTHER)],Table_Process_Details[Display Name],Table_Process_Details[[#This Row],[Unique Process Inputs]],Table_Process_Details[Input or Output],"Input")</f>
        <v>0</v>
      </c>
      <c r="CL84" s="22" t="e">
        <f ca="1">INDEX(Table_Process_Details[Unique Process Inputs],MATCH(Table_Process_Details[[#This Row],['[Physical Mass per kg API'] of Unique Inputs Sorted by '[Physical Mass per kg API']]],Table_Process_Details[Total '[Physical Mass per kg API'] of Unique Inputs],0))</f>
        <v>#N/A</v>
      </c>
      <c r="CM84" s="22" t="e">
        <f ca="1">IF(LARGE(Table_Process_Details[Total '[Physical Mass per kg API'] of Unique Inputs],Table_Process_Details[[#This Row],[Table Row]])=0,NA(),LARGE(Table_Process_Details[Total '[Physical Mass per kg API'] of Unique Inputs],Table_Process_Details[[#This Row],[Table Row]]))</f>
        <v>#N/A</v>
      </c>
      <c r="CN84" s="22" t="e">
        <f ca="1">SUM(OFFSET(Table_Process_Details['[Physical Mass per kg API'] of Unique Inputs Sorted by '[Physical Mass per kg API']],0,0,Table_Process_Details[[#This Row],[Table Row]]))</f>
        <v>#N/A</v>
      </c>
      <c r="CO84" s="22" t="e">
        <f ca="1">"("&amp;TEXT(Table_Process_Details[[#This Row],['[Physical Mass per kg API'] of Unique Inputs Sorted by '[Physical Mass per kg API']]]/SUMIF(Table_Process_Details['[Physical Mass per kg API'] of Unique Inputs Sorted by '[Physical Mass per kg API']],"&lt;&gt;#N/A"),"0%")&amp;")"</f>
        <v>#N/A</v>
      </c>
      <c r="CP84" s="22" t="e">
        <f ca="1">INDEX(Table_Process_Details[Total '[Physical Mass per kg API'] of Unique Inputs (REAGENT)],MATCH(Table_Process_Details[[#This Row],[Unique Inputs Sorted by '[Physical Mass per kg API']]],Table_Process_Details[Unique Process Inputs],0))</f>
        <v>#N/A</v>
      </c>
      <c r="CQ84" s="22" t="e">
        <f ca="1">INDEX(Table_Process_Details[Total '[Physical Mass per kg API'] of Unique Inputs (METAL)],MATCH(Table_Process_Details[[#This Row],[Unique Inputs Sorted by '[Physical Mass per kg API']]],Table_Process_Details[Unique Process Inputs],0))</f>
        <v>#N/A</v>
      </c>
      <c r="CR84" s="22" t="e">
        <f ca="1">INDEX(Table_Process_Details[Total '[Physical Mass per kg API'] of Unique Inputs (SOLVENT)],MATCH(Table_Process_Details[[#This Row],[Unique Inputs Sorted by '[Physical Mass per kg API']]],Table_Process_Details[Unique Process Inputs],0))</f>
        <v>#N/A</v>
      </c>
      <c r="CS84" s="22" t="e">
        <f ca="1">INDEX(Table_Process_Details[Total '[Physical Mass per kg API'] of Unique Inputs (WATER)],MATCH(Table_Process_Details[[#This Row],[Unique Inputs Sorted by '[Physical Mass per kg API']]],Table_Process_Details[Unique Process Inputs],0))</f>
        <v>#N/A</v>
      </c>
      <c r="CT84" s="22" t="e">
        <f ca="1">INDEX(Table_Process_Details[Total '[Physical Mass per kg API'] of Unique Inputs (ENZ&amp;PLNT)],MATCH(Table_Process_Details[[#This Row],[Unique Inputs Sorted by '[Physical Mass per kg API']]],Table_Process_Details[Unique Process Inputs],0))</f>
        <v>#N/A</v>
      </c>
      <c r="CU84" s="22" t="e">
        <f ca="1">INDEX(Table_Process_Details[Total '[Physical Mass per kg API'] of Unique Inputs (OTHER)],MATCH(Table_Process_Details[[#This Row],[Unique Inputs Sorted by '[Physical Mass per kg API']]],Table_Process_Details[Unique Process Inputs],0))</f>
        <v>#N/A</v>
      </c>
      <c r="CV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4" s="22">
        <f ca="1">SUMIFS(Table_Process_Details[RV Mass Net (kg) per kg API],Table_Process_Details[Display Name],Table_Process_Details[[#This Row],[Unique Process Inputs]],Table_Process_Details[Input or Output],"Input")</f>
        <v>0</v>
      </c>
      <c r="DD84" s="22">
        <f ca="1">SUMIFS(Table_Process_Details[RV Mass Net (kg) per kg API (REAGENT)],Table_Process_Details[Display Name],Table_Process_Details[[#This Row],[Unique Process Inputs]],Table_Process_Details[Input or Output],"Input")</f>
        <v>0</v>
      </c>
      <c r="DE84" s="22">
        <f ca="1">SUMIFS(Table_Process_Details[RV Mass Net (kg) per kg API (METAL)],Table_Process_Details[Display Name],Table_Process_Details[[#This Row],[Unique Process Inputs]],Table_Process_Details[Input or Output],"Input")</f>
        <v>0</v>
      </c>
      <c r="DF84" s="22">
        <f ca="1">SUMIFS(Table_Process_Details[RV Mass Net (kg) per kg API (SOLVENT)],Table_Process_Details[Display Name],Table_Process_Details[[#This Row],[Unique Process Inputs]],Table_Process_Details[Input or Output],"Input")</f>
        <v>0</v>
      </c>
      <c r="DG84" s="22">
        <f ca="1">SUMIFS(Table_Process_Details[RV Mass Net (kg) per kg API (WATER)],Table_Process_Details[Display Name],Table_Process_Details[[#This Row],[Unique Process Inputs]],Table_Process_Details[Input or Output],"Input")</f>
        <v>0</v>
      </c>
      <c r="DH84" s="22">
        <f ca="1">SUMIFS(Table_Process_Details[RV Mass Net (kg) per kg API (ENZ&amp;PLNT)],Table_Process_Details[Display Name],Table_Process_Details[[#This Row],[Unique Process Inputs]],Table_Process_Details[Input or Output],"Input")</f>
        <v>0</v>
      </c>
      <c r="DI84" s="22">
        <f ca="1">SUMIFS(Table_Process_Details[RV Mass Net (kg) per kg API (OTHER)],Table_Process_Details[Display Name],Table_Process_Details[[#This Row],[Unique Process Inputs]],Table_Process_Details[Input or Output],"Input")</f>
        <v>0</v>
      </c>
      <c r="DJ84" s="22" t="e">
        <f ca="1">INDEX(Table_Process_Details[Unique Process Inputs],MATCH(Table_Process_Details[[#This Row],['[Mass Net (kg) per kg API'] of Unique Inputs Sorted by '[Mass Net (kg) per kg API']]],Table_Process_Details[Total '[Mass Net (kg) per kg API'] of Unique Inputs],0))</f>
        <v>#N/A</v>
      </c>
      <c r="DK84" s="22" t="e">
        <f ca="1">IF(LARGE(Table_Process_Details[Total '[Mass Net (kg) per kg API'] of Unique Inputs],Table_Process_Details[[#This Row],[Table Row]])=0,NA(),LARGE(Table_Process_Details[Total '[Mass Net (kg) per kg API'] of Unique Inputs],Table_Process_Details[[#This Row],[Table Row]]))</f>
        <v>#N/A</v>
      </c>
      <c r="DL84" s="22" t="e">
        <f ca="1">SUM(OFFSET(Table_Process_Details['[Mass Net (kg) per kg API'] of Unique Inputs Sorted by '[Mass Net (kg) per kg API']],0,0,Table_Process_Details[[#This Row],[Table Row]]))</f>
        <v>#N/A</v>
      </c>
      <c r="DM84" s="22" t="e">
        <f ca="1">"("&amp;TEXT(Table_Process_Details[[#This Row],['[Mass Net (kg) per kg API'] of Unique Inputs Sorted by '[Mass Net (kg) per kg API']]]/SUMIF(Table_Process_Details['[Mass Net (kg) per kg API'] of Unique Inputs Sorted by '[Mass Net (kg) per kg API']],"&lt;&gt;#N/A"),"0%")&amp;")"</f>
        <v>#N/A</v>
      </c>
      <c r="DN84" s="22" t="e">
        <f ca="1">INDEX(Table_Process_Details[Total '[Mass Net (kg) per kg API'] of Unique Inputs (REAGENT)], MATCH(Table_Process_Details[[#This Row],[Unique Inputs Sorted by '[Mass Net (kg) per kg API']]],Table_Process_Details[Unique Process Inputs],0))</f>
        <v>#N/A</v>
      </c>
      <c r="DO84" s="22" t="e">
        <f ca="1">INDEX(Table_Process_Details[Total '[Mass Net (kg) per kg API'] of Unique Inputs (METAL)], MATCH(Table_Process_Details[[#This Row],[Unique Inputs Sorted by '[Mass Net (kg) per kg API']]],Table_Process_Details[Unique Process Inputs],0))</f>
        <v>#N/A</v>
      </c>
      <c r="DP84" s="22" t="e">
        <f ca="1">INDEX(Table_Process_Details[Total '[Mass Net (kg) per kg API'] of Unique Inputs (SOLVENT)], MATCH(Table_Process_Details[[#This Row],[Unique Inputs Sorted by '[Mass Net (kg) per kg API']]],Table_Process_Details[Unique Process Inputs],0))</f>
        <v>#N/A</v>
      </c>
      <c r="DQ84" s="22" t="e">
        <f ca="1">INDEX(Table_Process_Details[Total '[Mass Net (kg) per kg API'] of Unique Inputs (WATER)], MATCH(Table_Process_Details[[#This Row],[Unique Inputs Sorted by '[Mass Net (kg) per kg API']]],Table_Process_Details[Unique Process Inputs],0))</f>
        <v>#N/A</v>
      </c>
      <c r="DR84" s="22" t="e">
        <f ca="1">INDEX(Table_Process_Details[Total '[Mass Net (kg) per kg API'] of Unique Inputs (ENZ&amp;PLNT)], MATCH(Table_Process_Details[[#This Row],[Unique Inputs Sorted by '[Mass Net (kg) per kg API']]],Table_Process_Details[Unique Process Inputs],0))</f>
        <v>#N/A</v>
      </c>
      <c r="DS84" s="22" t="e">
        <f ca="1">INDEX(Table_Process_Details[Total '[Mass Net (kg) per kg API'] of Unique Inputs (OTHER)], MATCH(Table_Process_Details[[#This Row],[Unique Inputs Sorted by '[Mass Net (kg) per kg API']]],Table_Process_Details[Unique Process Inputs],0))</f>
        <v>#N/A</v>
      </c>
      <c r="DT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4" s="1">
        <f ca="1">SUMIFS(Table_Process_Details[RV Energy (MJ) per kg API],Table_Process_Details[Display Name],Table_Process_Details[[#This Row],[Unique Process Inputs]],Table_Process_Details[Input or Output],"Input")</f>
        <v>0</v>
      </c>
      <c r="EB84" s="1">
        <f ca="1">SUMIFS(Table_Process_Details[RV Energy (MJ) per kg API (REAGENT)],Table_Process_Details[Display Name],Table_Process_Details[[#This Row],[Unique Process Inputs]],Table_Process_Details[Input or Output],"Input")</f>
        <v>0</v>
      </c>
      <c r="EC84" s="1">
        <f ca="1">SUMIFS(Table_Process_Details[RV Energy (MJ) per kg API (METAL)],Table_Process_Details[Display Name],Table_Process_Details[[#This Row],[Unique Process Inputs]],Table_Process_Details[Input or Output],"Input")</f>
        <v>0</v>
      </c>
      <c r="ED84" s="1">
        <f ca="1">SUMIFS(Table_Process_Details[RV Energy (MJ) per kg API (SOLVENT)],Table_Process_Details[Display Name],Table_Process_Details[[#This Row],[Unique Process Inputs]],Table_Process_Details[Input or Output],"Input")</f>
        <v>0</v>
      </c>
      <c r="EE84" s="1">
        <f ca="1">SUMIFS(Table_Process_Details[RV Energy (MJ) per kg API (WATER)],Table_Process_Details[Display Name],Table_Process_Details[[#This Row],[Unique Process Inputs]],Table_Process_Details[Input or Output],"Input")</f>
        <v>0</v>
      </c>
      <c r="EF84" s="1">
        <f ca="1">SUMIFS(Table_Process_Details[RV Energy (MJ) per kg API (ENZ&amp;PLNT)],Table_Process_Details[Display Name],Table_Process_Details[[#This Row],[Unique Process Inputs]],Table_Process_Details[Input or Output],"Input")</f>
        <v>0</v>
      </c>
      <c r="EG84" s="1">
        <f ca="1">SUMIFS(Table_Process_Details[RV Energy (MJ) per kg API (OTHER)],Table_Process_Details[Display Name],Table_Process_Details[[#This Row],[Unique Process Inputs]],Table_Process_Details[Input or Output],"Input")</f>
        <v>0</v>
      </c>
      <c r="EH84" s="1" t="e">
        <f ca="1">INDEX(Table_Process_Details[Unique Process Inputs],MATCH(Table_Process_Details[[#This Row],['[Energy (MJ) per kg API'] of Unique Inputs Sorted by '[Energy (MJ) per kg API']]],Table_Process_Details[Total '[Energy (MJ) per kg API'] of Unique Inputs],0))</f>
        <v>#N/A</v>
      </c>
      <c r="EI84" s="22" t="e">
        <f ca="1">IF(LARGE(Table_Process_Details[Total '[Energy (MJ) per kg API'] of Unique Inputs],Table_Process_Details[[#This Row],[Table Row]])=0,NA(),LARGE(Table_Process_Details[Total '[Energy (MJ) per kg API'] of Unique Inputs],Table_Process_Details[[#This Row],[Table Row]]))</f>
        <v>#N/A</v>
      </c>
      <c r="EJ84" s="22" t="e">
        <f ca="1">SUM(OFFSET(Table_Process_Details['[Energy (MJ) per kg API'] of Unique Inputs Sorted by '[Energy (MJ) per kg API']],0,0,Table_Process_Details[[#This Row],[Table Row]]))</f>
        <v>#N/A</v>
      </c>
      <c r="EK84" s="22" t="e">
        <f ca="1">"("&amp;TEXT(Table_Process_Details[[#This Row],['[Energy (MJ) per kg API'] of Unique Inputs Sorted by '[Energy (MJ) per kg API']]]/SUMIF(Table_Process_Details['[Energy (MJ) per kg API'] of Unique Inputs Sorted by '[Energy (MJ) per kg API']],"&lt;&gt;#N/A"),"0%")&amp;")"</f>
        <v>#N/A</v>
      </c>
      <c r="EL84" s="22" t="e">
        <f ca="1">INDEX(Table_Process_Details[Total '[Energy (MJ) per kg API'] of Unique Inputs (REAGENT)], MATCH(Table_Process_Details[[#This Row],[Unique Inputs Sorted by '[Energy (MJ) per kg API']]],Table_Process_Details[Unique Process Inputs],0))</f>
        <v>#N/A</v>
      </c>
      <c r="EM84" s="22" t="e">
        <f ca="1">INDEX(Table_Process_Details[Total '[Energy (MJ) per kg API'] of Unique Inputs (METAL)], MATCH(Table_Process_Details[[#This Row],[Unique Inputs Sorted by '[Energy (MJ) per kg API']]],Table_Process_Details[Unique Process Inputs],0))</f>
        <v>#N/A</v>
      </c>
      <c r="EN84" s="22" t="e">
        <f ca="1">INDEX(Table_Process_Details[Total '[Energy (MJ) per kg API'] of Unique Inputs (SOLVENT)], MATCH(Table_Process_Details[[#This Row],[Unique Inputs Sorted by '[Energy (MJ) per kg API']]],Table_Process_Details[Unique Process Inputs],0))</f>
        <v>#N/A</v>
      </c>
      <c r="EO84" s="22" t="e">
        <f ca="1">INDEX(Table_Process_Details[Total '[Energy (MJ) per kg API'] of Unique Inputs (WATER)], MATCH(Table_Process_Details[[#This Row],[Unique Inputs Sorted by '[Energy (MJ) per kg API']]],Table_Process_Details[Unique Process Inputs],0))</f>
        <v>#N/A</v>
      </c>
      <c r="EP84" s="22" t="e">
        <f ca="1">INDEX(Table_Process_Details[Total '[Energy (MJ) per kg API'] of Unique Inputs (ENZ&amp;PLNT)], MATCH(Table_Process_Details[[#This Row],[Unique Inputs Sorted by '[Energy (MJ) per kg API']]],Table_Process_Details[Unique Process Inputs],0))</f>
        <v>#N/A</v>
      </c>
      <c r="EQ84" s="22" t="e">
        <f ca="1">INDEX(Table_Process_Details[Total '[Energy (MJ) per kg API'] of Unique Inputs (OTHER)], MATCH(Table_Process_Details[[#This Row],[Unique Inputs Sorted by '[Energy (MJ) per kg API']]],Table_Process_Details[Unique Process Inputs],0))</f>
        <v>#N/A</v>
      </c>
      <c r="ER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4" s="22">
        <f ca="1">SUMIFS(Table_Process_Details[RV GWP (kg CO2 equiv.) per kg API],Table_Process_Details[Display Name],Table_Process_Details[[#This Row],[Unique Process Inputs]],Table_Process_Details[Input or Output],"Input")</f>
        <v>0</v>
      </c>
      <c r="EZ84" s="1">
        <f ca="1">SUMIFS(Table_Process_Details[RV GWP (kg CO2 equiv.) per kg API (REAGENT)],Table_Process_Details[Display Name],Table_Process_Details[[#This Row],[Unique Process Inputs]],Table_Process_Details[Input or Output],"Input")</f>
        <v>0</v>
      </c>
      <c r="FA84" s="1">
        <f ca="1">SUMIFS(Table_Process_Details[RV GWP (kg CO2 equiv.) per kg API (METAL)],Table_Process_Details[Display Name],Table_Process_Details[[#This Row],[Unique Process Inputs]],Table_Process_Details[Input or Output],"Input")</f>
        <v>0</v>
      </c>
      <c r="FB84" s="1">
        <f ca="1">SUMIFS(Table_Process_Details[RV GWP (kg CO2 equiv.) per kg API (SOLVENT)],Table_Process_Details[Display Name],Table_Process_Details[[#This Row],[Unique Process Inputs]],Table_Process_Details[Input or Output],"Input")</f>
        <v>0</v>
      </c>
      <c r="FC84" s="1">
        <f ca="1">SUMIFS(Table_Process_Details[RV GWP (kg CO2 equiv.) per kg API (WATER)],Table_Process_Details[Display Name],Table_Process_Details[[#This Row],[Unique Process Inputs]],Table_Process_Details[Input or Output],"Input")</f>
        <v>0</v>
      </c>
      <c r="FD84" s="1">
        <f ca="1">SUMIFS(Table_Process_Details[RV GWP (kg CO2 equiv.) per kg API (ENZ&amp;PLNT)],Table_Process_Details[Display Name],Table_Process_Details[[#This Row],[Unique Process Inputs]],Table_Process_Details[Input or Output],"Input")</f>
        <v>0</v>
      </c>
      <c r="FE84" s="1">
        <f ca="1">SUMIFS(Table_Process_Details[RV GWP (kg CO2 equiv.) per kg API (OTHER)],Table_Process_Details[Display Name],Table_Process_Details[[#This Row],[Unique Process Inputs]],Table_Process_Details[Input or Output],"Input")</f>
        <v>0</v>
      </c>
      <c r="FF84" s="22" t="e">
        <f ca="1">INDEX(Table_Process_Details[Unique Process Inputs],MATCH(Table_Process_Details[[#This Row],['[GWP (kg CO2 equiv.) per kg API'] of Unique Inputs Sorted by '[GWP (kg CO2 equiv.) per kg API']]],Table_Process_Details[Total '[GWP (kg CO2 equiv.) per kg API'] of Unique Inputs],0))</f>
        <v>#N/A</v>
      </c>
      <c r="FG84" s="22" t="e">
        <f ca="1">IF(LARGE(Table_Process_Details[Total '[GWP (kg CO2 equiv.) per kg API'] of Unique Inputs],Table_Process_Details[[#This Row],[Table Row]])=0,NA(),LARGE(Table_Process_Details[Total '[GWP (kg CO2 equiv.) per kg API'] of Unique Inputs],Table_Process_Details[[#This Row],[Table Row]]))</f>
        <v>#N/A</v>
      </c>
      <c r="FH84" s="22" t="e">
        <f ca="1">SUM(OFFSET(Table_Process_Details['[GWP (kg CO2 equiv.) per kg API'] of Unique Inputs Sorted by '[GWP (kg CO2 equiv.) per kg API']],0,0,Table_Process_Details[[#This Row],[Table Row]]))</f>
        <v>#N/A</v>
      </c>
      <c r="FI84" s="22" t="e">
        <f ca="1">"("&amp;TEXT(Table_Process_Details[[#This Row],['[GWP (kg CO2 equiv.) per kg API'] of Unique Inputs Sorted by '[GWP (kg CO2 equiv.) per kg API']]]/SUMIF(Table_Process_Details['[GWP (kg CO2 equiv.) per kg API'] of Unique Inputs Sorted by '[GWP (kg CO2 equiv.) per kg API']],"&lt;&gt;#N/A"),"0%")&amp;")"</f>
        <v>#N/A</v>
      </c>
      <c r="FJ84" s="22" t="e">
        <f ca="1">INDEX(Table_Process_Details[Total '[GWP (kg CO2 equiv.) per kg API'] of Unique Inputs (REAGENT)], MATCH(Table_Process_Details[[#This Row],[Unique Inputs Sorted by '[GWP (kg CO2 equiv.) per kg API']]],Table_Process_Details[Unique Process Inputs],0))</f>
        <v>#N/A</v>
      </c>
      <c r="FK84" s="22" t="e">
        <f ca="1">INDEX(Table_Process_Details[Total '[GWP (kg CO2 equiv.) per kg API'] of Unique Inputs (METAL)], MATCH(Table_Process_Details[[#This Row],[Unique Inputs Sorted by '[GWP (kg CO2 equiv.) per kg API']]],Table_Process_Details[Unique Process Inputs],0))</f>
        <v>#N/A</v>
      </c>
      <c r="FL84" s="22" t="e">
        <f ca="1">INDEX(Table_Process_Details[Total '[GWP (kg CO2 equiv.) per kg API'] of Unique Inputs (SOLVENT)], MATCH(Table_Process_Details[[#This Row],[Unique Inputs Sorted by '[GWP (kg CO2 equiv.) per kg API']]],Table_Process_Details[Unique Process Inputs],0))</f>
        <v>#N/A</v>
      </c>
      <c r="FM84" s="22" t="e">
        <f ca="1">INDEX(Table_Process_Details[Total '[GWP (kg CO2 equiv.) per kg API'] of Unique Inputs (WATER)], MATCH(Table_Process_Details[[#This Row],[Unique Inputs Sorted by '[GWP (kg CO2 equiv.) per kg API']]],Table_Process_Details[Unique Process Inputs],0))</f>
        <v>#N/A</v>
      </c>
      <c r="FN84" s="22" t="e">
        <f ca="1">INDEX(Table_Process_Details[Total '[GWP (kg CO2 equiv.) per kg API'] of Unique Inputs (ENZ&amp;PLNT)], MATCH(Table_Process_Details[[#This Row],[Unique Inputs Sorted by '[GWP (kg CO2 equiv.) per kg API']]],Table_Process_Details[Unique Process Inputs],0))</f>
        <v>#N/A</v>
      </c>
      <c r="FO84" s="22" t="e">
        <f ca="1">INDEX(Table_Process_Details[Total '[GWP (kg CO2 equiv.) per kg API'] of Unique Inputs (OTHER)], MATCH(Table_Process_Details[[#This Row],[Unique Inputs Sorted by '[GWP (kg CO2 equiv.) per kg API']]],Table_Process_Details[Unique Process Inputs],0))</f>
        <v>#N/A</v>
      </c>
      <c r="FP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4" s="22">
        <f ca="1">SUMIFS(Table_Process_Details[RV Acidification (kg SO2 equiv.) per kg API],Table_Process_Details[Display Name],Table_Process_Details[[#This Row],[Unique Process Inputs]],Table_Process_Details[Input or Output],"Input")</f>
        <v>0</v>
      </c>
      <c r="FX84" s="1">
        <f ca="1">SUMIFS(Table_Process_Details[RV Acidification (kg SO2 equiv.) per kg API (REAGENT)],Table_Process_Details[Display Name],Table_Process_Details[[#This Row],[Unique Process Inputs]],Table_Process_Details[Input or Output],"Input")</f>
        <v>0</v>
      </c>
      <c r="FY84" s="1">
        <f ca="1">SUMIFS(Table_Process_Details[RV Acidification (kg SO2 equiv.) per kg API (METAL)],Table_Process_Details[Display Name],Table_Process_Details[[#This Row],[Unique Process Inputs]],Table_Process_Details[Input or Output],"Input")</f>
        <v>0</v>
      </c>
      <c r="FZ84" s="1">
        <f ca="1">SUMIFS(Table_Process_Details[RV Acidification (kg SO2 equiv.) per kg API (SOLVENT)],Table_Process_Details[Display Name],Table_Process_Details[[#This Row],[Unique Process Inputs]],Table_Process_Details[Input or Output],"Input")</f>
        <v>0</v>
      </c>
      <c r="GA84" s="1">
        <f ca="1">SUMIFS(Table_Process_Details[RV Acidification (kg SO2 equiv.) per kg API (WATER)],Table_Process_Details[Display Name],Table_Process_Details[[#This Row],[Unique Process Inputs]],Table_Process_Details[Input or Output],"Input")</f>
        <v>0</v>
      </c>
      <c r="GB84" s="1">
        <f ca="1">SUMIFS(Table_Process_Details[RV Acidification (kg SO2 equiv.) per kg API (ENZ&amp;PLNT)],Table_Process_Details[Display Name],Table_Process_Details[[#This Row],[Unique Process Inputs]],Table_Process_Details[Input or Output],"Input")</f>
        <v>0</v>
      </c>
      <c r="GC84" s="1">
        <f ca="1">SUMIFS(Table_Process_Details[RV Acidification (kg SO2 equiv.) per kg API (OTHER)],Table_Process_Details[Display Name],Table_Process_Details[[#This Row],[Unique Process Inputs]],Table_Process_Details[Input or Output],"Input")</f>
        <v>0</v>
      </c>
      <c r="GD84"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4"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4" s="22" t="e">
        <f ca="1">SUM(OFFSET(Table_Process_Details['[Acidification (kg SO2 equiv.) per kg API'] of Unique Inputs Sorted by '[Acidification (kg SO2 equiv.) per kg API']],0,0,Table_Process_Details[[#This Row],[Table Row]]))</f>
        <v>#N/A</v>
      </c>
      <c r="GG84"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4" s="22" t="e">
        <f ca="1">INDEX(Table_Process_Details[Total '[Acidification (kg SO2 equiv.) per kg API'] of Unique Inputs (REAGENT)], MATCH(Table_Process_Details[[#This Row],[Unique Inputs Sorted by '[Acidification (kg SO2 equiv.) per kg API']]],Table_Process_Details[Unique Process Inputs],0))</f>
        <v>#N/A</v>
      </c>
      <c r="GI84" s="22" t="e">
        <f ca="1">INDEX(Table_Process_Details[Total '[Acidification (kg SO2 equiv.) per kg API'] of Unique Inputs (METAL)], MATCH(Table_Process_Details[[#This Row],[Unique Inputs Sorted by '[Acidification (kg SO2 equiv.) per kg API']]],Table_Process_Details[Unique Process Inputs],0))</f>
        <v>#N/A</v>
      </c>
      <c r="GJ84" s="22" t="e">
        <f ca="1">INDEX(Table_Process_Details[Total '[Acidification (kg SO2 equiv.) per kg API'] of Unique Inputs (SOLVENT)], MATCH(Table_Process_Details[[#This Row],[Unique Inputs Sorted by '[Acidification (kg SO2 equiv.) per kg API']]],Table_Process_Details[Unique Process Inputs],0))</f>
        <v>#N/A</v>
      </c>
      <c r="GK84" s="22" t="e">
        <f ca="1">INDEX(Table_Process_Details[Total '[Acidification (kg SO2 equiv.) per kg API'] of Unique Inputs (WATER)], MATCH(Table_Process_Details[[#This Row],[Unique Inputs Sorted by '[Acidification (kg SO2 equiv.) per kg API']]],Table_Process_Details[Unique Process Inputs],0))</f>
        <v>#N/A</v>
      </c>
      <c r="GL84" s="22" t="e">
        <f ca="1">INDEX(Table_Process_Details[Total '[Acidification (kg SO2 equiv.) per kg API'] of Unique Inputs (ENZ&amp;PLNT)], MATCH(Table_Process_Details[[#This Row],[Unique Inputs Sorted by '[Acidification (kg SO2 equiv.) per kg API']]],Table_Process_Details[Unique Process Inputs],0))</f>
        <v>#N/A</v>
      </c>
      <c r="GM84" s="22" t="e">
        <f ca="1">INDEX(Table_Process_Details[Total '[Acidification (kg SO2 equiv.) per kg API'] of Unique Inputs (OTHER)], MATCH(Table_Process_Details[[#This Row],[Unique Inputs Sorted by '[Acidification (kg SO2 equiv.) per kg API']]],Table_Process_Details[Unique Process Inputs],0))</f>
        <v>#N/A</v>
      </c>
      <c r="GN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4" s="22">
        <f ca="1">SUMIFS(Table_Process_Details[RV Eutrophication (kg phosphate equiv.) per kg API],Table_Process_Details[Display Name],Table_Process_Details[[#This Row],[Unique Process Inputs]],Table_Process_Details[Input or Output],"Input")</f>
        <v>0</v>
      </c>
      <c r="GV84" s="1">
        <f ca="1">SUMIFS(Table_Process_Details[RV Eutrophication (kg phosphate equiv.) per kg API (REAGENT)],Table_Process_Details[Display Name],Table_Process_Details[[#This Row],[Unique Process Inputs]],Table_Process_Details[Input or Output],"Input")</f>
        <v>0</v>
      </c>
      <c r="GW84" s="1">
        <f ca="1">SUMIFS(Table_Process_Details[RV Eutrophication (kg phosphate equiv.) per kg API (METAL)],Table_Process_Details[Display Name],Table_Process_Details[[#This Row],[Unique Process Inputs]],Table_Process_Details[Input or Output],"Input")</f>
        <v>0</v>
      </c>
      <c r="GX84" s="1">
        <f ca="1">SUMIFS(Table_Process_Details[RV Eutrophication (kg phosphate equiv.) per kg API (SOLVENT)],Table_Process_Details[Display Name],Table_Process_Details[[#This Row],[Unique Process Inputs]],Table_Process_Details[Input or Output],"Input")</f>
        <v>0</v>
      </c>
      <c r="GY84" s="1">
        <f ca="1">SUMIFS(Table_Process_Details[RV Eutrophication (kg phosphate equiv.) per kg API (WATER)],Table_Process_Details[Display Name],Table_Process_Details[[#This Row],[Unique Process Inputs]],Table_Process_Details[Input or Output],"Input")</f>
        <v>0</v>
      </c>
      <c r="GZ84" s="1">
        <f ca="1">SUMIFS(Table_Process_Details[RV Eutrophication (kg phosphate equiv.) per kg API (ENZ&amp;PLNT)],Table_Process_Details[Display Name],Table_Process_Details[[#This Row],[Unique Process Inputs]],Table_Process_Details[Input or Output],"Input")</f>
        <v>0</v>
      </c>
      <c r="HA84" s="1">
        <f ca="1">SUMIFS(Table_Process_Details[RV Eutrophication (kg phosphate equiv.) per kg API (OTHER)],Table_Process_Details[Display Name],Table_Process_Details[[#This Row],[Unique Process Inputs]],Table_Process_Details[Input or Output],"Input")</f>
        <v>0</v>
      </c>
      <c r="HB84"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4"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4" s="22" t="e">
        <f ca="1">SUM(OFFSET(Table_Process_Details['[Eutrophication (kg posphate equiv.) per kg API'] of Unique Inputs Sorted by '[Eutrophication (kg posphate equiv.) per kg API']],0,0,Table_Process_Details[[#This Row],[Table Row]]))</f>
        <v>#N/A</v>
      </c>
      <c r="HE84"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4" s="1" t="e">
        <f ca="1">INDEX(Table_Process_Details[Total '[Eutrophication (kg posphate equiv.) per kg API'] of Unique Inputs (REAGENT)], MATCH(Table_Process_Details[[#This Row],[Unique Inputs Sorted by '[Eutrophication (kg posphate equiv.) per kg API']]],Table_Process_Details[Unique Process Inputs],0))</f>
        <v>#N/A</v>
      </c>
      <c r="HG84" s="1" t="e">
        <f ca="1">INDEX(Table_Process_Details[Total '[Eutrophication (kg posphate equiv.) per kg API'] of Unique Inputs (METAL)], MATCH(Table_Process_Details[[#This Row],[Unique Inputs Sorted by '[Eutrophication (kg posphate equiv.) per kg API']]],Table_Process_Details[Unique Process Inputs],0))</f>
        <v>#N/A</v>
      </c>
      <c r="HH84" s="1" t="e">
        <f ca="1">INDEX(Table_Process_Details[Total '[Eutrophication (kg posphate equiv.) per kg API'] of Unique Inputs (SOLVENT)], MATCH(Table_Process_Details[[#This Row],[Unique Inputs Sorted by '[Eutrophication (kg posphate equiv.) per kg API']]],Table_Process_Details[Unique Process Inputs],0))</f>
        <v>#N/A</v>
      </c>
      <c r="HI84" s="1" t="e">
        <f ca="1">INDEX(Table_Process_Details[Total '[Eutrophication (kg posphate equiv.) per kg API'] of Unique Inputs (WATER)], MATCH(Table_Process_Details[[#This Row],[Unique Inputs Sorted by '[Eutrophication (kg posphate equiv.) per kg API']]],Table_Process_Details[Unique Process Inputs],0))</f>
        <v>#N/A</v>
      </c>
      <c r="HJ84" s="1" t="e">
        <f ca="1">INDEX(Table_Process_Details[Total '[Eutrophication (kg posphate equiv.) per kg API'] of Unique Inputs (ENZ&amp;PLNT)], MATCH(Table_Process_Details[[#This Row],[Unique Inputs Sorted by '[Eutrophication (kg posphate equiv.) per kg API']]],Table_Process_Details[Unique Process Inputs],0))</f>
        <v>#N/A</v>
      </c>
      <c r="HK84" s="1" t="e">
        <f ca="1">INDEX(Table_Process_Details[Total '[Eutrophication (kg posphate equiv.) per kg API'] of Unique Inputs (OTHER)], MATCH(Table_Process_Details[[#This Row],[Unique Inputs Sorted by '[Eutrophication (kg posphate equiv.) per kg API']]],Table_Process_Details[Unique Process Inputs],0))</f>
        <v>#N/A</v>
      </c>
      <c r="HL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4" s="1">
        <f ca="1">SUMIFS(Table_Process_Details[RV Water (kg) per kg API],Table_Process_Details[Display Name],Table_Process_Details[[#This Row],[Unique Process Inputs]],Table_Process_Details[Input or Output],"Input")</f>
        <v>0</v>
      </c>
      <c r="HT84" s="1">
        <f ca="1">SUMIFS(Table_Process_Details[RV Water (kg) per kg API (REAGENT)],Table_Process_Details[Display Name],Table_Process_Details[[#This Row],[Unique Process Inputs]],Table_Process_Details[Input or Output],"Input")</f>
        <v>0</v>
      </c>
      <c r="HU84" s="1">
        <f ca="1">SUMIFS(Table_Process_Details[RV Water (kg) per kg API (METAL)],Table_Process_Details[Display Name],Table_Process_Details[[#This Row],[Unique Process Inputs]],Table_Process_Details[Input or Output],"Input")</f>
        <v>0</v>
      </c>
      <c r="HV84" s="1">
        <f ca="1">SUMIFS(Table_Process_Details[RV Water (kg) per kg API (SOLVENT)],Table_Process_Details[Display Name],Table_Process_Details[[#This Row],[Unique Process Inputs]],Table_Process_Details[Input or Output],"Input")</f>
        <v>0</v>
      </c>
      <c r="HW84" s="1">
        <f ca="1">SUMIFS(Table_Process_Details[RV Water (kg) per kg API (WATER)],Table_Process_Details[Display Name],Table_Process_Details[[#This Row],[Unique Process Inputs]],Table_Process_Details[Input or Output],"Input")</f>
        <v>0</v>
      </c>
      <c r="HX84" s="1">
        <f ca="1">SUMIFS(Table_Process_Details[RV Water (kg) per kg API (ENZ&amp;PLNT)],Table_Process_Details[Display Name],Table_Process_Details[[#This Row],[Unique Process Inputs]],Table_Process_Details[Input or Output],"Input")</f>
        <v>0</v>
      </c>
      <c r="HY84" s="1">
        <f ca="1">SUMIFS(Table_Process_Details[RV Water (kg) per kg API (OTHER)],Table_Process_Details[Display Name],Table_Process_Details[[#This Row],[Unique Process Inputs]],Table_Process_Details[Input or Output],"Input")</f>
        <v>0</v>
      </c>
      <c r="HZ84" s="22" t="e">
        <f ca="1">INDEX(Table_Process_Details[Unique Process Inputs],MATCH(Table_Process_Details[[#This Row],['[Water (kg) per kg API'] of Unique Inputs Sorted by '[Water (kg) per kg API']]],Table_Process_Details[Total '[Water (kg) per kg API'] of Unique Inputs],0))</f>
        <v>#N/A</v>
      </c>
      <c r="IA84" s="22" t="e">
        <f ca="1">IF(LARGE(Table_Process_Details[Total '[Water (kg) per kg API'] of Unique Inputs],Table_Process_Details[[#This Row],[Table Row]])=0,NA(),LARGE(Table_Process_Details[Total '[Water (kg) per kg API'] of Unique Inputs],Table_Process_Details[[#This Row],[Table Row]]))</f>
        <v>#N/A</v>
      </c>
      <c r="IB84" s="1" t="e">
        <f ca="1">SUM(OFFSET(Table_Process_Details['[Water (kg) per kg API'] of Unique Inputs Sorted by '[Water (kg) per kg API']],0,0,Table_Process_Details[[#This Row],[Table Row]]))</f>
        <v>#N/A</v>
      </c>
      <c r="IC84" s="1" t="e">
        <f ca="1">"("&amp;TEXT(Table_Process_Details[[#This Row],['[Water (kg) per kg API'] of Unique Inputs Sorted by '[Water (kg) per kg API']]]/SUMIF(Table_Process_Details['[Water (kg) per kg API'] of Unique Inputs Sorted by '[Water (kg) per kg API']],"&lt;&gt;#N/A"),"0%")&amp;")"</f>
        <v>#N/A</v>
      </c>
      <c r="ID84" s="1" t="e">
        <f ca="1">INDEX(Table_Process_Details[Total '[Water (kg) per kg API'] of Unique Inputs (REAGENT)], MATCH(Table_Process_Details[[#This Row],[Unique Inputs Sorted by '[Water (kg) per kg API']]],Table_Process_Details[Unique Process Inputs],0))</f>
        <v>#N/A</v>
      </c>
      <c r="IE84" s="1" t="e">
        <f ca="1">INDEX(Table_Process_Details[Total '[Water (kg) per kg API'] of Unique Inputs (METAL)], MATCH(Table_Process_Details[[#This Row],[Unique Inputs Sorted by '[Water (kg) per kg API']]],Table_Process_Details[Unique Process Inputs],0))</f>
        <v>#N/A</v>
      </c>
      <c r="IF84" s="1" t="e">
        <f ca="1">INDEX(Table_Process_Details[Total '[Water (kg) per kg API'] of Unique Inputs (SOLVENT)], MATCH(Table_Process_Details[[#This Row],[Unique Inputs Sorted by '[Water (kg) per kg API']]],Table_Process_Details[Unique Process Inputs],0))</f>
        <v>#N/A</v>
      </c>
      <c r="IG84" s="1" t="e">
        <f ca="1">INDEX(Table_Process_Details[Total '[Water (kg) per kg API'] of Unique Inputs (WATER)], MATCH(Table_Process_Details[[#This Row],[Unique Inputs Sorted by '[Water (kg) per kg API']]],Table_Process_Details[Unique Process Inputs],0))</f>
        <v>#N/A</v>
      </c>
      <c r="IH84" s="1" t="e">
        <f ca="1">INDEX(Table_Process_Details[Total '[Water (kg) per kg API'] of Unique Inputs (ENZ&amp;PLNT)], MATCH(Table_Process_Details[[#This Row],[Unique Inputs Sorted by '[Water (kg) per kg API']]],Table_Process_Details[Unique Process Inputs],0))</f>
        <v>#N/A</v>
      </c>
      <c r="II84" s="1" t="e">
        <f ca="1">INDEX(Table_Process_Details[Total '[Water (kg) per kg API'] of Unique Inputs (OTHER)], MATCH(Table_Process_Details[[#This Row],[Unique Inputs Sorted by '[Water (kg) per kg API']]],Table_Process_Details[Unique Process Inputs],0))</f>
        <v>#N/A</v>
      </c>
    </row>
    <row r="85" spans="1:243" s="119" customFormat="1" x14ac:dyDescent="0.25">
      <c r="A85" s="126" t="str">
        <f>A84</f>
        <v>4d) Virtual material prep for (4): 95 wt% reagent M (organic)</v>
      </c>
      <c r="B85" s="127" t="s">
        <v>5</v>
      </c>
      <c r="C85" s="127" t="s">
        <v>838</v>
      </c>
      <c r="D85" s="126" t="s">
        <v>838</v>
      </c>
      <c r="E85" s="126" t="str">
        <f>'1. Define Process Steps'!C24</f>
        <v>95 wt% reagent M (organic)</v>
      </c>
      <c r="F85" s="165">
        <f>F84+F83</f>
        <v>100</v>
      </c>
      <c r="G85" s="128"/>
      <c r="H85" s="128"/>
      <c r="I85" s="128"/>
      <c r="J85" s="128" t="str">
        <f>INDEX(Process_Steps[Reference],MATCH(Table_Process_Details[[#This Row],[Step Name]],Process_Steps[Name],0))</f>
        <v>Penultimate Reference Document</v>
      </c>
      <c r="K85" s="129" t="str">
        <f>INDEX(Process_Steps[Real or Virtual?],MATCH(Table_Process_Details[[#This Row],[Step Name]],Process_Steps[Name],0))</f>
        <v>Virtual</v>
      </c>
      <c r="L85" s="128"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5" s="128"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85" s="128">
        <f>INDEX(Table_Process_Details[Physical Mass (kg)],MATCH(1,INDEX(((Table_Process_Details[Step Name]=Table_Process_Details[[#This Row],[Step Name]])*(Table_Process_Details[Input or Output]="Output")),0),0))</f>
        <v>100</v>
      </c>
      <c r="O85" s="130">
        <f ca="1">INDEX(Process_Steps[Step Scale Factor for 1kg Packaged API],MATCH(Table_Process_Details[[#This Row],[Step Name]],Process_Steps[Name],0))</f>
        <v>2.2022389429253234E-2</v>
      </c>
      <c r="P85" s="128">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v>
      </c>
      <c r="Q85" s="128">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v>
      </c>
      <c r="R85" s="128">
        <f ca="1">_xlfn.SWITCH(Run_Reset_PNG,"Reset",Table_Process_Details[[#This Row],[X Init]],"Run",Table_Process_Details[[#This Row],[X Moved]],"Freeze",Table_Process_Details[[#This Row],[X Mover]])</f>
        <v>25.322697016273306</v>
      </c>
      <c r="S85" s="128">
        <f ca="1">_xlfn.SWITCH(Run_Reset_PNG,"Reset",Table_Process_Details[[#This Row],[Y Init]],"Run",Table_Process_Details[[#This Row],[Y Moved]],"Freeze",Table_Process_Details[[#This Row],[Y Mover]])</f>
        <v>-10.244621761858062</v>
      </c>
      <c r="T85" s="128" cm="1">
        <f t="array" aca="1" ref="T8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0.64194310990670389</v>
      </c>
      <c r="U85" s="128" cm="1">
        <f t="array" aca="1" ref="U8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-1.3150874547674032</v>
      </c>
      <c r="V85" s="128" cm="1">
        <f t="array" aca="1" ref="V85" ca="1">SUM(--(SQRT((Table_Process_Details[[#This Row],[X Mover]]-Table_Process_Details[X Mover])^2+(Table_Process_Details[[#This Row],[Y Mover]]-Table_Process_Details[Y Mover])^2)&lt;Collision_Distance))</f>
        <v>9</v>
      </c>
      <c r="W85" s="128" cm="1">
        <f t="array" aca="1" ref="W8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0.16092396104617157</v>
      </c>
      <c r="X85" s="128" cm="1">
        <f t="array" aca="1" ref="X8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0.31623841660049778</v>
      </c>
      <c r="Y85" s="128" cm="1">
        <f t="array" aca="1" ref="Y8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v>
      </c>
      <c r="Z85" s="128">
        <f>0</f>
        <v>0</v>
      </c>
      <c r="AA85" s="128">
        <f>0</f>
        <v>0</v>
      </c>
      <c r="AB85" s="128">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-12.661348508136653</v>
      </c>
      <c r="AC85" s="128" cm="1">
        <f t="array" aca="1" ref="AC8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5.1223108809290308</v>
      </c>
      <c r="AD85" s="128">
        <f>MIN(1,COUNTA(Table_Process_Details[[#This Row],[target x]]),COUNTA(Table_Process_Details[[#This Row],[target y]]))*COUNTA(Table_Process_Details[Step Name])</f>
        <v>98</v>
      </c>
      <c r="AE85" s="128">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25.318467915077392</v>
      </c>
      <c r="AF85" s="128">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-10.233061306255225</v>
      </c>
      <c r="AG85" s="128"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85" s="128" t="e" cm="1">
        <f t="array" ref="AH85">INDEX(Table_Process_Details[X Mover],MATCH(1,INDEX((Table_Process_Details[Input or Output]="Output")*(Table_Process_Details[Step Name]=Table_Process_Details[[#This Row],[Step Name]])*(Table_Process_Details[[#This Row],[Input or Output]]="Input"),0),0))</f>
        <v>#N/A</v>
      </c>
      <c r="AI85" s="128" t="e" cm="1">
        <f t="array" ref="AI85">INDEX(Table_Process_Details[Y Mover],MATCH(1,INDEX((Table_Process_Details[Input or Output]="Output")*(Table_Process_Details[Step Name]=Table_Process_Details[[#This Row],[Step Name]])*(Table_Process_Details[[#This Row],[Input or Output]]="Input"),0),0))</f>
        <v>#N/A</v>
      </c>
      <c r="AJ85" s="128" t="e">
        <f>SQRT((Table_Process_Details[[#This Row],[X End (To Node Center)]]-Table_Process_Details[[#This Row],[X Guide]])^2+(Table_Process_Details[[#This Row],[Y End (to Node Center)]]-Table_Process_Details[[#This Row],[Y Guide]])^2)</f>
        <v>#N/A</v>
      </c>
      <c r="AK85" s="128" t="e" cm="1">
        <f t="array" ref="AK85">INDEX(Table_Process_Details[X Mover],MATCH(1,INDEX((Table_Process_Details[Step Name]=Table_Process_Details[[#This Row],[LCA Data Source Subclass]])*(Table_Process_Details[Input or Output]="Output"),0)*(Table_Process_Details[[#This Row],[Input or Output]]="Input"),0))</f>
        <v>#N/A</v>
      </c>
      <c r="AL85" s="128" t="e" cm="1">
        <f t="array" ref="AL85">INDEX(Table_Process_Details[X Mover],MATCH(1,INDEX(((Table_Process_Details[Table Row]=Table_Process_Details[[#This Row],[Table Row]])*(1)),0)*(Table_Process_Details[[#This Row],[Input or Output]]="Input"),0))</f>
        <v>#N/A</v>
      </c>
      <c r="AM85" s="128" t="e" cm="1">
        <f t="array" ref="AM85">(Table_Process_Details[[#This Row],[X End (To Node Center)]]*Table_Process_Details[[#This Row],[r0]]-Table_Process_Details[[#This Row],[X End (To Node Center)]]*Arrow_Offset+Table_Process_Details[[#This Row],[X Guide]]*Arrow_Offset)/Table_Process_Details[[#This Row],[r0]]</f>
        <v>#N/A</v>
      </c>
      <c r="AN85" s="128" t="e">
        <f>IF(NOT(Table_Process_Details[[#This Row],[Display As]]="None"),Table_Process_Details[[#This Row],[X Start Prefilter]],NA())</f>
        <v>#N/A</v>
      </c>
      <c r="AO85" s="128" t="e">
        <f>IF(NOT(Table_Process_Details[[#This Row],[Display As]]="None"),Table_Process_Details[[#This Row],[X Guide Prefilter]],NA())</f>
        <v>#N/A</v>
      </c>
      <c r="AP85" s="128" t="e">
        <f>IF(NOT(Table_Process_Details[[#This Row],[Display As]]="None"),Table_Process_Details[[#This Row],[X End (to Stop Radius) Prefilter]],NA())</f>
        <v>#N/A</v>
      </c>
      <c r="AQ85" s="128" t="e">
        <f>NA()</f>
        <v>#N/A</v>
      </c>
      <c r="AR85" s="128" t="e" cm="1">
        <f t="array" ref="AR85">INDEX(Table_Process_Details[Y Mover],MATCH(1,INDEX((Table_Process_Details[Step Name]=Table_Process_Details[[#This Row],[LCA Data Source Subclass]])*(Table_Process_Details[Input or Output]="Output"),0)*(Table_Process_Details[[#This Row],[Input or Output]]="Input"),0))</f>
        <v>#N/A</v>
      </c>
      <c r="AS85" s="128" t="e" cm="1">
        <f t="array" ref="AS85">INDEX(Table_Process_Details[Y Mover],MATCH(1,INDEX(((Table_Process_Details[Table Row]=Table_Process_Details[[#This Row],[Table Row]])*(1)),0)*(Table_Process_Details[[#This Row],[Input or Output]]="Input"),0))</f>
        <v>#N/A</v>
      </c>
      <c r="AT85" s="128" t="e" cm="1">
        <f t="array" ref="AT85">(Table_Process_Details[[#This Row],[Y Guide]]*Arrow_Offset-Table_Process_Details[[#This Row],[Y End (to Node Center)]]*Arrow_Offset+Table_Process_Details[[#This Row],[Y End (to Node Center)]]*Table_Process_Details[[#This Row],[r0]])/Table_Process_Details[[#This Row],[r0]]</f>
        <v>#N/A</v>
      </c>
      <c r="AU85" s="128" t="e">
        <f>IF(NOT(Table_Process_Details[[#This Row],[Display As]]="None"),Table_Process_Details[[#This Row],[Y Start Prefilter]],NA())</f>
        <v>#N/A</v>
      </c>
      <c r="AV85" s="128" t="e">
        <f>IF(NOT(Table_Process_Details[[#This Row],[Display As]]="None"),Table_Process_Details[[#This Row],[Y Guide Prefilter]],NA())</f>
        <v>#N/A</v>
      </c>
      <c r="AW85" s="128" t="e">
        <f>IF(NOT(Table_Process_Details[[#This Row],[Display As]]="None"),Table_Process_Details[[#This Row],[Y End (to Stop Radius) Prefilter]],NA())</f>
        <v>#N/A</v>
      </c>
      <c r="AX85" s="128" t="e">
        <f>NA()</f>
        <v>#N/A</v>
      </c>
      <c r="AY85" s="128" t="e">
        <f>IF(Table_Process_Details[[#This Row],[Display As]]="Real Step",Table_Process_Details[[#This Row],[X Mover]],NA())</f>
        <v>#N/A</v>
      </c>
      <c r="AZ85" s="128" t="e">
        <f>IF(Table_Process_Details[[#This Row],[Display As]]="Real Step",Table_Process_Details[[#This Row],[Y Mover]],NA())</f>
        <v>#N/A</v>
      </c>
      <c r="BA85" s="128">
        <f ca="1">IF(Table_Process_Details[[#This Row],[Display As]]="Raw Material",Table_Process_Details[[#This Row],[X Mover]],NA())</f>
        <v>25.322697016273306</v>
      </c>
      <c r="BB85" s="128">
        <f ca="1">IF(Table_Process_Details[[#This Row],[Display As]]="Raw Material",Table_Process_Details[[#This Row],[Y Mover]],NA())</f>
        <v>-10.244621761858062</v>
      </c>
      <c r="BC85" s="128">
        <f ca="1">IF(OR(Table_Process_Details[[#This Row],[Display As]]="Real Step",Table_Process_Details[[#This Row],[Display As]]="Raw Material"),Table_Process_Details[[#This Row],[X Mover]],NA())</f>
        <v>25.322697016273306</v>
      </c>
      <c r="BD85" s="128">
        <f ca="1">IF(OR(Table_Process_Details[[#This Row],[Display As]]="Real Step",Table_Process_Details[[#This Row],[Display As]]="Raw Material"),Table_Process_Details[[#This Row],[Y Mover]],NA())</f>
        <v>-10.244621761858062</v>
      </c>
      <c r="BE85" s="126">
        <f>ROW()-ROW(Table_Process_Details[[#Headers],[Table Row]])</f>
        <v>81</v>
      </c>
      <c r="BF85" s="122" t="e" cm="1">
        <f t="array" aca="1" ref="BF85" ca="1">INDEX(Table_Process_Details[Display Name],MATCH(0,IF(Table_Process_Details[Input or Output]="Input",INDEX(COUNTIF(OFFSET(Table_Process_Details[[#Headers],[Unique Process Inputs]],0,0,Table_Process_Details[[#This Row],[Table Row]],1),Table_Process_Details[Display Name]),),""),0))</f>
        <v>#N/A</v>
      </c>
      <c r="BG85" s="122">
        <f ca="1">Table_Process_Details[[#This Row],[Physical Mass (kg)]]*Table_Process_Details[[#This Row],[Step Scale Factor for 1kg Packaged API]]</f>
        <v>2.2022389429253235</v>
      </c>
      <c r="BH85" s="12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85" s="122">
        <f ca="1">MATCH(Table_Process_Details[[#This Row],[LCA Data Source Class]],INDIRECT(Table_Process_Details[[#This Row],[Input or Output]]),0)</f>
        <v>1</v>
      </c>
      <c r="BJ85" s="122">
        <f ca="1">MATCH(Table_Process_Details[[#This Row],[LCA Data Source Subclass]],INDIRECT(Table_Process_Details[[#This Row],[LCA Data Source Class]]&amp;"[Name]"),0)</f>
        <v>1</v>
      </c>
      <c r="BK85" s="122">
        <f ca="1">IFERROR(INDEX(INDIRECT(Table_Process_Details[[#This Row],[LCA Data Source Class]]&amp;"[Mass Net (kg)]"),MATCH(Table_Process_Details[[#This Row],[LCA Data Source Subclass]],INDIRECT(Table_Process_Details[[#This Row],[LCA Data Source Class]]&amp;"[Name]"),0)),0)</f>
        <v>0</v>
      </c>
      <c r="BL85" s="122">
        <f ca="1">IFERROR(INDEX(INDIRECT(Table_Process_Details[[#This Row],[LCA Data Source Class]]&amp;"[Energy (MJ)]"),MATCH(Table_Process_Details[[#This Row],[LCA Data Source Subclass]],INDIRECT(Table_Process_Details[[#This Row],[LCA Data Source Class]]&amp;"[Name]"),0)),0)</f>
        <v>0</v>
      </c>
      <c r="BM85" s="122">
        <f ca="1">IFERROR(INDEX(INDIRECT(Table_Process_Details[[#This Row],[LCA Data Source Class]]&amp;"[GWP (kg CO2 equiv.)]"),MATCH(Table_Process_Details[[#This Row],[LCA Data Source Subclass]],INDIRECT(Table_Process_Details[[#This Row],[LCA Data Source Class]]&amp;"[Name]"),0)),0)</f>
        <v>0</v>
      </c>
      <c r="BN85" s="122">
        <f ca="1">IFERROR(INDEX(INDIRECT(Table_Process_Details[[#This Row],[LCA Data Source Class]]&amp;"[Acidification (kg SO2 equiv.)]"),MATCH(Table_Process_Details[[#This Row],[LCA Data Source Subclass]],INDIRECT(Table_Process_Details[[#This Row],[LCA Data Source Class]]&amp;"[Name]"),0)),0)</f>
        <v>0</v>
      </c>
      <c r="BO85" s="122">
        <f ca="1">IFERROR(INDEX(INDIRECT(Table_Process_Details[[#This Row],[LCA Data Source Class]]&amp;"[Eutrophication (kg posphate equiv.)]"),MATCH(Table_Process_Details[[#This Row],[LCA Data Source Subclass]],INDIRECT(Table_Process_Details[[#This Row],[LCA Data Source Class]]&amp;"[Name]"),0)),0)</f>
        <v>0</v>
      </c>
      <c r="BP85" s="122">
        <f ca="1">IFERROR(INDEX(INDIRECT(Table_Process_Details[[#This Row],[LCA Data Source Class]]&amp;"[Water (kg)]"),MATCH(Table_Process_Details[[#This Row],[LCA Data Source Subclass]],INDIRECT(Table_Process_Details[[#This Row],[LCA Data Source Class]]&amp;"[Name]"),0)),0)</f>
        <v>0</v>
      </c>
      <c r="BQ85" s="129">
        <f ca="1">(Table_Process_Details[[#This Row],[Input or Output]]="Input")*(Table_Process_Details[[#This Row],[LCA Data Source Class]]&lt;&gt;"Process_Steps")*Table_Process_Details[[#This Row],[Scaled Physical Mass per kg API for All Inputs &amp; Outputs]]</f>
        <v>0</v>
      </c>
      <c r="BR85" s="129">
        <f ca="1">(Table_Process_Details[[#This Row],[Material Class]]="REAGENT")*Table_Process_Details[[#This Row],[Physical Mass per kg API]]</f>
        <v>0</v>
      </c>
      <c r="BS85" s="129">
        <f ca="1">(Table_Process_Details[[#This Row],[Material Class]]="METAL")*Table_Process_Details[[#This Row],[Physical Mass per kg API]]</f>
        <v>0</v>
      </c>
      <c r="BT85" s="129">
        <f ca="1">(Table_Process_Details[[#This Row],[Material Class]]="SOLVENT")*Table_Process_Details[[#This Row],[Physical Mass per kg API]]</f>
        <v>0</v>
      </c>
      <c r="BU85" s="129">
        <f ca="1">(Table_Process_Details[[#This Row],[Material Class]]="WATER")*Table_Process_Details[[#This Row],[Physical Mass per kg API]]</f>
        <v>0</v>
      </c>
      <c r="BV85" s="129">
        <f ca="1">(Table_Process_Details[[#This Row],[Material Class]]="ENZ&amp;PLNT")*Table_Process_Details[[#This Row],[Physical Mass per kg API]]</f>
        <v>0</v>
      </c>
      <c r="BW85" s="129">
        <f ca="1">(Table_Process_Details[[#This Row],[Material Class]]="OTHER")*Table_Process_Details[[#This Row],[Physical Mass per kg API]]</f>
        <v>0</v>
      </c>
      <c r="BX85" s="129">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5" s="129">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5" s="130">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5" s="129">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5" s="129">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5" s="130">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5" s="130">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5" s="131">
        <f ca="1">SUMIFS(Table_Process_Details[RV Physical Mass per kg API],Table_Process_Details[Display Name],Table_Process_Details[[#This Row],[Unique Process Inputs]],Table_Process_Details[Input or Output],"Input")</f>
        <v>0</v>
      </c>
      <c r="CF85" s="131">
        <f ca="1">SUMIFS(Table_Process_Details[RV Physical Mass per kg API (REAGENT)],Table_Process_Details[Display Name],Table_Process_Details[[#This Row],[Unique Process Inputs]],Table_Process_Details[Input or Output],"Input")</f>
        <v>0</v>
      </c>
      <c r="CG85" s="131">
        <f ca="1">SUMIFS(Table_Process_Details[RV Physical Mass per kg API (METAL)],Table_Process_Details[Display Name],Table_Process_Details[[#This Row],[Unique Process Inputs]],Table_Process_Details[Input or Output],"Input")</f>
        <v>0</v>
      </c>
      <c r="CH85" s="131">
        <f ca="1">SUMIFS(Table_Process_Details[RV Physical Mass per kg API (SOLVENT)],Table_Process_Details[Display Name],Table_Process_Details[[#This Row],[Unique Process Inputs]],Table_Process_Details[Input or Output],"Input")</f>
        <v>0</v>
      </c>
      <c r="CI85" s="131">
        <f ca="1">SUMIFS(Table_Process_Details[RV Physical Mass per kg API (WATER)],Table_Process_Details[Display Name],Table_Process_Details[[#This Row],[Unique Process Inputs]],Table_Process_Details[Input or Output],"Input")</f>
        <v>0</v>
      </c>
      <c r="CJ85" s="131">
        <f ca="1">SUMIFS(Table_Process_Details[RV Physical Mass per kg API (ENZ&amp;PLNT)],Table_Process_Details[Display Name],Table_Process_Details[[#This Row],[Unique Process Inputs]],Table_Process_Details[Input or Output],"Input")</f>
        <v>0</v>
      </c>
      <c r="CK85" s="131">
        <f ca="1">SUMIFS(Table_Process_Details[RV Physical Mass per kg API (OTHER)],Table_Process_Details[Display Name],Table_Process_Details[[#This Row],[Unique Process Inputs]],Table_Process_Details[Input or Output],"Input")</f>
        <v>0</v>
      </c>
      <c r="CL85" s="126" t="e">
        <f ca="1">INDEX(Table_Process_Details[Unique Process Inputs],MATCH(Table_Process_Details[[#This Row],['[Physical Mass per kg API'] of Unique Inputs Sorted by '[Physical Mass per kg API']]],Table_Process_Details[Total '[Physical Mass per kg API'] of Unique Inputs],0))</f>
        <v>#N/A</v>
      </c>
      <c r="CM85" s="126" t="e">
        <f ca="1">IF(LARGE(Table_Process_Details[Total '[Physical Mass per kg API'] of Unique Inputs],Table_Process_Details[[#This Row],[Table Row]])=0,NA(),LARGE(Table_Process_Details[Total '[Physical Mass per kg API'] of Unique Inputs],Table_Process_Details[[#This Row],[Table Row]]))</f>
        <v>#N/A</v>
      </c>
      <c r="CN85" s="126" t="e">
        <f ca="1">SUM(OFFSET(Table_Process_Details['[Physical Mass per kg API'] of Unique Inputs Sorted by '[Physical Mass per kg API']],0,0,Table_Process_Details[[#This Row],[Table Row]]))</f>
        <v>#N/A</v>
      </c>
      <c r="CO85" s="126" t="e">
        <f ca="1">"("&amp;TEXT(Table_Process_Details[[#This Row],['[Physical Mass per kg API'] of Unique Inputs Sorted by '[Physical Mass per kg API']]]/SUMIF(Table_Process_Details['[Physical Mass per kg API'] of Unique Inputs Sorted by '[Physical Mass per kg API']],"&lt;&gt;#N/A"),"0%")&amp;")"</f>
        <v>#N/A</v>
      </c>
      <c r="CP85" s="126" t="e">
        <f ca="1">INDEX(Table_Process_Details[Total '[Physical Mass per kg API'] of Unique Inputs (REAGENT)],MATCH(Table_Process_Details[[#This Row],[Unique Inputs Sorted by '[Physical Mass per kg API']]],Table_Process_Details[Unique Process Inputs],0))</f>
        <v>#N/A</v>
      </c>
      <c r="CQ85" s="126" t="e">
        <f ca="1">INDEX(Table_Process_Details[Total '[Physical Mass per kg API'] of Unique Inputs (METAL)],MATCH(Table_Process_Details[[#This Row],[Unique Inputs Sorted by '[Physical Mass per kg API']]],Table_Process_Details[Unique Process Inputs],0))</f>
        <v>#N/A</v>
      </c>
      <c r="CR85" s="126" t="e">
        <f ca="1">INDEX(Table_Process_Details[Total '[Physical Mass per kg API'] of Unique Inputs (SOLVENT)],MATCH(Table_Process_Details[[#This Row],[Unique Inputs Sorted by '[Physical Mass per kg API']]],Table_Process_Details[Unique Process Inputs],0))</f>
        <v>#N/A</v>
      </c>
      <c r="CS85" s="126" t="e">
        <f ca="1">INDEX(Table_Process_Details[Total '[Physical Mass per kg API'] of Unique Inputs (WATER)],MATCH(Table_Process_Details[[#This Row],[Unique Inputs Sorted by '[Physical Mass per kg API']]],Table_Process_Details[Unique Process Inputs],0))</f>
        <v>#N/A</v>
      </c>
      <c r="CT85" s="126" t="e">
        <f ca="1">INDEX(Table_Process_Details[Total '[Physical Mass per kg API'] of Unique Inputs (ENZ&amp;PLNT)],MATCH(Table_Process_Details[[#This Row],[Unique Inputs Sorted by '[Physical Mass per kg API']]],Table_Process_Details[Unique Process Inputs],0))</f>
        <v>#N/A</v>
      </c>
      <c r="CU85" s="126" t="e">
        <f ca="1">INDEX(Table_Process_Details[Total '[Physical Mass per kg API'] of Unique Inputs (OTHER)],MATCH(Table_Process_Details[[#This Row],[Unique Inputs Sorted by '[Physical Mass per kg API']]],Table_Process_Details[Unique Process Inputs],0))</f>
        <v>#N/A</v>
      </c>
      <c r="CV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5" s="130">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5" s="126">
        <f ca="1">SUMIFS(Table_Process_Details[RV Mass Net (kg) per kg API],Table_Process_Details[Display Name],Table_Process_Details[[#This Row],[Unique Process Inputs]],Table_Process_Details[Input or Output],"Input")</f>
        <v>0</v>
      </c>
      <c r="DD85" s="126">
        <f ca="1">SUMIFS(Table_Process_Details[RV Mass Net (kg) per kg API (REAGENT)],Table_Process_Details[Display Name],Table_Process_Details[[#This Row],[Unique Process Inputs]],Table_Process_Details[Input or Output],"Input")</f>
        <v>0</v>
      </c>
      <c r="DE85" s="126">
        <f ca="1">SUMIFS(Table_Process_Details[RV Mass Net (kg) per kg API (METAL)],Table_Process_Details[Display Name],Table_Process_Details[[#This Row],[Unique Process Inputs]],Table_Process_Details[Input or Output],"Input")</f>
        <v>0</v>
      </c>
      <c r="DF85" s="126">
        <f ca="1">SUMIFS(Table_Process_Details[RV Mass Net (kg) per kg API (SOLVENT)],Table_Process_Details[Display Name],Table_Process_Details[[#This Row],[Unique Process Inputs]],Table_Process_Details[Input or Output],"Input")</f>
        <v>0</v>
      </c>
      <c r="DG85" s="126">
        <f ca="1">SUMIFS(Table_Process_Details[RV Mass Net (kg) per kg API (WATER)],Table_Process_Details[Display Name],Table_Process_Details[[#This Row],[Unique Process Inputs]],Table_Process_Details[Input or Output],"Input")</f>
        <v>0</v>
      </c>
      <c r="DH85" s="126">
        <f ca="1">SUMIFS(Table_Process_Details[RV Mass Net (kg) per kg API (ENZ&amp;PLNT)],Table_Process_Details[Display Name],Table_Process_Details[[#This Row],[Unique Process Inputs]],Table_Process_Details[Input or Output],"Input")</f>
        <v>0</v>
      </c>
      <c r="DI85" s="126">
        <f ca="1">SUMIFS(Table_Process_Details[RV Mass Net (kg) per kg API (OTHER)],Table_Process_Details[Display Name],Table_Process_Details[[#This Row],[Unique Process Inputs]],Table_Process_Details[Input or Output],"Input")</f>
        <v>0</v>
      </c>
      <c r="DJ85" s="126" t="e">
        <f ca="1">INDEX(Table_Process_Details[Unique Process Inputs],MATCH(Table_Process_Details[[#This Row],['[Mass Net (kg) per kg API'] of Unique Inputs Sorted by '[Mass Net (kg) per kg API']]],Table_Process_Details[Total '[Mass Net (kg) per kg API'] of Unique Inputs],0))</f>
        <v>#N/A</v>
      </c>
      <c r="DK85" s="126" t="e">
        <f ca="1">IF(LARGE(Table_Process_Details[Total '[Mass Net (kg) per kg API'] of Unique Inputs],Table_Process_Details[[#This Row],[Table Row]])=0,NA(),LARGE(Table_Process_Details[Total '[Mass Net (kg) per kg API'] of Unique Inputs],Table_Process_Details[[#This Row],[Table Row]]))</f>
        <v>#N/A</v>
      </c>
      <c r="DL85" s="126" t="e">
        <f ca="1">SUM(OFFSET(Table_Process_Details['[Mass Net (kg) per kg API'] of Unique Inputs Sorted by '[Mass Net (kg) per kg API']],0,0,Table_Process_Details[[#This Row],[Table Row]]))</f>
        <v>#N/A</v>
      </c>
      <c r="DM85" s="126" t="e">
        <f ca="1">"("&amp;TEXT(Table_Process_Details[[#This Row],['[Mass Net (kg) per kg API'] of Unique Inputs Sorted by '[Mass Net (kg) per kg API']]]/SUMIF(Table_Process_Details['[Mass Net (kg) per kg API'] of Unique Inputs Sorted by '[Mass Net (kg) per kg API']],"&lt;&gt;#N/A"),"0%")&amp;")"</f>
        <v>#N/A</v>
      </c>
      <c r="DN85" s="126" t="e">
        <f ca="1">INDEX(Table_Process_Details[Total '[Mass Net (kg) per kg API'] of Unique Inputs (REAGENT)], MATCH(Table_Process_Details[[#This Row],[Unique Inputs Sorted by '[Mass Net (kg) per kg API']]],Table_Process_Details[Unique Process Inputs],0))</f>
        <v>#N/A</v>
      </c>
      <c r="DO85" s="126" t="e">
        <f ca="1">INDEX(Table_Process_Details[Total '[Mass Net (kg) per kg API'] of Unique Inputs (METAL)], MATCH(Table_Process_Details[[#This Row],[Unique Inputs Sorted by '[Mass Net (kg) per kg API']]],Table_Process_Details[Unique Process Inputs],0))</f>
        <v>#N/A</v>
      </c>
      <c r="DP85" s="126" t="e">
        <f ca="1">INDEX(Table_Process_Details[Total '[Mass Net (kg) per kg API'] of Unique Inputs (SOLVENT)], MATCH(Table_Process_Details[[#This Row],[Unique Inputs Sorted by '[Mass Net (kg) per kg API']]],Table_Process_Details[Unique Process Inputs],0))</f>
        <v>#N/A</v>
      </c>
      <c r="DQ85" s="126" t="e">
        <f ca="1">INDEX(Table_Process_Details[Total '[Mass Net (kg) per kg API'] of Unique Inputs (WATER)], MATCH(Table_Process_Details[[#This Row],[Unique Inputs Sorted by '[Mass Net (kg) per kg API']]],Table_Process_Details[Unique Process Inputs],0))</f>
        <v>#N/A</v>
      </c>
      <c r="DR85" s="126" t="e">
        <f ca="1">INDEX(Table_Process_Details[Total '[Mass Net (kg) per kg API'] of Unique Inputs (ENZ&amp;PLNT)], MATCH(Table_Process_Details[[#This Row],[Unique Inputs Sorted by '[Mass Net (kg) per kg API']]],Table_Process_Details[Unique Process Inputs],0))</f>
        <v>#N/A</v>
      </c>
      <c r="DS85" s="126" t="e">
        <f ca="1">INDEX(Table_Process_Details[Total '[Mass Net (kg) per kg API'] of Unique Inputs (OTHER)], MATCH(Table_Process_Details[[#This Row],[Unique Inputs Sorted by '[Mass Net (kg) per kg API']]],Table_Process_Details[Unique Process Inputs],0))</f>
        <v>#N/A</v>
      </c>
      <c r="DT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5" s="130">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5" s="131">
        <f ca="1">SUMIFS(Table_Process_Details[RV Energy (MJ) per kg API],Table_Process_Details[Display Name],Table_Process_Details[[#This Row],[Unique Process Inputs]],Table_Process_Details[Input or Output],"Input")</f>
        <v>0</v>
      </c>
      <c r="EB85" s="131">
        <f ca="1">SUMIFS(Table_Process_Details[RV Energy (MJ) per kg API (REAGENT)],Table_Process_Details[Display Name],Table_Process_Details[[#This Row],[Unique Process Inputs]],Table_Process_Details[Input or Output],"Input")</f>
        <v>0</v>
      </c>
      <c r="EC85" s="131">
        <f ca="1">SUMIFS(Table_Process_Details[RV Energy (MJ) per kg API (METAL)],Table_Process_Details[Display Name],Table_Process_Details[[#This Row],[Unique Process Inputs]],Table_Process_Details[Input or Output],"Input")</f>
        <v>0</v>
      </c>
      <c r="ED85" s="131">
        <f ca="1">SUMIFS(Table_Process_Details[RV Energy (MJ) per kg API (SOLVENT)],Table_Process_Details[Display Name],Table_Process_Details[[#This Row],[Unique Process Inputs]],Table_Process_Details[Input or Output],"Input")</f>
        <v>0</v>
      </c>
      <c r="EE85" s="131">
        <f ca="1">SUMIFS(Table_Process_Details[RV Energy (MJ) per kg API (WATER)],Table_Process_Details[Display Name],Table_Process_Details[[#This Row],[Unique Process Inputs]],Table_Process_Details[Input or Output],"Input")</f>
        <v>0</v>
      </c>
      <c r="EF85" s="131">
        <f ca="1">SUMIFS(Table_Process_Details[RV Energy (MJ) per kg API (ENZ&amp;PLNT)],Table_Process_Details[Display Name],Table_Process_Details[[#This Row],[Unique Process Inputs]],Table_Process_Details[Input or Output],"Input")</f>
        <v>0</v>
      </c>
      <c r="EG85" s="131">
        <f ca="1">SUMIFS(Table_Process_Details[RV Energy (MJ) per kg API (OTHER)],Table_Process_Details[Display Name],Table_Process_Details[[#This Row],[Unique Process Inputs]],Table_Process_Details[Input or Output],"Input")</f>
        <v>0</v>
      </c>
      <c r="EH85" s="131" t="e">
        <f ca="1">INDEX(Table_Process_Details[Unique Process Inputs],MATCH(Table_Process_Details[[#This Row],['[Energy (MJ) per kg API'] of Unique Inputs Sorted by '[Energy (MJ) per kg API']]],Table_Process_Details[Total '[Energy (MJ) per kg API'] of Unique Inputs],0))</f>
        <v>#N/A</v>
      </c>
      <c r="EI85" s="126" t="e">
        <f ca="1">IF(LARGE(Table_Process_Details[Total '[Energy (MJ) per kg API'] of Unique Inputs],Table_Process_Details[[#This Row],[Table Row]])=0,NA(),LARGE(Table_Process_Details[Total '[Energy (MJ) per kg API'] of Unique Inputs],Table_Process_Details[[#This Row],[Table Row]]))</f>
        <v>#N/A</v>
      </c>
      <c r="EJ85" s="126" t="e">
        <f ca="1">SUM(OFFSET(Table_Process_Details['[Energy (MJ) per kg API'] of Unique Inputs Sorted by '[Energy (MJ) per kg API']],0,0,Table_Process_Details[[#This Row],[Table Row]]))</f>
        <v>#N/A</v>
      </c>
      <c r="EK85" s="126" t="e">
        <f ca="1">"("&amp;TEXT(Table_Process_Details[[#This Row],['[Energy (MJ) per kg API'] of Unique Inputs Sorted by '[Energy (MJ) per kg API']]]/SUMIF(Table_Process_Details['[Energy (MJ) per kg API'] of Unique Inputs Sorted by '[Energy (MJ) per kg API']],"&lt;&gt;#N/A"),"0%")&amp;")"</f>
        <v>#N/A</v>
      </c>
      <c r="EL85" s="126" t="e">
        <f ca="1">INDEX(Table_Process_Details[Total '[Energy (MJ) per kg API'] of Unique Inputs (REAGENT)], MATCH(Table_Process_Details[[#This Row],[Unique Inputs Sorted by '[Energy (MJ) per kg API']]],Table_Process_Details[Unique Process Inputs],0))</f>
        <v>#N/A</v>
      </c>
      <c r="EM85" s="126" t="e">
        <f ca="1">INDEX(Table_Process_Details[Total '[Energy (MJ) per kg API'] of Unique Inputs (METAL)], MATCH(Table_Process_Details[[#This Row],[Unique Inputs Sorted by '[Energy (MJ) per kg API']]],Table_Process_Details[Unique Process Inputs],0))</f>
        <v>#N/A</v>
      </c>
      <c r="EN85" s="126" t="e">
        <f ca="1">INDEX(Table_Process_Details[Total '[Energy (MJ) per kg API'] of Unique Inputs (SOLVENT)], MATCH(Table_Process_Details[[#This Row],[Unique Inputs Sorted by '[Energy (MJ) per kg API']]],Table_Process_Details[Unique Process Inputs],0))</f>
        <v>#N/A</v>
      </c>
      <c r="EO85" s="126" t="e">
        <f ca="1">INDEX(Table_Process_Details[Total '[Energy (MJ) per kg API'] of Unique Inputs (WATER)], MATCH(Table_Process_Details[[#This Row],[Unique Inputs Sorted by '[Energy (MJ) per kg API']]],Table_Process_Details[Unique Process Inputs],0))</f>
        <v>#N/A</v>
      </c>
      <c r="EP85" s="126" t="e">
        <f ca="1">INDEX(Table_Process_Details[Total '[Energy (MJ) per kg API'] of Unique Inputs (ENZ&amp;PLNT)], MATCH(Table_Process_Details[[#This Row],[Unique Inputs Sorted by '[Energy (MJ) per kg API']]],Table_Process_Details[Unique Process Inputs],0))</f>
        <v>#N/A</v>
      </c>
      <c r="EQ85" s="126" t="e">
        <f ca="1">INDEX(Table_Process_Details[Total '[Energy (MJ) per kg API'] of Unique Inputs (OTHER)], MATCH(Table_Process_Details[[#This Row],[Unique Inputs Sorted by '[Energy (MJ) per kg API']]],Table_Process_Details[Unique Process Inputs],0))</f>
        <v>#N/A</v>
      </c>
      <c r="ER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5" s="130">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5" s="126">
        <f ca="1">SUMIFS(Table_Process_Details[RV GWP (kg CO2 equiv.) per kg API],Table_Process_Details[Display Name],Table_Process_Details[[#This Row],[Unique Process Inputs]],Table_Process_Details[Input or Output],"Input")</f>
        <v>0</v>
      </c>
      <c r="EZ85" s="131">
        <f ca="1">SUMIFS(Table_Process_Details[RV GWP (kg CO2 equiv.) per kg API (REAGENT)],Table_Process_Details[Display Name],Table_Process_Details[[#This Row],[Unique Process Inputs]],Table_Process_Details[Input or Output],"Input")</f>
        <v>0</v>
      </c>
      <c r="FA85" s="131">
        <f ca="1">SUMIFS(Table_Process_Details[RV GWP (kg CO2 equiv.) per kg API (METAL)],Table_Process_Details[Display Name],Table_Process_Details[[#This Row],[Unique Process Inputs]],Table_Process_Details[Input or Output],"Input")</f>
        <v>0</v>
      </c>
      <c r="FB85" s="131">
        <f ca="1">SUMIFS(Table_Process_Details[RV GWP (kg CO2 equiv.) per kg API (SOLVENT)],Table_Process_Details[Display Name],Table_Process_Details[[#This Row],[Unique Process Inputs]],Table_Process_Details[Input or Output],"Input")</f>
        <v>0</v>
      </c>
      <c r="FC85" s="131">
        <f ca="1">SUMIFS(Table_Process_Details[RV GWP (kg CO2 equiv.) per kg API (WATER)],Table_Process_Details[Display Name],Table_Process_Details[[#This Row],[Unique Process Inputs]],Table_Process_Details[Input or Output],"Input")</f>
        <v>0</v>
      </c>
      <c r="FD85" s="131">
        <f ca="1">SUMIFS(Table_Process_Details[RV GWP (kg CO2 equiv.) per kg API (ENZ&amp;PLNT)],Table_Process_Details[Display Name],Table_Process_Details[[#This Row],[Unique Process Inputs]],Table_Process_Details[Input or Output],"Input")</f>
        <v>0</v>
      </c>
      <c r="FE85" s="131">
        <f ca="1">SUMIFS(Table_Process_Details[RV GWP (kg CO2 equiv.) per kg API (OTHER)],Table_Process_Details[Display Name],Table_Process_Details[[#This Row],[Unique Process Inputs]],Table_Process_Details[Input or Output],"Input")</f>
        <v>0</v>
      </c>
      <c r="FF85" s="126" t="e">
        <f ca="1">INDEX(Table_Process_Details[Unique Process Inputs],MATCH(Table_Process_Details[[#This Row],['[GWP (kg CO2 equiv.) per kg API'] of Unique Inputs Sorted by '[GWP (kg CO2 equiv.) per kg API']]],Table_Process_Details[Total '[GWP (kg CO2 equiv.) per kg API'] of Unique Inputs],0))</f>
        <v>#N/A</v>
      </c>
      <c r="FG85" s="126" t="e">
        <f ca="1">IF(LARGE(Table_Process_Details[Total '[GWP (kg CO2 equiv.) per kg API'] of Unique Inputs],Table_Process_Details[[#This Row],[Table Row]])=0,NA(),LARGE(Table_Process_Details[Total '[GWP (kg CO2 equiv.) per kg API'] of Unique Inputs],Table_Process_Details[[#This Row],[Table Row]]))</f>
        <v>#N/A</v>
      </c>
      <c r="FH85" s="126" t="e">
        <f ca="1">SUM(OFFSET(Table_Process_Details['[GWP (kg CO2 equiv.) per kg API'] of Unique Inputs Sorted by '[GWP (kg CO2 equiv.) per kg API']],0,0,Table_Process_Details[[#This Row],[Table Row]]))</f>
        <v>#N/A</v>
      </c>
      <c r="FI85" s="126" t="e">
        <f ca="1">"("&amp;TEXT(Table_Process_Details[[#This Row],['[GWP (kg CO2 equiv.) per kg API'] of Unique Inputs Sorted by '[GWP (kg CO2 equiv.) per kg API']]]/SUMIF(Table_Process_Details['[GWP (kg CO2 equiv.) per kg API'] of Unique Inputs Sorted by '[GWP (kg CO2 equiv.) per kg API']],"&lt;&gt;#N/A"),"0%")&amp;")"</f>
        <v>#N/A</v>
      </c>
      <c r="FJ85" s="126" t="e">
        <f ca="1">INDEX(Table_Process_Details[Total '[GWP (kg CO2 equiv.) per kg API'] of Unique Inputs (REAGENT)], MATCH(Table_Process_Details[[#This Row],[Unique Inputs Sorted by '[GWP (kg CO2 equiv.) per kg API']]],Table_Process_Details[Unique Process Inputs],0))</f>
        <v>#N/A</v>
      </c>
      <c r="FK85" s="126" t="e">
        <f ca="1">INDEX(Table_Process_Details[Total '[GWP (kg CO2 equiv.) per kg API'] of Unique Inputs (METAL)], MATCH(Table_Process_Details[[#This Row],[Unique Inputs Sorted by '[GWP (kg CO2 equiv.) per kg API']]],Table_Process_Details[Unique Process Inputs],0))</f>
        <v>#N/A</v>
      </c>
      <c r="FL85" s="126" t="e">
        <f ca="1">INDEX(Table_Process_Details[Total '[GWP (kg CO2 equiv.) per kg API'] of Unique Inputs (SOLVENT)], MATCH(Table_Process_Details[[#This Row],[Unique Inputs Sorted by '[GWP (kg CO2 equiv.) per kg API']]],Table_Process_Details[Unique Process Inputs],0))</f>
        <v>#N/A</v>
      </c>
      <c r="FM85" s="126" t="e">
        <f ca="1">INDEX(Table_Process_Details[Total '[GWP (kg CO2 equiv.) per kg API'] of Unique Inputs (WATER)], MATCH(Table_Process_Details[[#This Row],[Unique Inputs Sorted by '[GWP (kg CO2 equiv.) per kg API']]],Table_Process_Details[Unique Process Inputs],0))</f>
        <v>#N/A</v>
      </c>
      <c r="FN85" s="126" t="e">
        <f ca="1">INDEX(Table_Process_Details[Total '[GWP (kg CO2 equiv.) per kg API'] of Unique Inputs (ENZ&amp;PLNT)], MATCH(Table_Process_Details[[#This Row],[Unique Inputs Sorted by '[GWP (kg CO2 equiv.) per kg API']]],Table_Process_Details[Unique Process Inputs],0))</f>
        <v>#N/A</v>
      </c>
      <c r="FO85" s="126" t="e">
        <f ca="1">INDEX(Table_Process_Details[Total '[GWP (kg CO2 equiv.) per kg API'] of Unique Inputs (OTHER)], MATCH(Table_Process_Details[[#This Row],[Unique Inputs Sorted by '[GWP (kg CO2 equiv.) per kg API']]],Table_Process_Details[Unique Process Inputs],0))</f>
        <v>#N/A</v>
      </c>
      <c r="FP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5" s="130">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5" s="126">
        <f ca="1">SUMIFS(Table_Process_Details[RV Acidification (kg SO2 equiv.) per kg API],Table_Process_Details[Display Name],Table_Process_Details[[#This Row],[Unique Process Inputs]],Table_Process_Details[Input or Output],"Input")</f>
        <v>0</v>
      </c>
      <c r="FX85" s="131">
        <f ca="1">SUMIFS(Table_Process_Details[RV Acidification (kg SO2 equiv.) per kg API (REAGENT)],Table_Process_Details[Display Name],Table_Process_Details[[#This Row],[Unique Process Inputs]],Table_Process_Details[Input or Output],"Input")</f>
        <v>0</v>
      </c>
      <c r="FY85" s="131">
        <f ca="1">SUMIFS(Table_Process_Details[RV Acidification (kg SO2 equiv.) per kg API (METAL)],Table_Process_Details[Display Name],Table_Process_Details[[#This Row],[Unique Process Inputs]],Table_Process_Details[Input or Output],"Input")</f>
        <v>0</v>
      </c>
      <c r="FZ85" s="131">
        <f ca="1">SUMIFS(Table_Process_Details[RV Acidification (kg SO2 equiv.) per kg API (SOLVENT)],Table_Process_Details[Display Name],Table_Process_Details[[#This Row],[Unique Process Inputs]],Table_Process_Details[Input or Output],"Input")</f>
        <v>0</v>
      </c>
      <c r="GA85" s="131">
        <f ca="1">SUMIFS(Table_Process_Details[RV Acidification (kg SO2 equiv.) per kg API (WATER)],Table_Process_Details[Display Name],Table_Process_Details[[#This Row],[Unique Process Inputs]],Table_Process_Details[Input or Output],"Input")</f>
        <v>0</v>
      </c>
      <c r="GB85" s="131">
        <f ca="1">SUMIFS(Table_Process_Details[RV Acidification (kg SO2 equiv.) per kg API (ENZ&amp;PLNT)],Table_Process_Details[Display Name],Table_Process_Details[[#This Row],[Unique Process Inputs]],Table_Process_Details[Input or Output],"Input")</f>
        <v>0</v>
      </c>
      <c r="GC85" s="131">
        <f ca="1">SUMIFS(Table_Process_Details[RV Acidification (kg SO2 equiv.) per kg API (OTHER)],Table_Process_Details[Display Name],Table_Process_Details[[#This Row],[Unique Process Inputs]],Table_Process_Details[Input or Output],"Input")</f>
        <v>0</v>
      </c>
      <c r="GD85" s="126"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5" s="126" t="e">
        <f ca="1">IF(LARGE(Table_Process_Details[Total '[Acidification (kg SO2 equiv.) per kg API'] of Unique Inputs],Table_Process_Details[[#This Row],[Table Row]])=0,NA(),LARGE(Table_Process_Details[Total '[Acidification (kg SO2 equiv.) per kg API'] of Unique Inputs],Table_Process_Details[[#This Row],[Table Row]]))</f>
        <v>#N/A</v>
      </c>
      <c r="GF85" s="126" t="e">
        <f ca="1">SUM(OFFSET(Table_Process_Details['[Acidification (kg SO2 equiv.) per kg API'] of Unique Inputs Sorted by '[Acidification (kg SO2 equiv.) per kg API']],0,0,Table_Process_Details[[#This Row],[Table Row]]))</f>
        <v>#N/A</v>
      </c>
      <c r="GG85" s="126"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5" s="126" t="e">
        <f ca="1">INDEX(Table_Process_Details[Total '[Acidification (kg SO2 equiv.) per kg API'] of Unique Inputs (REAGENT)], MATCH(Table_Process_Details[[#This Row],[Unique Inputs Sorted by '[Acidification (kg SO2 equiv.) per kg API']]],Table_Process_Details[Unique Process Inputs],0))</f>
        <v>#N/A</v>
      </c>
      <c r="GI85" s="126" t="e">
        <f ca="1">INDEX(Table_Process_Details[Total '[Acidification (kg SO2 equiv.) per kg API'] of Unique Inputs (METAL)], MATCH(Table_Process_Details[[#This Row],[Unique Inputs Sorted by '[Acidification (kg SO2 equiv.) per kg API']]],Table_Process_Details[Unique Process Inputs],0))</f>
        <v>#N/A</v>
      </c>
      <c r="GJ85" s="126" t="e">
        <f ca="1">INDEX(Table_Process_Details[Total '[Acidification (kg SO2 equiv.) per kg API'] of Unique Inputs (SOLVENT)], MATCH(Table_Process_Details[[#This Row],[Unique Inputs Sorted by '[Acidification (kg SO2 equiv.) per kg API']]],Table_Process_Details[Unique Process Inputs],0))</f>
        <v>#N/A</v>
      </c>
      <c r="GK85" s="126" t="e">
        <f ca="1">INDEX(Table_Process_Details[Total '[Acidification (kg SO2 equiv.) per kg API'] of Unique Inputs (WATER)], MATCH(Table_Process_Details[[#This Row],[Unique Inputs Sorted by '[Acidification (kg SO2 equiv.) per kg API']]],Table_Process_Details[Unique Process Inputs],0))</f>
        <v>#N/A</v>
      </c>
      <c r="GL85" s="126" t="e">
        <f ca="1">INDEX(Table_Process_Details[Total '[Acidification (kg SO2 equiv.) per kg API'] of Unique Inputs (ENZ&amp;PLNT)], MATCH(Table_Process_Details[[#This Row],[Unique Inputs Sorted by '[Acidification (kg SO2 equiv.) per kg API']]],Table_Process_Details[Unique Process Inputs],0))</f>
        <v>#N/A</v>
      </c>
      <c r="GM85" s="126" t="e">
        <f ca="1">INDEX(Table_Process_Details[Total '[Acidification (kg SO2 equiv.) per kg API'] of Unique Inputs (OTHER)], MATCH(Table_Process_Details[[#This Row],[Unique Inputs Sorted by '[Acidification (kg SO2 equiv.) per kg API']]],Table_Process_Details[Unique Process Inputs],0))</f>
        <v>#N/A</v>
      </c>
      <c r="GN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5" s="130">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5" s="126">
        <f ca="1">SUMIFS(Table_Process_Details[RV Eutrophication (kg phosphate equiv.) per kg API],Table_Process_Details[Display Name],Table_Process_Details[[#This Row],[Unique Process Inputs]],Table_Process_Details[Input or Output],"Input")</f>
        <v>0</v>
      </c>
      <c r="GV85" s="131">
        <f ca="1">SUMIFS(Table_Process_Details[RV Eutrophication (kg phosphate equiv.) per kg API (REAGENT)],Table_Process_Details[Display Name],Table_Process_Details[[#This Row],[Unique Process Inputs]],Table_Process_Details[Input or Output],"Input")</f>
        <v>0</v>
      </c>
      <c r="GW85" s="131">
        <f ca="1">SUMIFS(Table_Process_Details[RV Eutrophication (kg phosphate equiv.) per kg API (METAL)],Table_Process_Details[Display Name],Table_Process_Details[[#This Row],[Unique Process Inputs]],Table_Process_Details[Input or Output],"Input")</f>
        <v>0</v>
      </c>
      <c r="GX85" s="131">
        <f ca="1">SUMIFS(Table_Process_Details[RV Eutrophication (kg phosphate equiv.) per kg API (SOLVENT)],Table_Process_Details[Display Name],Table_Process_Details[[#This Row],[Unique Process Inputs]],Table_Process_Details[Input or Output],"Input")</f>
        <v>0</v>
      </c>
      <c r="GY85" s="131">
        <f ca="1">SUMIFS(Table_Process_Details[RV Eutrophication (kg phosphate equiv.) per kg API (WATER)],Table_Process_Details[Display Name],Table_Process_Details[[#This Row],[Unique Process Inputs]],Table_Process_Details[Input or Output],"Input")</f>
        <v>0</v>
      </c>
      <c r="GZ85" s="131">
        <f ca="1">SUMIFS(Table_Process_Details[RV Eutrophication (kg phosphate equiv.) per kg API (ENZ&amp;PLNT)],Table_Process_Details[Display Name],Table_Process_Details[[#This Row],[Unique Process Inputs]],Table_Process_Details[Input or Output],"Input")</f>
        <v>0</v>
      </c>
      <c r="HA85" s="131">
        <f ca="1">SUMIFS(Table_Process_Details[RV Eutrophication (kg phosphate equiv.) per kg API (OTHER)],Table_Process_Details[Display Name],Table_Process_Details[[#This Row],[Unique Process Inputs]],Table_Process_Details[Input or Output],"Input")</f>
        <v>0</v>
      </c>
      <c r="HB85" s="126"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5" s="126"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5" s="126" t="e">
        <f ca="1">SUM(OFFSET(Table_Process_Details['[Eutrophication (kg posphate equiv.) per kg API'] of Unique Inputs Sorted by '[Eutrophication (kg posphate equiv.) per kg API']],0,0,Table_Process_Details[[#This Row],[Table Row]]))</f>
        <v>#N/A</v>
      </c>
      <c r="HE85" s="126"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5" s="131" t="e">
        <f ca="1">INDEX(Table_Process_Details[Total '[Eutrophication (kg posphate equiv.) per kg API'] of Unique Inputs (REAGENT)], MATCH(Table_Process_Details[[#This Row],[Unique Inputs Sorted by '[Eutrophication (kg posphate equiv.) per kg API']]],Table_Process_Details[Unique Process Inputs],0))</f>
        <v>#N/A</v>
      </c>
      <c r="HG85" s="131" t="e">
        <f ca="1">INDEX(Table_Process_Details[Total '[Eutrophication (kg posphate equiv.) per kg API'] of Unique Inputs (METAL)], MATCH(Table_Process_Details[[#This Row],[Unique Inputs Sorted by '[Eutrophication (kg posphate equiv.) per kg API']]],Table_Process_Details[Unique Process Inputs],0))</f>
        <v>#N/A</v>
      </c>
      <c r="HH85" s="131" t="e">
        <f ca="1">INDEX(Table_Process_Details[Total '[Eutrophication (kg posphate equiv.) per kg API'] of Unique Inputs (SOLVENT)], MATCH(Table_Process_Details[[#This Row],[Unique Inputs Sorted by '[Eutrophication (kg posphate equiv.) per kg API']]],Table_Process_Details[Unique Process Inputs],0))</f>
        <v>#N/A</v>
      </c>
      <c r="HI85" s="131" t="e">
        <f ca="1">INDEX(Table_Process_Details[Total '[Eutrophication (kg posphate equiv.) per kg API'] of Unique Inputs (WATER)], MATCH(Table_Process_Details[[#This Row],[Unique Inputs Sorted by '[Eutrophication (kg posphate equiv.) per kg API']]],Table_Process_Details[Unique Process Inputs],0))</f>
        <v>#N/A</v>
      </c>
      <c r="HJ85" s="131" t="e">
        <f ca="1">INDEX(Table_Process_Details[Total '[Eutrophication (kg posphate equiv.) per kg API'] of Unique Inputs (ENZ&amp;PLNT)], MATCH(Table_Process_Details[[#This Row],[Unique Inputs Sorted by '[Eutrophication (kg posphate equiv.) per kg API']]],Table_Process_Details[Unique Process Inputs],0))</f>
        <v>#N/A</v>
      </c>
      <c r="HK85" s="131" t="e">
        <f ca="1">INDEX(Table_Process_Details[Total '[Eutrophication (kg posphate equiv.) per kg API'] of Unique Inputs (OTHER)], MATCH(Table_Process_Details[[#This Row],[Unique Inputs Sorted by '[Eutrophication (kg posphate equiv.) per kg API']]],Table_Process_Details[Unique Process Inputs],0))</f>
        <v>#N/A</v>
      </c>
      <c r="HL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5" s="130">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5" s="131">
        <f ca="1">SUMIFS(Table_Process_Details[RV Water (kg) per kg API],Table_Process_Details[Display Name],Table_Process_Details[[#This Row],[Unique Process Inputs]],Table_Process_Details[Input or Output],"Input")</f>
        <v>0</v>
      </c>
      <c r="HT85" s="131">
        <f ca="1">SUMIFS(Table_Process_Details[RV Water (kg) per kg API (REAGENT)],Table_Process_Details[Display Name],Table_Process_Details[[#This Row],[Unique Process Inputs]],Table_Process_Details[Input or Output],"Input")</f>
        <v>0</v>
      </c>
      <c r="HU85" s="131">
        <f ca="1">SUMIFS(Table_Process_Details[RV Water (kg) per kg API (METAL)],Table_Process_Details[Display Name],Table_Process_Details[[#This Row],[Unique Process Inputs]],Table_Process_Details[Input or Output],"Input")</f>
        <v>0</v>
      </c>
      <c r="HV85" s="131">
        <f ca="1">SUMIFS(Table_Process_Details[RV Water (kg) per kg API (SOLVENT)],Table_Process_Details[Display Name],Table_Process_Details[[#This Row],[Unique Process Inputs]],Table_Process_Details[Input or Output],"Input")</f>
        <v>0</v>
      </c>
      <c r="HW85" s="131">
        <f ca="1">SUMIFS(Table_Process_Details[RV Water (kg) per kg API (WATER)],Table_Process_Details[Display Name],Table_Process_Details[[#This Row],[Unique Process Inputs]],Table_Process_Details[Input or Output],"Input")</f>
        <v>0</v>
      </c>
      <c r="HX85" s="131">
        <f ca="1">SUMIFS(Table_Process_Details[RV Water (kg) per kg API (ENZ&amp;PLNT)],Table_Process_Details[Display Name],Table_Process_Details[[#This Row],[Unique Process Inputs]],Table_Process_Details[Input or Output],"Input")</f>
        <v>0</v>
      </c>
      <c r="HY85" s="131">
        <f ca="1">SUMIFS(Table_Process_Details[RV Water (kg) per kg API (OTHER)],Table_Process_Details[Display Name],Table_Process_Details[[#This Row],[Unique Process Inputs]],Table_Process_Details[Input or Output],"Input")</f>
        <v>0</v>
      </c>
      <c r="HZ85" s="126" t="e">
        <f ca="1">INDEX(Table_Process_Details[Unique Process Inputs],MATCH(Table_Process_Details[[#This Row],['[Water (kg) per kg API'] of Unique Inputs Sorted by '[Water (kg) per kg API']]],Table_Process_Details[Total '[Water (kg) per kg API'] of Unique Inputs],0))</f>
        <v>#N/A</v>
      </c>
      <c r="IA85" s="126" t="e">
        <f ca="1">IF(LARGE(Table_Process_Details[Total '[Water (kg) per kg API'] of Unique Inputs],Table_Process_Details[[#This Row],[Table Row]])=0,NA(),LARGE(Table_Process_Details[Total '[Water (kg) per kg API'] of Unique Inputs],Table_Process_Details[[#This Row],[Table Row]]))</f>
        <v>#N/A</v>
      </c>
      <c r="IB85" s="131" t="e">
        <f ca="1">SUM(OFFSET(Table_Process_Details['[Water (kg) per kg API'] of Unique Inputs Sorted by '[Water (kg) per kg API']],0,0,Table_Process_Details[[#This Row],[Table Row]]))</f>
        <v>#N/A</v>
      </c>
      <c r="IC85" s="131" t="e">
        <f ca="1">"("&amp;TEXT(Table_Process_Details[[#This Row],['[Water (kg) per kg API'] of Unique Inputs Sorted by '[Water (kg) per kg API']]]/SUMIF(Table_Process_Details['[Water (kg) per kg API'] of Unique Inputs Sorted by '[Water (kg) per kg API']],"&lt;&gt;#N/A"),"0%")&amp;")"</f>
        <v>#N/A</v>
      </c>
      <c r="ID85" s="131" t="e">
        <f ca="1">INDEX(Table_Process_Details[Total '[Water (kg) per kg API'] of Unique Inputs (REAGENT)], MATCH(Table_Process_Details[[#This Row],[Unique Inputs Sorted by '[Water (kg) per kg API']]],Table_Process_Details[Unique Process Inputs],0))</f>
        <v>#N/A</v>
      </c>
      <c r="IE85" s="131" t="e">
        <f ca="1">INDEX(Table_Process_Details[Total '[Water (kg) per kg API'] of Unique Inputs (METAL)], MATCH(Table_Process_Details[[#This Row],[Unique Inputs Sorted by '[Water (kg) per kg API']]],Table_Process_Details[Unique Process Inputs],0))</f>
        <v>#N/A</v>
      </c>
      <c r="IF85" s="131" t="e">
        <f ca="1">INDEX(Table_Process_Details[Total '[Water (kg) per kg API'] of Unique Inputs (SOLVENT)], MATCH(Table_Process_Details[[#This Row],[Unique Inputs Sorted by '[Water (kg) per kg API']]],Table_Process_Details[Unique Process Inputs],0))</f>
        <v>#N/A</v>
      </c>
      <c r="IG85" s="131" t="e">
        <f ca="1">INDEX(Table_Process_Details[Total '[Water (kg) per kg API'] of Unique Inputs (WATER)], MATCH(Table_Process_Details[[#This Row],[Unique Inputs Sorted by '[Water (kg) per kg API']]],Table_Process_Details[Unique Process Inputs],0))</f>
        <v>#N/A</v>
      </c>
      <c r="IH85" s="131" t="e">
        <f ca="1">INDEX(Table_Process_Details[Total '[Water (kg) per kg API'] of Unique Inputs (ENZ&amp;PLNT)], MATCH(Table_Process_Details[[#This Row],[Unique Inputs Sorted by '[Water (kg) per kg API']]],Table_Process_Details[Unique Process Inputs],0))</f>
        <v>#N/A</v>
      </c>
      <c r="II85" s="131" t="e">
        <f ca="1">INDEX(Table_Process_Details[Total '[Water (kg) per kg API'] of Unique Inputs (OTHER)], MATCH(Table_Process_Details[[#This Row],[Unique Inputs Sorted by '[Water (kg) per kg API']]],Table_Process_Details[Unique Process Inputs],0))</f>
        <v>#N/A</v>
      </c>
    </row>
    <row r="86" spans="1:243" customFormat="1" x14ac:dyDescent="0.25">
      <c r="A86" s="22" t="str">
        <f>'1. Define Process Steps'!A25</f>
        <v>4) Synthesis of Intermediate (4)</v>
      </c>
      <c r="B86" s="21" t="s">
        <v>4</v>
      </c>
      <c r="C86" s="21" t="s">
        <v>170</v>
      </c>
      <c r="D86" s="22" t="str">
        <f>A73</f>
        <v>3) Synthesis of Intermediate (3)</v>
      </c>
      <c r="E86" s="22" t="str">
        <f>E73</f>
        <v>Intermediate (3)</v>
      </c>
      <c r="F86" s="26">
        <v>45</v>
      </c>
      <c r="G86" s="26"/>
      <c r="H86" s="26"/>
      <c r="I86" s="26"/>
      <c r="J86" s="26" t="str">
        <f>INDEX(Process_Steps[Reference],MATCH(Table_Process_Details[[#This Row],[Step Name]],Process_Steps[Name],0))</f>
        <v>Penultimate Reference Document</v>
      </c>
      <c r="K86" s="27" t="str">
        <f>INDEX(Process_Steps[Real or Virtual?],MATCH(Table_Process_Details[[#This Row],[Step Name]],Process_Steps[Name],0))</f>
        <v>Real</v>
      </c>
      <c r="L8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86" s="26">
        <f>INDEX(Table_Process_Details[Physical Mass (kg)],MATCH(1,INDEX(((Table_Process_Details[Step Name]=Table_Process_Details[[#This Row],[Step Name]])*(Table_Process_Details[Input or Output]="Output")),0),0))</f>
        <v>54.49</v>
      </c>
      <c r="O86" s="29">
        <f ca="1">INDEX(Process_Steps[Step Scale Factor for 1kg Packaged API],MATCH(Table_Process_Details[[#This Row],[Step Name]],Process_Steps[Name],0))</f>
        <v>2.2022389429253091E-2</v>
      </c>
      <c r="P8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16.5</v>
      </c>
      <c r="Q8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4.5</v>
      </c>
      <c r="R86" s="26">
        <f ca="1">_xlfn.SWITCH(Run_Reset_PNG,"Reset",Table_Process_Details[[#This Row],[X Init]],"Run",Table_Process_Details[[#This Row],[X Moved]],"Freeze",Table_Process_Details[[#This Row],[X Mover]])</f>
        <v>18.186176302773106</v>
      </c>
      <c r="S86" s="26">
        <f ca="1">_xlfn.SWITCH(Run_Reset_PNG,"Reset",Table_Process_Details[[#This Row],[Y Init]],"Run",Table_Process_Details[[#This Row],[Y Moved]],"Freeze",Table_Process_Details[[#This Row],[Y Mover]])</f>
        <v>4.521487294719587</v>
      </c>
      <c r="T86" s="26" cm="1">
        <f t="array" aca="1" ref="T8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3.8071970191361859</v>
      </c>
      <c r="U86" s="26" cm="1">
        <f t="array" aca="1" ref="U8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-1.9757319740839401</v>
      </c>
      <c r="V86" s="26" cm="1">
        <f t="array" aca="1" ref="V86" ca="1">SUM(--(SQRT((Table_Process_Details[[#This Row],[X Mover]]-Table_Process_Details[X Mover])^2+(Table_Process_Details[[#This Row],[Y Mover]]-Table_Process_Details[Y Mover])^2)&lt;Collision_Distance))</f>
        <v>18</v>
      </c>
      <c r="W86" s="26" cm="1">
        <f t="array" aca="1" ref="W8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-0.30652869944342326</v>
      </c>
      <c r="X86" s="26" cm="1">
        <f t="array" aca="1" ref="X8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0.20883275638120136</v>
      </c>
      <c r="Y86" s="26" cm="1">
        <f t="array" aca="1" ref="Y8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86" s="26">
        <f>0</f>
        <v>0</v>
      </c>
      <c r="AA86" s="26">
        <f>0</f>
        <v>0</v>
      </c>
      <c r="AB8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-9.0930881513865529</v>
      </c>
      <c r="AC86" s="26" cm="1">
        <f t="array" aca="1" ref="AC8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-2.2607436473597935</v>
      </c>
      <c r="AD86" s="26">
        <f>MIN(1,COUNTA(Table_Process_Details[[#This Row],[target x]]),COUNTA(Table_Process_Details[[#This Row],[target y]]))*COUNTA(Table_Process_Details[Step Name])</f>
        <v>98</v>
      </c>
      <c r="AE8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18.1516362847693</v>
      </c>
      <c r="AF8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4.4930719727329178</v>
      </c>
      <c r="AG8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86" s="26" cm="1">
        <f t="array" aca="1" ref="AH86" ca="1">INDEX(Table_Process_Details[X Mover],MATCH(1,INDEX((Table_Process_Details[Input or Output]="Output")*(Table_Process_Details[Step Name]=Table_Process_Details[[#This Row],[Step Name]])*(Table_Process_Details[[#This Row],[Input or Output]]="Input"),0),0))</f>
        <v>19.635390140975865</v>
      </c>
      <c r="AI86" s="26" cm="1">
        <f t="array" aca="1" ref="AI86" ca="1">INDEX(Table_Process_Details[Y Mover],MATCH(1,INDEX((Table_Process_Details[Input or Output]="Output")*(Table_Process_Details[Step Name]=Table_Process_Details[[#This Row],[Step Name]])*(Table_Process_Details[[#This Row],[Input or Output]]="Input"),0),0))</f>
        <v>-1.0304434005151315</v>
      </c>
      <c r="AJ86" s="26">
        <f ca="1">SQRT((Table_Process_Details[[#This Row],[X End (To Node Center)]]-Table_Process_Details[[#This Row],[X Guide]])^2+(Table_Process_Details[[#This Row],[Y End (to Node Center)]]-Table_Process_Details[[#This Row],[Y Guide]])^2)</f>
        <v>5.7379574060398735</v>
      </c>
      <c r="AK86" s="26" cm="1">
        <f t="array" aca="1" ref="AK86" ca="1">INDEX(Table_Process_Details[X Mover],MATCH(1,INDEX((Table_Process_Details[Step Name]=Table_Process_Details[[#This Row],[LCA Data Source Subclass]])*(Table_Process_Details[Input or Output]="Output"),0)*(Table_Process_Details[[#This Row],[Input or Output]]="Input"),0))</f>
        <v>15.707298460481789</v>
      </c>
      <c r="AL86" s="26" cm="1">
        <f t="array" aca="1" ref="AL86" ca="1">INDEX(Table_Process_Details[X Mover],MATCH(1,INDEX(((Table_Process_Details[Table Row]=Table_Process_Details[[#This Row],[Table Row]])*(1)),0)*(Table_Process_Details[[#This Row],[Input or Output]]="Input"),0))</f>
        <v>18.186176302773106</v>
      </c>
      <c r="AM86" s="26" cm="1">
        <f t="array" aca="1" ref="AM86" ca="1">(Table_Process_Details[[#This Row],[X End (To Node Center)]]*Table_Process_Details[[#This Row],[r0]]-Table_Process_Details[[#This Row],[X End (To Node Center)]]*Arrow_Offset+Table_Process_Details[[#This Row],[X Guide]]*Arrow_Offset)/Table_Process_Details[[#This Row],[r0]]</f>
        <v>19.433337217170291</v>
      </c>
      <c r="AN86" s="26">
        <f ca="1">IF(NOT(Table_Process_Details[[#This Row],[Display As]]="None"),Table_Process_Details[[#This Row],[X Start Prefilter]],NA())</f>
        <v>15.707298460481789</v>
      </c>
      <c r="AO86" s="26">
        <f ca="1">IF(NOT(Table_Process_Details[[#This Row],[Display As]]="None"),Table_Process_Details[[#This Row],[X Guide Prefilter]],NA())</f>
        <v>18.186176302773106</v>
      </c>
      <c r="AP86" s="26">
        <f ca="1">IF(NOT(Table_Process_Details[[#This Row],[Display As]]="None"),Table_Process_Details[[#This Row],[X End (to Stop Radius) Prefilter]],NA())</f>
        <v>19.433337217170291</v>
      </c>
      <c r="AQ86" s="26" t="e">
        <f>NA()</f>
        <v>#N/A</v>
      </c>
      <c r="AR86" s="26" cm="1">
        <f t="array" aca="1" ref="AR86" ca="1">INDEX(Table_Process_Details[Y Mover],MATCH(1,INDEX((Table_Process_Details[Step Name]=Table_Process_Details[[#This Row],[LCA Data Source Subclass]])*(Table_Process_Details[Input or Output]="Output"),0)*(Table_Process_Details[[#This Row],[Input or Output]]="Input"),0))</f>
        <v>10.348961867752488</v>
      </c>
      <c r="AS86" s="26" cm="1">
        <f t="array" aca="1" ref="AS86" ca="1">INDEX(Table_Process_Details[Y Mover],MATCH(1,INDEX(((Table_Process_Details[Table Row]=Table_Process_Details[[#This Row],[Table Row]])*(1)),0)*(Table_Process_Details[[#This Row],[Input or Output]]="Input"),0))</f>
        <v>4.521487294719587</v>
      </c>
      <c r="AT86" s="26" cm="1">
        <f t="array" aca="1" ref="AT86" ca="1">(Table_Process_Details[[#This Row],[Y Guide]]*Arrow_Offset-Table_Process_Details[[#This Row],[Y End (to Node Center)]]*Arrow_Offset+Table_Process_Details[[#This Row],[Y End (to Node Center)]]*Table_Process_Details[[#This Row],[r0]])/Table_Process_Details[[#This Row],[r0]]</f>
        <v>-0.2563796977221256</v>
      </c>
      <c r="AU86" s="26">
        <f ca="1">IF(NOT(Table_Process_Details[[#This Row],[Display As]]="None"),Table_Process_Details[[#This Row],[Y Start Prefilter]],NA())</f>
        <v>10.348961867752488</v>
      </c>
      <c r="AV86" s="26">
        <f ca="1">IF(NOT(Table_Process_Details[[#This Row],[Display As]]="None"),Table_Process_Details[[#This Row],[Y Guide Prefilter]],NA())</f>
        <v>4.521487294719587</v>
      </c>
      <c r="AW86" s="26">
        <f ca="1">IF(NOT(Table_Process_Details[[#This Row],[Display As]]="None"),Table_Process_Details[[#This Row],[Y End (to Stop Radius) Prefilter]],NA())</f>
        <v>-0.2563796977221256</v>
      </c>
      <c r="AX86" s="26" t="e">
        <f>NA()</f>
        <v>#N/A</v>
      </c>
      <c r="AY86" s="26" t="e">
        <f>IF(Table_Process_Details[[#This Row],[Display As]]="Real Step",Table_Process_Details[[#This Row],[X Mover]],NA())</f>
        <v>#N/A</v>
      </c>
      <c r="AZ86" s="26" t="e">
        <f>IF(Table_Process_Details[[#This Row],[Display As]]="Real Step",Table_Process_Details[[#This Row],[Y Mover]],NA())</f>
        <v>#N/A</v>
      </c>
      <c r="BA86" s="26" t="e">
        <f>IF(Table_Process_Details[[#This Row],[Display As]]="Raw Material",Table_Process_Details[[#This Row],[X Mover]],NA())</f>
        <v>#N/A</v>
      </c>
      <c r="BB86" s="26" t="e">
        <f>IF(Table_Process_Details[[#This Row],[Display As]]="Raw Material",Table_Process_Details[[#This Row],[Y Mover]],NA())</f>
        <v>#N/A</v>
      </c>
      <c r="BC86" s="26" t="e">
        <f>IF(OR(Table_Process_Details[[#This Row],[Display As]]="Real Step",Table_Process_Details[[#This Row],[Display As]]="Raw Material"),Table_Process_Details[[#This Row],[X Mover]],NA())</f>
        <v>#N/A</v>
      </c>
      <c r="BD86" s="26" t="e">
        <f>IF(OR(Table_Process_Details[[#This Row],[Display As]]="Real Step",Table_Process_Details[[#This Row],[Display As]]="Raw Material"),Table_Process_Details[[#This Row],[Y Mover]],NA())</f>
        <v>#N/A</v>
      </c>
      <c r="BE86" s="22">
        <f>ROW()-ROW(Table_Process_Details[[#Headers],[Table Row]])</f>
        <v>82</v>
      </c>
      <c r="BF86" s="23" t="e" cm="1">
        <f t="array" aca="1" ref="BF86" ca="1">INDEX(Table_Process_Details[Display Name],MATCH(0,IF(Table_Process_Details[Input or Output]="Input",INDEX(COUNTIF(OFFSET(Table_Process_Details[[#Headers],[Unique Process Inputs]],0,0,Table_Process_Details[[#This Row],[Table Row]],1),Table_Process_Details[Display Name]),),""),0))</f>
        <v>#N/A</v>
      </c>
      <c r="BG86" s="23">
        <f ca="1">Table_Process_Details[[#This Row],[Physical Mass (kg)]]*Table_Process_Details[[#This Row],[Step Scale Factor for 1kg Packaged API]]</f>
        <v>0.99100752431638905</v>
      </c>
      <c r="BH8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0.99999999999999323</v>
      </c>
      <c r="BI86" s="23">
        <f ca="1">MATCH(Table_Process_Details[[#This Row],[LCA Data Source Class]],INDIRECT(Table_Process_Details[[#This Row],[Input or Output]]),0)</f>
        <v>1</v>
      </c>
      <c r="BJ86" s="23">
        <f ca="1">MATCH(Table_Process_Details[[#This Row],[LCA Data Source Subclass]],INDIRECT(Table_Process_Details[[#This Row],[LCA Data Source Class]]&amp;"[Name]"),0)</f>
        <v>14</v>
      </c>
      <c r="BK86" s="23">
        <f ca="1">IFERROR(INDEX(INDIRECT(Table_Process_Details[[#This Row],[LCA Data Source Class]]&amp;"[Mass Net (kg)]"),MATCH(Table_Process_Details[[#This Row],[LCA Data Source Subclass]],INDIRECT(Table_Process_Details[[#This Row],[LCA Data Source Class]]&amp;"[Name]"),0)),0)</f>
        <v>0</v>
      </c>
      <c r="BL86" s="23">
        <f ca="1">IFERROR(INDEX(INDIRECT(Table_Process_Details[[#This Row],[LCA Data Source Class]]&amp;"[Energy (MJ)]"),MATCH(Table_Process_Details[[#This Row],[LCA Data Source Subclass]],INDIRECT(Table_Process_Details[[#This Row],[LCA Data Source Class]]&amp;"[Name]"),0)),0)</f>
        <v>0</v>
      </c>
      <c r="BM86" s="23">
        <f ca="1">IFERROR(INDEX(INDIRECT(Table_Process_Details[[#This Row],[LCA Data Source Class]]&amp;"[GWP (kg CO2 equiv.)]"),MATCH(Table_Process_Details[[#This Row],[LCA Data Source Subclass]],INDIRECT(Table_Process_Details[[#This Row],[LCA Data Source Class]]&amp;"[Name]"),0)),0)</f>
        <v>0</v>
      </c>
      <c r="BN86" s="23">
        <f ca="1">IFERROR(INDEX(INDIRECT(Table_Process_Details[[#This Row],[LCA Data Source Class]]&amp;"[Acidification (kg SO2 equiv.)]"),MATCH(Table_Process_Details[[#This Row],[LCA Data Source Subclass]],INDIRECT(Table_Process_Details[[#This Row],[LCA Data Source Class]]&amp;"[Name]"),0)),0)</f>
        <v>0</v>
      </c>
      <c r="BO86" s="23">
        <f ca="1">IFERROR(INDEX(INDIRECT(Table_Process_Details[[#This Row],[LCA Data Source Class]]&amp;"[Eutrophication (kg posphate equiv.)]"),MATCH(Table_Process_Details[[#This Row],[LCA Data Source Subclass]],INDIRECT(Table_Process_Details[[#This Row],[LCA Data Source Class]]&amp;"[Name]"),0)),0)</f>
        <v>0</v>
      </c>
      <c r="BP86" s="23">
        <f ca="1">IFERROR(INDEX(INDIRECT(Table_Process_Details[[#This Row],[LCA Data Source Class]]&amp;"[Water (kg)]"),MATCH(Table_Process_Details[[#This Row],[LCA Data Source Subclass]],INDIRECT(Table_Process_Details[[#This Row],[LCA Data Source Class]]&amp;"[Name]"),0)),0)</f>
        <v>0</v>
      </c>
      <c r="BQ86" s="27">
        <f ca="1">(Table_Process_Details[[#This Row],[Input or Output]]="Input")*(Table_Process_Details[[#This Row],[LCA Data Source Class]]&lt;&gt;"Process_Steps")*Table_Process_Details[[#This Row],[Scaled Physical Mass per kg API for All Inputs &amp; Outputs]]</f>
        <v>0</v>
      </c>
      <c r="BR86" s="27">
        <f ca="1">(Table_Process_Details[[#This Row],[Material Class]]="REAGENT")*Table_Process_Details[[#This Row],[Physical Mass per kg API]]</f>
        <v>0</v>
      </c>
      <c r="BS86" s="27">
        <f ca="1">(Table_Process_Details[[#This Row],[Material Class]]="METAL")*Table_Process_Details[[#This Row],[Physical Mass per kg API]]</f>
        <v>0</v>
      </c>
      <c r="BT86" s="27">
        <f ca="1">(Table_Process_Details[[#This Row],[Material Class]]="SOLVENT")*Table_Process_Details[[#This Row],[Physical Mass per kg API]]</f>
        <v>0</v>
      </c>
      <c r="BU86" s="27">
        <f ca="1">(Table_Process_Details[[#This Row],[Material Class]]="WATER")*Table_Process_Details[[#This Row],[Physical Mass per kg API]]</f>
        <v>0</v>
      </c>
      <c r="BV86" s="27">
        <f ca="1">(Table_Process_Details[[#This Row],[Material Class]]="ENZ&amp;PLNT")*Table_Process_Details[[#This Row],[Physical Mass per kg API]]</f>
        <v>0</v>
      </c>
      <c r="BW86" s="27">
        <f ca="1">(Table_Process_Details[[#This Row],[Material Class]]="OTHER")*Table_Process_Details[[#This Row],[Physical Mass per kg API]]</f>
        <v>0</v>
      </c>
      <c r="BX8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8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8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8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6" s="1">
        <f ca="1">SUMIFS(Table_Process_Details[RV Physical Mass per kg API],Table_Process_Details[Display Name],Table_Process_Details[[#This Row],[Unique Process Inputs]],Table_Process_Details[Input or Output],"Input")</f>
        <v>0</v>
      </c>
      <c r="CF86" s="1">
        <f ca="1">SUMIFS(Table_Process_Details[RV Physical Mass per kg API (REAGENT)],Table_Process_Details[Display Name],Table_Process_Details[[#This Row],[Unique Process Inputs]],Table_Process_Details[Input or Output],"Input")</f>
        <v>0</v>
      </c>
      <c r="CG86" s="1">
        <f ca="1">SUMIFS(Table_Process_Details[RV Physical Mass per kg API (METAL)],Table_Process_Details[Display Name],Table_Process_Details[[#This Row],[Unique Process Inputs]],Table_Process_Details[Input or Output],"Input")</f>
        <v>0</v>
      </c>
      <c r="CH86" s="1">
        <f ca="1">SUMIFS(Table_Process_Details[RV Physical Mass per kg API (SOLVENT)],Table_Process_Details[Display Name],Table_Process_Details[[#This Row],[Unique Process Inputs]],Table_Process_Details[Input or Output],"Input")</f>
        <v>0</v>
      </c>
      <c r="CI86" s="1">
        <f ca="1">SUMIFS(Table_Process_Details[RV Physical Mass per kg API (WATER)],Table_Process_Details[Display Name],Table_Process_Details[[#This Row],[Unique Process Inputs]],Table_Process_Details[Input or Output],"Input")</f>
        <v>0</v>
      </c>
      <c r="CJ86" s="1">
        <f ca="1">SUMIFS(Table_Process_Details[RV Physical Mass per kg API (ENZ&amp;PLNT)],Table_Process_Details[Display Name],Table_Process_Details[[#This Row],[Unique Process Inputs]],Table_Process_Details[Input or Output],"Input")</f>
        <v>0</v>
      </c>
      <c r="CK86" s="1">
        <f ca="1">SUMIFS(Table_Process_Details[RV Physical Mass per kg API (OTHER)],Table_Process_Details[Display Name],Table_Process_Details[[#This Row],[Unique Process Inputs]],Table_Process_Details[Input or Output],"Input")</f>
        <v>0</v>
      </c>
      <c r="CL86" s="22" t="e">
        <f ca="1">INDEX(Table_Process_Details[Unique Process Inputs],MATCH(Table_Process_Details[[#This Row],['[Physical Mass per kg API'] of Unique Inputs Sorted by '[Physical Mass per kg API']]],Table_Process_Details[Total '[Physical Mass per kg API'] of Unique Inputs],0))</f>
        <v>#N/A</v>
      </c>
      <c r="CM86" s="22" t="e">
        <f ca="1">IF(LARGE(Table_Process_Details[Total '[Physical Mass per kg API'] of Unique Inputs],Table_Process_Details[[#This Row],[Table Row]])=0,NA(),LARGE(Table_Process_Details[Total '[Physical Mass per kg API'] of Unique Inputs],Table_Process_Details[[#This Row],[Table Row]]))</f>
        <v>#N/A</v>
      </c>
      <c r="CN86" s="22" t="e">
        <f ca="1">SUM(OFFSET(Table_Process_Details['[Physical Mass per kg API'] of Unique Inputs Sorted by '[Physical Mass per kg API']],0,0,Table_Process_Details[[#This Row],[Table Row]]))</f>
        <v>#N/A</v>
      </c>
      <c r="CO86" s="22" t="e">
        <f ca="1">"("&amp;TEXT(Table_Process_Details[[#This Row],['[Physical Mass per kg API'] of Unique Inputs Sorted by '[Physical Mass per kg API']]]/SUMIF(Table_Process_Details['[Physical Mass per kg API'] of Unique Inputs Sorted by '[Physical Mass per kg API']],"&lt;&gt;#N/A"),"0%")&amp;")"</f>
        <v>#N/A</v>
      </c>
      <c r="CP86" s="22" t="e">
        <f ca="1">INDEX(Table_Process_Details[Total '[Physical Mass per kg API'] of Unique Inputs (REAGENT)],MATCH(Table_Process_Details[[#This Row],[Unique Inputs Sorted by '[Physical Mass per kg API']]],Table_Process_Details[Unique Process Inputs],0))</f>
        <v>#N/A</v>
      </c>
      <c r="CQ86" s="22" t="e">
        <f ca="1">INDEX(Table_Process_Details[Total '[Physical Mass per kg API'] of Unique Inputs (METAL)],MATCH(Table_Process_Details[[#This Row],[Unique Inputs Sorted by '[Physical Mass per kg API']]],Table_Process_Details[Unique Process Inputs],0))</f>
        <v>#N/A</v>
      </c>
      <c r="CR86" s="22" t="e">
        <f ca="1">INDEX(Table_Process_Details[Total '[Physical Mass per kg API'] of Unique Inputs (SOLVENT)],MATCH(Table_Process_Details[[#This Row],[Unique Inputs Sorted by '[Physical Mass per kg API']]],Table_Process_Details[Unique Process Inputs],0))</f>
        <v>#N/A</v>
      </c>
      <c r="CS86" s="22" t="e">
        <f ca="1">INDEX(Table_Process_Details[Total '[Physical Mass per kg API'] of Unique Inputs (WATER)],MATCH(Table_Process_Details[[#This Row],[Unique Inputs Sorted by '[Physical Mass per kg API']]],Table_Process_Details[Unique Process Inputs],0))</f>
        <v>#N/A</v>
      </c>
      <c r="CT86" s="22" t="e">
        <f ca="1">INDEX(Table_Process_Details[Total '[Physical Mass per kg API'] of Unique Inputs (ENZ&amp;PLNT)],MATCH(Table_Process_Details[[#This Row],[Unique Inputs Sorted by '[Physical Mass per kg API']]],Table_Process_Details[Unique Process Inputs],0))</f>
        <v>#N/A</v>
      </c>
      <c r="CU86" s="22" t="e">
        <f ca="1">INDEX(Table_Process_Details[Total '[Physical Mass per kg API'] of Unique Inputs (OTHER)],MATCH(Table_Process_Details[[#This Row],[Unique Inputs Sorted by '[Physical Mass per kg API']]],Table_Process_Details[Unique Process Inputs],0))</f>
        <v>#N/A</v>
      </c>
      <c r="CV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6" s="22">
        <f ca="1">SUMIFS(Table_Process_Details[RV Mass Net (kg) per kg API],Table_Process_Details[Display Name],Table_Process_Details[[#This Row],[Unique Process Inputs]],Table_Process_Details[Input or Output],"Input")</f>
        <v>0</v>
      </c>
      <c r="DD86" s="22">
        <f ca="1">SUMIFS(Table_Process_Details[RV Mass Net (kg) per kg API (REAGENT)],Table_Process_Details[Display Name],Table_Process_Details[[#This Row],[Unique Process Inputs]],Table_Process_Details[Input or Output],"Input")</f>
        <v>0</v>
      </c>
      <c r="DE86" s="22">
        <f ca="1">SUMIFS(Table_Process_Details[RV Mass Net (kg) per kg API (METAL)],Table_Process_Details[Display Name],Table_Process_Details[[#This Row],[Unique Process Inputs]],Table_Process_Details[Input or Output],"Input")</f>
        <v>0</v>
      </c>
      <c r="DF86" s="22">
        <f ca="1">SUMIFS(Table_Process_Details[RV Mass Net (kg) per kg API (SOLVENT)],Table_Process_Details[Display Name],Table_Process_Details[[#This Row],[Unique Process Inputs]],Table_Process_Details[Input or Output],"Input")</f>
        <v>0</v>
      </c>
      <c r="DG86" s="22">
        <f ca="1">SUMIFS(Table_Process_Details[RV Mass Net (kg) per kg API (WATER)],Table_Process_Details[Display Name],Table_Process_Details[[#This Row],[Unique Process Inputs]],Table_Process_Details[Input or Output],"Input")</f>
        <v>0</v>
      </c>
      <c r="DH86" s="22">
        <f ca="1">SUMIFS(Table_Process_Details[RV Mass Net (kg) per kg API (ENZ&amp;PLNT)],Table_Process_Details[Display Name],Table_Process_Details[[#This Row],[Unique Process Inputs]],Table_Process_Details[Input or Output],"Input")</f>
        <v>0</v>
      </c>
      <c r="DI86" s="22">
        <f ca="1">SUMIFS(Table_Process_Details[RV Mass Net (kg) per kg API (OTHER)],Table_Process_Details[Display Name],Table_Process_Details[[#This Row],[Unique Process Inputs]],Table_Process_Details[Input or Output],"Input")</f>
        <v>0</v>
      </c>
      <c r="DJ86" s="22" t="e">
        <f ca="1">INDEX(Table_Process_Details[Unique Process Inputs],MATCH(Table_Process_Details[[#This Row],['[Mass Net (kg) per kg API'] of Unique Inputs Sorted by '[Mass Net (kg) per kg API']]],Table_Process_Details[Total '[Mass Net (kg) per kg API'] of Unique Inputs],0))</f>
        <v>#N/A</v>
      </c>
      <c r="DK86" s="22" t="e">
        <f ca="1">IF(LARGE(Table_Process_Details[Total '[Mass Net (kg) per kg API'] of Unique Inputs],Table_Process_Details[[#This Row],[Table Row]])=0,NA(),LARGE(Table_Process_Details[Total '[Mass Net (kg) per kg API'] of Unique Inputs],Table_Process_Details[[#This Row],[Table Row]]))</f>
        <v>#N/A</v>
      </c>
      <c r="DL86" s="22" t="e">
        <f ca="1">SUM(OFFSET(Table_Process_Details['[Mass Net (kg) per kg API'] of Unique Inputs Sorted by '[Mass Net (kg) per kg API']],0,0,Table_Process_Details[[#This Row],[Table Row]]))</f>
        <v>#N/A</v>
      </c>
      <c r="DM86" s="22" t="e">
        <f ca="1">"("&amp;TEXT(Table_Process_Details[[#This Row],['[Mass Net (kg) per kg API'] of Unique Inputs Sorted by '[Mass Net (kg) per kg API']]]/SUMIF(Table_Process_Details['[Mass Net (kg) per kg API'] of Unique Inputs Sorted by '[Mass Net (kg) per kg API']],"&lt;&gt;#N/A"),"0%")&amp;")"</f>
        <v>#N/A</v>
      </c>
      <c r="DN86" s="22" t="e">
        <f ca="1">INDEX(Table_Process_Details[Total '[Mass Net (kg) per kg API'] of Unique Inputs (REAGENT)], MATCH(Table_Process_Details[[#This Row],[Unique Inputs Sorted by '[Mass Net (kg) per kg API']]],Table_Process_Details[Unique Process Inputs],0))</f>
        <v>#N/A</v>
      </c>
      <c r="DO86" s="22" t="e">
        <f ca="1">INDEX(Table_Process_Details[Total '[Mass Net (kg) per kg API'] of Unique Inputs (METAL)], MATCH(Table_Process_Details[[#This Row],[Unique Inputs Sorted by '[Mass Net (kg) per kg API']]],Table_Process_Details[Unique Process Inputs],0))</f>
        <v>#N/A</v>
      </c>
      <c r="DP86" s="22" t="e">
        <f ca="1">INDEX(Table_Process_Details[Total '[Mass Net (kg) per kg API'] of Unique Inputs (SOLVENT)], MATCH(Table_Process_Details[[#This Row],[Unique Inputs Sorted by '[Mass Net (kg) per kg API']]],Table_Process_Details[Unique Process Inputs],0))</f>
        <v>#N/A</v>
      </c>
      <c r="DQ86" s="22" t="e">
        <f ca="1">INDEX(Table_Process_Details[Total '[Mass Net (kg) per kg API'] of Unique Inputs (WATER)], MATCH(Table_Process_Details[[#This Row],[Unique Inputs Sorted by '[Mass Net (kg) per kg API']]],Table_Process_Details[Unique Process Inputs],0))</f>
        <v>#N/A</v>
      </c>
      <c r="DR86" s="22" t="e">
        <f ca="1">INDEX(Table_Process_Details[Total '[Mass Net (kg) per kg API'] of Unique Inputs (ENZ&amp;PLNT)], MATCH(Table_Process_Details[[#This Row],[Unique Inputs Sorted by '[Mass Net (kg) per kg API']]],Table_Process_Details[Unique Process Inputs],0))</f>
        <v>#N/A</v>
      </c>
      <c r="DS86" s="22" t="e">
        <f ca="1">INDEX(Table_Process_Details[Total '[Mass Net (kg) per kg API'] of Unique Inputs (OTHER)], MATCH(Table_Process_Details[[#This Row],[Unique Inputs Sorted by '[Mass Net (kg) per kg API']]],Table_Process_Details[Unique Process Inputs],0))</f>
        <v>#N/A</v>
      </c>
      <c r="DT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6" s="1">
        <f ca="1">SUMIFS(Table_Process_Details[RV Energy (MJ) per kg API],Table_Process_Details[Display Name],Table_Process_Details[[#This Row],[Unique Process Inputs]],Table_Process_Details[Input or Output],"Input")</f>
        <v>0</v>
      </c>
      <c r="EB86" s="1">
        <f ca="1">SUMIFS(Table_Process_Details[RV Energy (MJ) per kg API (REAGENT)],Table_Process_Details[Display Name],Table_Process_Details[[#This Row],[Unique Process Inputs]],Table_Process_Details[Input or Output],"Input")</f>
        <v>0</v>
      </c>
      <c r="EC86" s="1">
        <f ca="1">SUMIFS(Table_Process_Details[RV Energy (MJ) per kg API (METAL)],Table_Process_Details[Display Name],Table_Process_Details[[#This Row],[Unique Process Inputs]],Table_Process_Details[Input or Output],"Input")</f>
        <v>0</v>
      </c>
      <c r="ED86" s="1">
        <f ca="1">SUMIFS(Table_Process_Details[RV Energy (MJ) per kg API (SOLVENT)],Table_Process_Details[Display Name],Table_Process_Details[[#This Row],[Unique Process Inputs]],Table_Process_Details[Input or Output],"Input")</f>
        <v>0</v>
      </c>
      <c r="EE86" s="1">
        <f ca="1">SUMIFS(Table_Process_Details[RV Energy (MJ) per kg API (WATER)],Table_Process_Details[Display Name],Table_Process_Details[[#This Row],[Unique Process Inputs]],Table_Process_Details[Input or Output],"Input")</f>
        <v>0</v>
      </c>
      <c r="EF86" s="1">
        <f ca="1">SUMIFS(Table_Process_Details[RV Energy (MJ) per kg API (ENZ&amp;PLNT)],Table_Process_Details[Display Name],Table_Process_Details[[#This Row],[Unique Process Inputs]],Table_Process_Details[Input or Output],"Input")</f>
        <v>0</v>
      </c>
      <c r="EG86" s="1">
        <f ca="1">SUMIFS(Table_Process_Details[RV Energy (MJ) per kg API (OTHER)],Table_Process_Details[Display Name],Table_Process_Details[[#This Row],[Unique Process Inputs]],Table_Process_Details[Input or Output],"Input")</f>
        <v>0</v>
      </c>
      <c r="EH86" s="1" t="e">
        <f ca="1">INDEX(Table_Process_Details[Unique Process Inputs],MATCH(Table_Process_Details[[#This Row],['[Energy (MJ) per kg API'] of Unique Inputs Sorted by '[Energy (MJ) per kg API']]],Table_Process_Details[Total '[Energy (MJ) per kg API'] of Unique Inputs],0))</f>
        <v>#N/A</v>
      </c>
      <c r="EI86" s="22" t="e">
        <f ca="1">IF(LARGE(Table_Process_Details[Total '[Energy (MJ) per kg API'] of Unique Inputs],Table_Process_Details[[#This Row],[Table Row]])=0,NA(),LARGE(Table_Process_Details[Total '[Energy (MJ) per kg API'] of Unique Inputs],Table_Process_Details[[#This Row],[Table Row]]))</f>
        <v>#N/A</v>
      </c>
      <c r="EJ86" s="22" t="e">
        <f ca="1">SUM(OFFSET(Table_Process_Details['[Energy (MJ) per kg API'] of Unique Inputs Sorted by '[Energy (MJ) per kg API']],0,0,Table_Process_Details[[#This Row],[Table Row]]))</f>
        <v>#N/A</v>
      </c>
      <c r="EK86" s="22" t="e">
        <f ca="1">"("&amp;TEXT(Table_Process_Details[[#This Row],['[Energy (MJ) per kg API'] of Unique Inputs Sorted by '[Energy (MJ) per kg API']]]/SUMIF(Table_Process_Details['[Energy (MJ) per kg API'] of Unique Inputs Sorted by '[Energy (MJ) per kg API']],"&lt;&gt;#N/A"),"0%")&amp;")"</f>
        <v>#N/A</v>
      </c>
      <c r="EL86" s="22" t="e">
        <f ca="1">INDEX(Table_Process_Details[Total '[Energy (MJ) per kg API'] of Unique Inputs (REAGENT)], MATCH(Table_Process_Details[[#This Row],[Unique Inputs Sorted by '[Energy (MJ) per kg API']]],Table_Process_Details[Unique Process Inputs],0))</f>
        <v>#N/A</v>
      </c>
      <c r="EM86" s="22" t="e">
        <f ca="1">INDEX(Table_Process_Details[Total '[Energy (MJ) per kg API'] of Unique Inputs (METAL)], MATCH(Table_Process_Details[[#This Row],[Unique Inputs Sorted by '[Energy (MJ) per kg API']]],Table_Process_Details[Unique Process Inputs],0))</f>
        <v>#N/A</v>
      </c>
      <c r="EN86" s="22" t="e">
        <f ca="1">INDEX(Table_Process_Details[Total '[Energy (MJ) per kg API'] of Unique Inputs (SOLVENT)], MATCH(Table_Process_Details[[#This Row],[Unique Inputs Sorted by '[Energy (MJ) per kg API']]],Table_Process_Details[Unique Process Inputs],0))</f>
        <v>#N/A</v>
      </c>
      <c r="EO86" s="22" t="e">
        <f ca="1">INDEX(Table_Process_Details[Total '[Energy (MJ) per kg API'] of Unique Inputs (WATER)], MATCH(Table_Process_Details[[#This Row],[Unique Inputs Sorted by '[Energy (MJ) per kg API']]],Table_Process_Details[Unique Process Inputs],0))</f>
        <v>#N/A</v>
      </c>
      <c r="EP86" s="22" t="e">
        <f ca="1">INDEX(Table_Process_Details[Total '[Energy (MJ) per kg API'] of Unique Inputs (ENZ&amp;PLNT)], MATCH(Table_Process_Details[[#This Row],[Unique Inputs Sorted by '[Energy (MJ) per kg API']]],Table_Process_Details[Unique Process Inputs],0))</f>
        <v>#N/A</v>
      </c>
      <c r="EQ86" s="22" t="e">
        <f ca="1">INDEX(Table_Process_Details[Total '[Energy (MJ) per kg API'] of Unique Inputs (OTHER)], MATCH(Table_Process_Details[[#This Row],[Unique Inputs Sorted by '[Energy (MJ) per kg API']]],Table_Process_Details[Unique Process Inputs],0))</f>
        <v>#N/A</v>
      </c>
      <c r="ER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6" s="22">
        <f ca="1">SUMIFS(Table_Process_Details[RV GWP (kg CO2 equiv.) per kg API],Table_Process_Details[Display Name],Table_Process_Details[[#This Row],[Unique Process Inputs]],Table_Process_Details[Input or Output],"Input")</f>
        <v>0</v>
      </c>
      <c r="EZ86" s="1">
        <f ca="1">SUMIFS(Table_Process_Details[RV GWP (kg CO2 equiv.) per kg API (REAGENT)],Table_Process_Details[Display Name],Table_Process_Details[[#This Row],[Unique Process Inputs]],Table_Process_Details[Input or Output],"Input")</f>
        <v>0</v>
      </c>
      <c r="FA86" s="1">
        <f ca="1">SUMIFS(Table_Process_Details[RV GWP (kg CO2 equiv.) per kg API (METAL)],Table_Process_Details[Display Name],Table_Process_Details[[#This Row],[Unique Process Inputs]],Table_Process_Details[Input or Output],"Input")</f>
        <v>0</v>
      </c>
      <c r="FB86" s="1">
        <f ca="1">SUMIFS(Table_Process_Details[RV GWP (kg CO2 equiv.) per kg API (SOLVENT)],Table_Process_Details[Display Name],Table_Process_Details[[#This Row],[Unique Process Inputs]],Table_Process_Details[Input or Output],"Input")</f>
        <v>0</v>
      </c>
      <c r="FC86" s="1">
        <f ca="1">SUMIFS(Table_Process_Details[RV GWP (kg CO2 equiv.) per kg API (WATER)],Table_Process_Details[Display Name],Table_Process_Details[[#This Row],[Unique Process Inputs]],Table_Process_Details[Input or Output],"Input")</f>
        <v>0</v>
      </c>
      <c r="FD86" s="1">
        <f ca="1">SUMIFS(Table_Process_Details[RV GWP (kg CO2 equiv.) per kg API (ENZ&amp;PLNT)],Table_Process_Details[Display Name],Table_Process_Details[[#This Row],[Unique Process Inputs]],Table_Process_Details[Input or Output],"Input")</f>
        <v>0</v>
      </c>
      <c r="FE86" s="1">
        <f ca="1">SUMIFS(Table_Process_Details[RV GWP (kg CO2 equiv.) per kg API (OTHER)],Table_Process_Details[Display Name],Table_Process_Details[[#This Row],[Unique Process Inputs]],Table_Process_Details[Input or Output],"Input")</f>
        <v>0</v>
      </c>
      <c r="FF86" s="22" t="e">
        <f ca="1">INDEX(Table_Process_Details[Unique Process Inputs],MATCH(Table_Process_Details[[#This Row],['[GWP (kg CO2 equiv.) per kg API'] of Unique Inputs Sorted by '[GWP (kg CO2 equiv.) per kg API']]],Table_Process_Details[Total '[GWP (kg CO2 equiv.) per kg API'] of Unique Inputs],0))</f>
        <v>#N/A</v>
      </c>
      <c r="FG86" s="22" t="e">
        <f ca="1">IF(LARGE(Table_Process_Details[Total '[GWP (kg CO2 equiv.) per kg API'] of Unique Inputs],Table_Process_Details[[#This Row],[Table Row]])=0,NA(),LARGE(Table_Process_Details[Total '[GWP (kg CO2 equiv.) per kg API'] of Unique Inputs],Table_Process_Details[[#This Row],[Table Row]]))</f>
        <v>#N/A</v>
      </c>
      <c r="FH86" s="22" t="e">
        <f ca="1">SUM(OFFSET(Table_Process_Details['[GWP (kg CO2 equiv.) per kg API'] of Unique Inputs Sorted by '[GWP (kg CO2 equiv.) per kg API']],0,0,Table_Process_Details[[#This Row],[Table Row]]))</f>
        <v>#N/A</v>
      </c>
      <c r="FI86" s="22" t="e">
        <f ca="1">"("&amp;TEXT(Table_Process_Details[[#This Row],['[GWP (kg CO2 equiv.) per kg API'] of Unique Inputs Sorted by '[GWP (kg CO2 equiv.) per kg API']]]/SUMIF(Table_Process_Details['[GWP (kg CO2 equiv.) per kg API'] of Unique Inputs Sorted by '[GWP (kg CO2 equiv.) per kg API']],"&lt;&gt;#N/A"),"0%")&amp;")"</f>
        <v>#N/A</v>
      </c>
      <c r="FJ86" s="22" t="e">
        <f ca="1">INDEX(Table_Process_Details[Total '[GWP (kg CO2 equiv.) per kg API'] of Unique Inputs (REAGENT)], MATCH(Table_Process_Details[[#This Row],[Unique Inputs Sorted by '[GWP (kg CO2 equiv.) per kg API']]],Table_Process_Details[Unique Process Inputs],0))</f>
        <v>#N/A</v>
      </c>
      <c r="FK86" s="22" t="e">
        <f ca="1">INDEX(Table_Process_Details[Total '[GWP (kg CO2 equiv.) per kg API'] of Unique Inputs (METAL)], MATCH(Table_Process_Details[[#This Row],[Unique Inputs Sorted by '[GWP (kg CO2 equiv.) per kg API']]],Table_Process_Details[Unique Process Inputs],0))</f>
        <v>#N/A</v>
      </c>
      <c r="FL86" s="22" t="e">
        <f ca="1">INDEX(Table_Process_Details[Total '[GWP (kg CO2 equiv.) per kg API'] of Unique Inputs (SOLVENT)], MATCH(Table_Process_Details[[#This Row],[Unique Inputs Sorted by '[GWP (kg CO2 equiv.) per kg API']]],Table_Process_Details[Unique Process Inputs],0))</f>
        <v>#N/A</v>
      </c>
      <c r="FM86" s="22" t="e">
        <f ca="1">INDEX(Table_Process_Details[Total '[GWP (kg CO2 equiv.) per kg API'] of Unique Inputs (WATER)], MATCH(Table_Process_Details[[#This Row],[Unique Inputs Sorted by '[GWP (kg CO2 equiv.) per kg API']]],Table_Process_Details[Unique Process Inputs],0))</f>
        <v>#N/A</v>
      </c>
      <c r="FN86" s="22" t="e">
        <f ca="1">INDEX(Table_Process_Details[Total '[GWP (kg CO2 equiv.) per kg API'] of Unique Inputs (ENZ&amp;PLNT)], MATCH(Table_Process_Details[[#This Row],[Unique Inputs Sorted by '[GWP (kg CO2 equiv.) per kg API']]],Table_Process_Details[Unique Process Inputs],0))</f>
        <v>#N/A</v>
      </c>
      <c r="FO86" s="22" t="e">
        <f ca="1">INDEX(Table_Process_Details[Total '[GWP (kg CO2 equiv.) per kg API'] of Unique Inputs (OTHER)], MATCH(Table_Process_Details[[#This Row],[Unique Inputs Sorted by '[GWP (kg CO2 equiv.) per kg API']]],Table_Process_Details[Unique Process Inputs],0))</f>
        <v>#N/A</v>
      </c>
      <c r="FP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6" s="22">
        <f ca="1">SUMIFS(Table_Process_Details[RV Acidification (kg SO2 equiv.) per kg API],Table_Process_Details[Display Name],Table_Process_Details[[#This Row],[Unique Process Inputs]],Table_Process_Details[Input or Output],"Input")</f>
        <v>0</v>
      </c>
      <c r="FX86" s="1">
        <f ca="1">SUMIFS(Table_Process_Details[RV Acidification (kg SO2 equiv.) per kg API (REAGENT)],Table_Process_Details[Display Name],Table_Process_Details[[#This Row],[Unique Process Inputs]],Table_Process_Details[Input or Output],"Input")</f>
        <v>0</v>
      </c>
      <c r="FY86" s="1">
        <f ca="1">SUMIFS(Table_Process_Details[RV Acidification (kg SO2 equiv.) per kg API (METAL)],Table_Process_Details[Display Name],Table_Process_Details[[#This Row],[Unique Process Inputs]],Table_Process_Details[Input or Output],"Input")</f>
        <v>0</v>
      </c>
      <c r="FZ86" s="1">
        <f ca="1">SUMIFS(Table_Process_Details[RV Acidification (kg SO2 equiv.) per kg API (SOLVENT)],Table_Process_Details[Display Name],Table_Process_Details[[#This Row],[Unique Process Inputs]],Table_Process_Details[Input or Output],"Input")</f>
        <v>0</v>
      </c>
      <c r="GA86" s="1">
        <f ca="1">SUMIFS(Table_Process_Details[RV Acidification (kg SO2 equiv.) per kg API (WATER)],Table_Process_Details[Display Name],Table_Process_Details[[#This Row],[Unique Process Inputs]],Table_Process_Details[Input or Output],"Input")</f>
        <v>0</v>
      </c>
      <c r="GB86" s="1">
        <f ca="1">SUMIFS(Table_Process_Details[RV Acidification (kg SO2 equiv.) per kg API (ENZ&amp;PLNT)],Table_Process_Details[Display Name],Table_Process_Details[[#This Row],[Unique Process Inputs]],Table_Process_Details[Input or Output],"Input")</f>
        <v>0</v>
      </c>
      <c r="GC86" s="1">
        <f ca="1">SUMIFS(Table_Process_Details[RV Acidification (kg SO2 equiv.) per kg API (OTHER)],Table_Process_Details[Display Name],Table_Process_Details[[#This Row],[Unique Process Inputs]],Table_Process_Details[Input or Output],"Input")</f>
        <v>0</v>
      </c>
      <c r="GD86"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6"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6" s="22" t="e">
        <f ca="1">SUM(OFFSET(Table_Process_Details['[Acidification (kg SO2 equiv.) per kg API'] of Unique Inputs Sorted by '[Acidification (kg SO2 equiv.) per kg API']],0,0,Table_Process_Details[[#This Row],[Table Row]]))</f>
        <v>#N/A</v>
      </c>
      <c r="GG86"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6" s="22" t="e">
        <f ca="1">INDEX(Table_Process_Details[Total '[Acidification (kg SO2 equiv.) per kg API'] of Unique Inputs (REAGENT)], MATCH(Table_Process_Details[[#This Row],[Unique Inputs Sorted by '[Acidification (kg SO2 equiv.) per kg API']]],Table_Process_Details[Unique Process Inputs],0))</f>
        <v>#N/A</v>
      </c>
      <c r="GI86" s="22" t="e">
        <f ca="1">INDEX(Table_Process_Details[Total '[Acidification (kg SO2 equiv.) per kg API'] of Unique Inputs (METAL)], MATCH(Table_Process_Details[[#This Row],[Unique Inputs Sorted by '[Acidification (kg SO2 equiv.) per kg API']]],Table_Process_Details[Unique Process Inputs],0))</f>
        <v>#N/A</v>
      </c>
      <c r="GJ86" s="22" t="e">
        <f ca="1">INDEX(Table_Process_Details[Total '[Acidification (kg SO2 equiv.) per kg API'] of Unique Inputs (SOLVENT)], MATCH(Table_Process_Details[[#This Row],[Unique Inputs Sorted by '[Acidification (kg SO2 equiv.) per kg API']]],Table_Process_Details[Unique Process Inputs],0))</f>
        <v>#N/A</v>
      </c>
      <c r="GK86" s="22" t="e">
        <f ca="1">INDEX(Table_Process_Details[Total '[Acidification (kg SO2 equiv.) per kg API'] of Unique Inputs (WATER)], MATCH(Table_Process_Details[[#This Row],[Unique Inputs Sorted by '[Acidification (kg SO2 equiv.) per kg API']]],Table_Process_Details[Unique Process Inputs],0))</f>
        <v>#N/A</v>
      </c>
      <c r="GL86" s="22" t="e">
        <f ca="1">INDEX(Table_Process_Details[Total '[Acidification (kg SO2 equiv.) per kg API'] of Unique Inputs (ENZ&amp;PLNT)], MATCH(Table_Process_Details[[#This Row],[Unique Inputs Sorted by '[Acidification (kg SO2 equiv.) per kg API']]],Table_Process_Details[Unique Process Inputs],0))</f>
        <v>#N/A</v>
      </c>
      <c r="GM86" s="22" t="e">
        <f ca="1">INDEX(Table_Process_Details[Total '[Acidification (kg SO2 equiv.) per kg API'] of Unique Inputs (OTHER)], MATCH(Table_Process_Details[[#This Row],[Unique Inputs Sorted by '[Acidification (kg SO2 equiv.) per kg API']]],Table_Process_Details[Unique Process Inputs],0))</f>
        <v>#N/A</v>
      </c>
      <c r="GN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6" s="22">
        <f ca="1">SUMIFS(Table_Process_Details[RV Eutrophication (kg phosphate equiv.) per kg API],Table_Process_Details[Display Name],Table_Process_Details[[#This Row],[Unique Process Inputs]],Table_Process_Details[Input or Output],"Input")</f>
        <v>0</v>
      </c>
      <c r="GV86" s="1">
        <f ca="1">SUMIFS(Table_Process_Details[RV Eutrophication (kg phosphate equiv.) per kg API (REAGENT)],Table_Process_Details[Display Name],Table_Process_Details[[#This Row],[Unique Process Inputs]],Table_Process_Details[Input or Output],"Input")</f>
        <v>0</v>
      </c>
      <c r="GW86" s="1">
        <f ca="1">SUMIFS(Table_Process_Details[RV Eutrophication (kg phosphate equiv.) per kg API (METAL)],Table_Process_Details[Display Name],Table_Process_Details[[#This Row],[Unique Process Inputs]],Table_Process_Details[Input or Output],"Input")</f>
        <v>0</v>
      </c>
      <c r="GX86" s="1">
        <f ca="1">SUMIFS(Table_Process_Details[RV Eutrophication (kg phosphate equiv.) per kg API (SOLVENT)],Table_Process_Details[Display Name],Table_Process_Details[[#This Row],[Unique Process Inputs]],Table_Process_Details[Input or Output],"Input")</f>
        <v>0</v>
      </c>
      <c r="GY86" s="1">
        <f ca="1">SUMIFS(Table_Process_Details[RV Eutrophication (kg phosphate equiv.) per kg API (WATER)],Table_Process_Details[Display Name],Table_Process_Details[[#This Row],[Unique Process Inputs]],Table_Process_Details[Input or Output],"Input")</f>
        <v>0</v>
      </c>
      <c r="GZ86" s="1">
        <f ca="1">SUMIFS(Table_Process_Details[RV Eutrophication (kg phosphate equiv.) per kg API (ENZ&amp;PLNT)],Table_Process_Details[Display Name],Table_Process_Details[[#This Row],[Unique Process Inputs]],Table_Process_Details[Input or Output],"Input")</f>
        <v>0</v>
      </c>
      <c r="HA86" s="1">
        <f ca="1">SUMIFS(Table_Process_Details[RV Eutrophication (kg phosphate equiv.) per kg API (OTHER)],Table_Process_Details[Display Name],Table_Process_Details[[#This Row],[Unique Process Inputs]],Table_Process_Details[Input or Output],"Input")</f>
        <v>0</v>
      </c>
      <c r="HB86"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6"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6" s="22" t="e">
        <f ca="1">SUM(OFFSET(Table_Process_Details['[Eutrophication (kg posphate equiv.) per kg API'] of Unique Inputs Sorted by '[Eutrophication (kg posphate equiv.) per kg API']],0,0,Table_Process_Details[[#This Row],[Table Row]]))</f>
        <v>#N/A</v>
      </c>
      <c r="HE86"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6" s="1" t="e">
        <f ca="1">INDEX(Table_Process_Details[Total '[Eutrophication (kg posphate equiv.) per kg API'] of Unique Inputs (REAGENT)], MATCH(Table_Process_Details[[#This Row],[Unique Inputs Sorted by '[Eutrophication (kg posphate equiv.) per kg API']]],Table_Process_Details[Unique Process Inputs],0))</f>
        <v>#N/A</v>
      </c>
      <c r="HG86" s="1" t="e">
        <f ca="1">INDEX(Table_Process_Details[Total '[Eutrophication (kg posphate equiv.) per kg API'] of Unique Inputs (METAL)], MATCH(Table_Process_Details[[#This Row],[Unique Inputs Sorted by '[Eutrophication (kg posphate equiv.) per kg API']]],Table_Process_Details[Unique Process Inputs],0))</f>
        <v>#N/A</v>
      </c>
      <c r="HH86" s="1" t="e">
        <f ca="1">INDEX(Table_Process_Details[Total '[Eutrophication (kg posphate equiv.) per kg API'] of Unique Inputs (SOLVENT)], MATCH(Table_Process_Details[[#This Row],[Unique Inputs Sorted by '[Eutrophication (kg posphate equiv.) per kg API']]],Table_Process_Details[Unique Process Inputs],0))</f>
        <v>#N/A</v>
      </c>
      <c r="HI86" s="1" t="e">
        <f ca="1">INDEX(Table_Process_Details[Total '[Eutrophication (kg posphate equiv.) per kg API'] of Unique Inputs (WATER)], MATCH(Table_Process_Details[[#This Row],[Unique Inputs Sorted by '[Eutrophication (kg posphate equiv.) per kg API']]],Table_Process_Details[Unique Process Inputs],0))</f>
        <v>#N/A</v>
      </c>
      <c r="HJ86" s="1" t="e">
        <f ca="1">INDEX(Table_Process_Details[Total '[Eutrophication (kg posphate equiv.) per kg API'] of Unique Inputs (ENZ&amp;PLNT)], MATCH(Table_Process_Details[[#This Row],[Unique Inputs Sorted by '[Eutrophication (kg posphate equiv.) per kg API']]],Table_Process_Details[Unique Process Inputs],0))</f>
        <v>#N/A</v>
      </c>
      <c r="HK86" s="1" t="e">
        <f ca="1">INDEX(Table_Process_Details[Total '[Eutrophication (kg posphate equiv.) per kg API'] of Unique Inputs (OTHER)], MATCH(Table_Process_Details[[#This Row],[Unique Inputs Sorted by '[Eutrophication (kg posphate equiv.) per kg API']]],Table_Process_Details[Unique Process Inputs],0))</f>
        <v>#N/A</v>
      </c>
      <c r="HL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6" s="1">
        <f ca="1">SUMIFS(Table_Process_Details[RV Water (kg) per kg API],Table_Process_Details[Display Name],Table_Process_Details[[#This Row],[Unique Process Inputs]],Table_Process_Details[Input or Output],"Input")</f>
        <v>0</v>
      </c>
      <c r="HT86" s="1">
        <f ca="1">SUMIFS(Table_Process_Details[RV Water (kg) per kg API (REAGENT)],Table_Process_Details[Display Name],Table_Process_Details[[#This Row],[Unique Process Inputs]],Table_Process_Details[Input or Output],"Input")</f>
        <v>0</v>
      </c>
      <c r="HU86" s="1">
        <f ca="1">SUMIFS(Table_Process_Details[RV Water (kg) per kg API (METAL)],Table_Process_Details[Display Name],Table_Process_Details[[#This Row],[Unique Process Inputs]],Table_Process_Details[Input or Output],"Input")</f>
        <v>0</v>
      </c>
      <c r="HV86" s="1">
        <f ca="1">SUMIFS(Table_Process_Details[RV Water (kg) per kg API (SOLVENT)],Table_Process_Details[Display Name],Table_Process_Details[[#This Row],[Unique Process Inputs]],Table_Process_Details[Input or Output],"Input")</f>
        <v>0</v>
      </c>
      <c r="HW86" s="1">
        <f ca="1">SUMIFS(Table_Process_Details[RV Water (kg) per kg API (WATER)],Table_Process_Details[Display Name],Table_Process_Details[[#This Row],[Unique Process Inputs]],Table_Process_Details[Input or Output],"Input")</f>
        <v>0</v>
      </c>
      <c r="HX86" s="1">
        <f ca="1">SUMIFS(Table_Process_Details[RV Water (kg) per kg API (ENZ&amp;PLNT)],Table_Process_Details[Display Name],Table_Process_Details[[#This Row],[Unique Process Inputs]],Table_Process_Details[Input or Output],"Input")</f>
        <v>0</v>
      </c>
      <c r="HY86" s="1">
        <f ca="1">SUMIFS(Table_Process_Details[RV Water (kg) per kg API (OTHER)],Table_Process_Details[Display Name],Table_Process_Details[[#This Row],[Unique Process Inputs]],Table_Process_Details[Input or Output],"Input")</f>
        <v>0</v>
      </c>
      <c r="HZ86" s="22" t="e">
        <f ca="1">INDEX(Table_Process_Details[Unique Process Inputs],MATCH(Table_Process_Details[[#This Row],['[Water (kg) per kg API'] of Unique Inputs Sorted by '[Water (kg) per kg API']]],Table_Process_Details[Total '[Water (kg) per kg API'] of Unique Inputs],0))</f>
        <v>#N/A</v>
      </c>
      <c r="IA86" s="22" t="e">
        <f ca="1">IF(LARGE(Table_Process_Details[Total '[Water (kg) per kg API'] of Unique Inputs],Table_Process_Details[[#This Row],[Table Row]])=0,NA(),LARGE(Table_Process_Details[Total '[Water (kg) per kg API'] of Unique Inputs],Table_Process_Details[[#This Row],[Table Row]]))</f>
        <v>#N/A</v>
      </c>
      <c r="IB86" s="1" t="e">
        <f ca="1">SUM(OFFSET(Table_Process_Details['[Water (kg) per kg API'] of Unique Inputs Sorted by '[Water (kg) per kg API']],0,0,Table_Process_Details[[#This Row],[Table Row]]))</f>
        <v>#N/A</v>
      </c>
      <c r="IC86" s="1" t="e">
        <f ca="1">"("&amp;TEXT(Table_Process_Details[[#This Row],['[Water (kg) per kg API'] of Unique Inputs Sorted by '[Water (kg) per kg API']]]/SUMIF(Table_Process_Details['[Water (kg) per kg API'] of Unique Inputs Sorted by '[Water (kg) per kg API']],"&lt;&gt;#N/A"),"0%")&amp;")"</f>
        <v>#N/A</v>
      </c>
      <c r="ID86" s="1" t="e">
        <f ca="1">INDEX(Table_Process_Details[Total '[Water (kg) per kg API'] of Unique Inputs (REAGENT)], MATCH(Table_Process_Details[[#This Row],[Unique Inputs Sorted by '[Water (kg) per kg API']]],Table_Process_Details[Unique Process Inputs],0))</f>
        <v>#N/A</v>
      </c>
      <c r="IE86" s="1" t="e">
        <f ca="1">INDEX(Table_Process_Details[Total '[Water (kg) per kg API'] of Unique Inputs (METAL)], MATCH(Table_Process_Details[[#This Row],[Unique Inputs Sorted by '[Water (kg) per kg API']]],Table_Process_Details[Unique Process Inputs],0))</f>
        <v>#N/A</v>
      </c>
      <c r="IF86" s="1" t="e">
        <f ca="1">INDEX(Table_Process_Details[Total '[Water (kg) per kg API'] of Unique Inputs (SOLVENT)], MATCH(Table_Process_Details[[#This Row],[Unique Inputs Sorted by '[Water (kg) per kg API']]],Table_Process_Details[Unique Process Inputs],0))</f>
        <v>#N/A</v>
      </c>
      <c r="IG86" s="1" t="e">
        <f ca="1">INDEX(Table_Process_Details[Total '[Water (kg) per kg API'] of Unique Inputs (WATER)], MATCH(Table_Process_Details[[#This Row],[Unique Inputs Sorted by '[Water (kg) per kg API']]],Table_Process_Details[Unique Process Inputs],0))</f>
        <v>#N/A</v>
      </c>
      <c r="IH86" s="1" t="e">
        <f ca="1">INDEX(Table_Process_Details[Total '[Water (kg) per kg API'] of Unique Inputs (ENZ&amp;PLNT)], MATCH(Table_Process_Details[[#This Row],[Unique Inputs Sorted by '[Water (kg) per kg API']]],Table_Process_Details[Unique Process Inputs],0))</f>
        <v>#N/A</v>
      </c>
      <c r="II86" s="1" t="e">
        <f ca="1">INDEX(Table_Process_Details[Total '[Water (kg) per kg API'] of Unique Inputs (OTHER)], MATCH(Table_Process_Details[[#This Row],[Unique Inputs Sorted by '[Water (kg) per kg API']]],Table_Process_Details[Unique Process Inputs],0))</f>
        <v>#N/A</v>
      </c>
    </row>
    <row r="87" spans="1:243" customFormat="1" x14ac:dyDescent="0.25">
      <c r="A87" s="22" t="str">
        <f t="shared" ref="A87:A93" si="3">A86</f>
        <v>4) Synthesis of Intermediate (4)</v>
      </c>
      <c r="B87" s="21" t="s">
        <v>4</v>
      </c>
      <c r="C87" s="21" t="s">
        <v>170</v>
      </c>
      <c r="D87" s="22" t="str">
        <f>A76</f>
        <v>4a) Virtual solution prep for (4): 20 wt% reagent J (inorganic) in water</v>
      </c>
      <c r="E87" s="22" t="str">
        <f>E76</f>
        <v>20 wt% reagent J (inorganic) in water</v>
      </c>
      <c r="F87" s="26">
        <v>200</v>
      </c>
      <c r="G87" s="26"/>
      <c r="H87" s="26"/>
      <c r="I87" s="26"/>
      <c r="J87" s="26" t="str">
        <f>INDEX(Process_Steps[Reference],MATCH(Table_Process_Details[[#This Row],[Step Name]],Process_Steps[Name],0))</f>
        <v>Penultimate Reference Document</v>
      </c>
      <c r="K87" s="27" t="str">
        <f>INDEX(Process_Steps[Real or Virtual?],MATCH(Table_Process_Details[[#This Row],[Step Name]],Process_Steps[Name],0))</f>
        <v>Real</v>
      </c>
      <c r="L8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87" s="26">
        <f>INDEX(Table_Process_Details[Physical Mass (kg)],MATCH(1,INDEX(((Table_Process_Details[Step Name]=Table_Process_Details[[#This Row],[Step Name]])*(Table_Process_Details[Input or Output]="Output")),0),0))</f>
        <v>54.49</v>
      </c>
      <c r="O87" s="29">
        <f ca="1">INDEX(Process_Steps[Step Scale Factor for 1kg Packaged API],MATCH(Table_Process_Details[[#This Row],[Step Name]],Process_Steps[Name],0))</f>
        <v>2.2022389429253091E-2</v>
      </c>
      <c r="P8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v>
      </c>
      <c r="Q8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4</v>
      </c>
      <c r="R87" s="26">
        <f ca="1">_xlfn.SWITCH(Run_Reset_PNG,"Reset",Table_Process_Details[[#This Row],[X Init]],"Run",Table_Process_Details[[#This Row],[X Moved]],"Freeze",Table_Process_Details[[#This Row],[X Mover]])</f>
        <v>14.913090122881616</v>
      </c>
      <c r="S87" s="26">
        <f ca="1">_xlfn.SWITCH(Run_Reset_PNG,"Reset",Table_Process_Details[[#This Row],[Y Init]],"Run",Table_Process_Details[[#This Row],[Y Moved]],"Freeze",Table_Process_Details[[#This Row],[Y Mover]])</f>
        <v>-3.9432358221748629</v>
      </c>
      <c r="T87" s="26" cm="1">
        <f t="array" aca="1" ref="T8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-2.4466638699297762</v>
      </c>
      <c r="U87" s="26" cm="1">
        <f t="array" aca="1" ref="U8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-2.1756572299327495</v>
      </c>
      <c r="V87" s="26" cm="1">
        <f t="array" aca="1" ref="V87" ca="1">SUM(--(SQRT((Table_Process_Details[[#This Row],[X Mover]]-Table_Process_Details[X Mover])^2+(Table_Process_Details[[#This Row],[Y Mover]]-Table_Process_Details[Y Mover])^2)&lt;Collision_Distance))</f>
        <v>16</v>
      </c>
      <c r="W87" s="26" cm="1">
        <f t="array" aca="1" ref="W8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0.39691085354896294</v>
      </c>
      <c r="X87" s="26" cm="1">
        <f t="array" aca="1" ref="X8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0.17568183837929785</v>
      </c>
      <c r="Y87" s="26" cm="1">
        <f t="array" aca="1" ref="Y8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87" s="26">
        <f>0</f>
        <v>0</v>
      </c>
      <c r="AA87" s="26">
        <f>0</f>
        <v>0</v>
      </c>
      <c r="AB8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-7.4565450614408082</v>
      </c>
      <c r="AC87" s="26" cm="1">
        <f t="array" aca="1" ref="AC8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1.9716179110874315</v>
      </c>
      <c r="AD87" s="26">
        <f>MIN(1,COUNTA(Table_Process_Details[[#This Row],[target x]]),COUNTA(Table_Process_Details[[#This Row],[target y]]))*COUNTA(Table_Process_Details[Step Name])</f>
        <v>98</v>
      </c>
      <c r="AE8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14.88254186328099</v>
      </c>
      <c r="AF8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-3.9712549297428743</v>
      </c>
      <c r="AG8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87" s="26" cm="1">
        <f t="array" aca="1" ref="AH87" ca="1">INDEX(Table_Process_Details[X Mover],MATCH(1,INDEX((Table_Process_Details[Input or Output]="Output")*(Table_Process_Details[Step Name]=Table_Process_Details[[#This Row],[Step Name]])*(Table_Process_Details[[#This Row],[Input or Output]]="Input"),0),0))</f>
        <v>19.635390140975865</v>
      </c>
      <c r="AI87" s="26" cm="1">
        <f t="array" aca="1" ref="AI87" ca="1">INDEX(Table_Process_Details[Y Mover],MATCH(1,INDEX((Table_Process_Details[Input or Output]="Output")*(Table_Process_Details[Step Name]=Table_Process_Details[[#This Row],[Step Name]])*(Table_Process_Details[[#This Row],[Input or Output]]="Input"),0),0))</f>
        <v>-1.0304434005151315</v>
      </c>
      <c r="AJ87" s="26">
        <f ca="1">SQRT((Table_Process_Details[[#This Row],[X End (To Node Center)]]-Table_Process_Details[[#This Row],[X Guide]])^2+(Table_Process_Details[[#This Row],[Y End (to Node Center)]]-Table_Process_Details[[#This Row],[Y Guide]])^2)</f>
        <v>5.5483760824741593</v>
      </c>
      <c r="AK87" s="26" cm="1">
        <f t="array" aca="1" ref="AK87" ca="1">INDEX(Table_Process_Details[X Mover],MATCH(1,INDEX((Table_Process_Details[Step Name]=Table_Process_Details[[#This Row],[LCA Data Source Subclass]])*(Table_Process_Details[Input or Output]="Output"),0)*(Table_Process_Details[[#This Row],[Input or Output]]="Input"),0))</f>
        <v>11.100317346629659</v>
      </c>
      <c r="AL87" s="26" cm="1">
        <f t="array" aca="1" ref="AL87" ca="1">INDEX(Table_Process_Details[X Mover],MATCH(1,INDEX(((Table_Process_Details[Table Row]=Table_Process_Details[[#This Row],[Table Row]])*(1)),0)*(Table_Process_Details[[#This Row],[Input or Output]]="Input"),0))</f>
        <v>14.913090122881616</v>
      </c>
      <c r="AM87" s="26" cm="1">
        <f t="array" aca="1" ref="AM87" ca="1">(Table_Process_Details[[#This Row],[X End (To Node Center)]]*Table_Process_Details[[#This Row],[r0]]-Table_Process_Details[[#This Row],[X End (To Node Center)]]*Arrow_Offset+Table_Process_Details[[#This Row],[X Guide]]*Arrow_Offset)/Table_Process_Details[[#This Row],[r0]]</f>
        <v>18.954499019263949</v>
      </c>
      <c r="AN87" s="26">
        <f ca="1">IF(NOT(Table_Process_Details[[#This Row],[Display As]]="None"),Table_Process_Details[[#This Row],[X Start Prefilter]],NA())</f>
        <v>11.100317346629659</v>
      </c>
      <c r="AO87" s="26">
        <f ca="1">IF(NOT(Table_Process_Details[[#This Row],[Display As]]="None"),Table_Process_Details[[#This Row],[X Guide Prefilter]],NA())</f>
        <v>14.913090122881616</v>
      </c>
      <c r="AP87" s="26">
        <f ca="1">IF(NOT(Table_Process_Details[[#This Row],[Display As]]="None"),Table_Process_Details[[#This Row],[X End (to Stop Radius) Prefilter]],NA())</f>
        <v>18.954499019263949</v>
      </c>
      <c r="AQ87" s="26" t="e">
        <f>NA()</f>
        <v>#N/A</v>
      </c>
      <c r="AR87" s="26" cm="1">
        <f t="array" aca="1" ref="AR87" ca="1">INDEX(Table_Process_Details[Y Mover],MATCH(1,INDEX((Table_Process_Details[Step Name]=Table_Process_Details[[#This Row],[LCA Data Source Subclass]])*(Table_Process_Details[Input or Output]="Output"),0)*(Table_Process_Details[[#This Row],[Input or Output]]="Input"),0))</f>
        <v>-6.6784151202300235</v>
      </c>
      <c r="AS87" s="26" cm="1">
        <f t="array" aca="1" ref="AS87" ca="1">INDEX(Table_Process_Details[Y Mover],MATCH(1,INDEX(((Table_Process_Details[Table Row]=Table_Process_Details[[#This Row],[Table Row]])*(1)),0)*(Table_Process_Details[[#This Row],[Input or Output]]="Input"),0))</f>
        <v>-3.9432358221748629</v>
      </c>
      <c r="AT87" s="26" cm="1">
        <f t="array" aca="1" ref="AT87" ca="1">(Table_Process_Details[[#This Row],[Y Guide]]*Arrow_Offset-Table_Process_Details[[#This Row],[Y End (to Node Center)]]*Arrow_Offset+Table_Process_Details[[#This Row],[Y End (to Node Center)]]*Table_Process_Details[[#This Row],[r0]])/Table_Process_Details[[#This Row],[r0]]</f>
        <v>-1.4504282578301164</v>
      </c>
      <c r="AU87" s="26">
        <f ca="1">IF(NOT(Table_Process_Details[[#This Row],[Display As]]="None"),Table_Process_Details[[#This Row],[Y Start Prefilter]],NA())</f>
        <v>-6.6784151202300235</v>
      </c>
      <c r="AV87" s="26">
        <f ca="1">IF(NOT(Table_Process_Details[[#This Row],[Display As]]="None"),Table_Process_Details[[#This Row],[Y Guide Prefilter]],NA())</f>
        <v>-3.9432358221748629</v>
      </c>
      <c r="AW87" s="26">
        <f ca="1">IF(NOT(Table_Process_Details[[#This Row],[Display As]]="None"),Table_Process_Details[[#This Row],[Y End (to Stop Radius) Prefilter]],NA())</f>
        <v>-1.4504282578301164</v>
      </c>
      <c r="AX87" s="26" t="e">
        <f>NA()</f>
        <v>#N/A</v>
      </c>
      <c r="AY87" s="26" t="e">
        <f>IF(Table_Process_Details[[#This Row],[Display As]]="Real Step",Table_Process_Details[[#This Row],[X Mover]],NA())</f>
        <v>#N/A</v>
      </c>
      <c r="AZ87" s="26" t="e">
        <f>IF(Table_Process_Details[[#This Row],[Display As]]="Real Step",Table_Process_Details[[#This Row],[Y Mover]],NA())</f>
        <v>#N/A</v>
      </c>
      <c r="BA87" s="26" t="e">
        <f>IF(Table_Process_Details[[#This Row],[Display As]]="Raw Material",Table_Process_Details[[#This Row],[X Mover]],NA())</f>
        <v>#N/A</v>
      </c>
      <c r="BB87" s="26" t="e">
        <f>IF(Table_Process_Details[[#This Row],[Display As]]="Raw Material",Table_Process_Details[[#This Row],[Y Mover]],NA())</f>
        <v>#N/A</v>
      </c>
      <c r="BC87" s="26" t="e">
        <f>IF(OR(Table_Process_Details[[#This Row],[Display As]]="Real Step",Table_Process_Details[[#This Row],[Display As]]="Raw Material"),Table_Process_Details[[#This Row],[X Mover]],NA())</f>
        <v>#N/A</v>
      </c>
      <c r="BD87" s="26" t="e">
        <f>IF(OR(Table_Process_Details[[#This Row],[Display As]]="Real Step",Table_Process_Details[[#This Row],[Display As]]="Raw Material"),Table_Process_Details[[#This Row],[Y Mover]],NA())</f>
        <v>#N/A</v>
      </c>
      <c r="BE87" s="22">
        <f>ROW()-ROW(Table_Process_Details[[#Headers],[Table Row]])</f>
        <v>83</v>
      </c>
      <c r="BF87" s="23" t="e" cm="1">
        <f t="array" aca="1" ref="BF87" ca="1">INDEX(Table_Process_Details[Display Name],MATCH(0,IF(Table_Process_Details[Input or Output]="Input",INDEX(COUNTIF(OFFSET(Table_Process_Details[[#Headers],[Unique Process Inputs]],0,0,Table_Process_Details[[#This Row],[Table Row]],1),Table_Process_Details[Display Name]),),""),0))</f>
        <v>#N/A</v>
      </c>
      <c r="BG87" s="23">
        <f ca="1">Table_Process_Details[[#This Row],[Physical Mass (kg)]]*Table_Process_Details[[#This Row],[Step Scale Factor for 1kg Packaged API]]</f>
        <v>4.4044778858506186</v>
      </c>
      <c r="BH8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0.99999999999999356</v>
      </c>
      <c r="BI87" s="23">
        <f ca="1">MATCH(Table_Process_Details[[#This Row],[LCA Data Source Class]],INDIRECT(Table_Process_Details[[#This Row],[Input or Output]]),0)</f>
        <v>1</v>
      </c>
      <c r="BJ87" s="23">
        <f ca="1">MATCH(Table_Process_Details[[#This Row],[LCA Data Source Subclass]],INDIRECT(Table_Process_Details[[#This Row],[LCA Data Source Class]]&amp;"[Name]"),0)</f>
        <v>15</v>
      </c>
      <c r="BK87" s="23">
        <f ca="1">IFERROR(INDEX(INDIRECT(Table_Process_Details[[#This Row],[LCA Data Source Class]]&amp;"[Mass Net (kg)]"),MATCH(Table_Process_Details[[#This Row],[LCA Data Source Subclass]],INDIRECT(Table_Process_Details[[#This Row],[LCA Data Source Class]]&amp;"[Name]"),0)),0)</f>
        <v>0</v>
      </c>
      <c r="BL87" s="23">
        <f ca="1">IFERROR(INDEX(INDIRECT(Table_Process_Details[[#This Row],[LCA Data Source Class]]&amp;"[Energy (MJ)]"),MATCH(Table_Process_Details[[#This Row],[LCA Data Source Subclass]],INDIRECT(Table_Process_Details[[#This Row],[LCA Data Source Class]]&amp;"[Name]"),0)),0)</f>
        <v>0</v>
      </c>
      <c r="BM87" s="23">
        <f ca="1">IFERROR(INDEX(INDIRECT(Table_Process_Details[[#This Row],[LCA Data Source Class]]&amp;"[GWP (kg CO2 equiv.)]"),MATCH(Table_Process_Details[[#This Row],[LCA Data Source Subclass]],INDIRECT(Table_Process_Details[[#This Row],[LCA Data Source Class]]&amp;"[Name]"),0)),0)</f>
        <v>0</v>
      </c>
      <c r="BN87" s="23">
        <f ca="1">IFERROR(INDEX(INDIRECT(Table_Process_Details[[#This Row],[LCA Data Source Class]]&amp;"[Acidification (kg SO2 equiv.)]"),MATCH(Table_Process_Details[[#This Row],[LCA Data Source Subclass]],INDIRECT(Table_Process_Details[[#This Row],[LCA Data Source Class]]&amp;"[Name]"),0)),0)</f>
        <v>0</v>
      </c>
      <c r="BO87" s="23">
        <f ca="1">IFERROR(INDEX(INDIRECT(Table_Process_Details[[#This Row],[LCA Data Source Class]]&amp;"[Eutrophication (kg posphate equiv.)]"),MATCH(Table_Process_Details[[#This Row],[LCA Data Source Subclass]],INDIRECT(Table_Process_Details[[#This Row],[LCA Data Source Class]]&amp;"[Name]"),0)),0)</f>
        <v>0</v>
      </c>
      <c r="BP87" s="23">
        <f ca="1">IFERROR(INDEX(INDIRECT(Table_Process_Details[[#This Row],[LCA Data Source Class]]&amp;"[Water (kg)]"),MATCH(Table_Process_Details[[#This Row],[LCA Data Source Subclass]],INDIRECT(Table_Process_Details[[#This Row],[LCA Data Source Class]]&amp;"[Name]"),0)),0)</f>
        <v>0</v>
      </c>
      <c r="BQ87" s="27">
        <f ca="1">(Table_Process_Details[[#This Row],[Input or Output]]="Input")*(Table_Process_Details[[#This Row],[LCA Data Source Class]]&lt;&gt;"Process_Steps")*Table_Process_Details[[#This Row],[Scaled Physical Mass per kg API for All Inputs &amp; Outputs]]</f>
        <v>0</v>
      </c>
      <c r="BR87" s="27">
        <f ca="1">(Table_Process_Details[[#This Row],[Material Class]]="REAGENT")*Table_Process_Details[[#This Row],[Physical Mass per kg API]]</f>
        <v>0</v>
      </c>
      <c r="BS87" s="27">
        <f ca="1">(Table_Process_Details[[#This Row],[Material Class]]="METAL")*Table_Process_Details[[#This Row],[Physical Mass per kg API]]</f>
        <v>0</v>
      </c>
      <c r="BT87" s="27">
        <f ca="1">(Table_Process_Details[[#This Row],[Material Class]]="SOLVENT")*Table_Process_Details[[#This Row],[Physical Mass per kg API]]</f>
        <v>0</v>
      </c>
      <c r="BU87" s="27">
        <f ca="1">(Table_Process_Details[[#This Row],[Material Class]]="WATER")*Table_Process_Details[[#This Row],[Physical Mass per kg API]]</f>
        <v>0</v>
      </c>
      <c r="BV87" s="27">
        <f ca="1">(Table_Process_Details[[#This Row],[Material Class]]="ENZ&amp;PLNT")*Table_Process_Details[[#This Row],[Physical Mass per kg API]]</f>
        <v>0</v>
      </c>
      <c r="BW87" s="27">
        <f ca="1">(Table_Process_Details[[#This Row],[Material Class]]="OTHER")*Table_Process_Details[[#This Row],[Physical Mass per kg API]]</f>
        <v>0</v>
      </c>
      <c r="BX8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4.4044778858506186</v>
      </c>
      <c r="BY8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0.9574951925762214</v>
      </c>
      <c r="BZ8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3.4469826932743972</v>
      </c>
      <c r="CC8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7" s="1">
        <f ca="1">SUMIFS(Table_Process_Details[RV Physical Mass per kg API],Table_Process_Details[Display Name],Table_Process_Details[[#This Row],[Unique Process Inputs]],Table_Process_Details[Input or Output],"Input")</f>
        <v>0</v>
      </c>
      <c r="CF87" s="1">
        <f ca="1">SUMIFS(Table_Process_Details[RV Physical Mass per kg API (REAGENT)],Table_Process_Details[Display Name],Table_Process_Details[[#This Row],[Unique Process Inputs]],Table_Process_Details[Input or Output],"Input")</f>
        <v>0</v>
      </c>
      <c r="CG87" s="1">
        <f ca="1">SUMIFS(Table_Process_Details[RV Physical Mass per kg API (METAL)],Table_Process_Details[Display Name],Table_Process_Details[[#This Row],[Unique Process Inputs]],Table_Process_Details[Input or Output],"Input")</f>
        <v>0</v>
      </c>
      <c r="CH87" s="1">
        <f ca="1">SUMIFS(Table_Process_Details[RV Physical Mass per kg API (SOLVENT)],Table_Process_Details[Display Name],Table_Process_Details[[#This Row],[Unique Process Inputs]],Table_Process_Details[Input or Output],"Input")</f>
        <v>0</v>
      </c>
      <c r="CI87" s="1">
        <f ca="1">SUMIFS(Table_Process_Details[RV Physical Mass per kg API (WATER)],Table_Process_Details[Display Name],Table_Process_Details[[#This Row],[Unique Process Inputs]],Table_Process_Details[Input or Output],"Input")</f>
        <v>0</v>
      </c>
      <c r="CJ87" s="1">
        <f ca="1">SUMIFS(Table_Process_Details[RV Physical Mass per kg API (ENZ&amp;PLNT)],Table_Process_Details[Display Name],Table_Process_Details[[#This Row],[Unique Process Inputs]],Table_Process_Details[Input or Output],"Input")</f>
        <v>0</v>
      </c>
      <c r="CK87" s="1">
        <f ca="1">SUMIFS(Table_Process_Details[RV Physical Mass per kg API (OTHER)],Table_Process_Details[Display Name],Table_Process_Details[[#This Row],[Unique Process Inputs]],Table_Process_Details[Input or Output],"Input")</f>
        <v>0</v>
      </c>
      <c r="CL87" s="22" t="e">
        <f ca="1">INDEX(Table_Process_Details[Unique Process Inputs],MATCH(Table_Process_Details[[#This Row],['[Physical Mass per kg API'] of Unique Inputs Sorted by '[Physical Mass per kg API']]],Table_Process_Details[Total '[Physical Mass per kg API'] of Unique Inputs],0))</f>
        <v>#N/A</v>
      </c>
      <c r="CM87" s="22" t="e">
        <f ca="1">IF(LARGE(Table_Process_Details[Total '[Physical Mass per kg API'] of Unique Inputs],Table_Process_Details[[#This Row],[Table Row]])=0,NA(),LARGE(Table_Process_Details[Total '[Physical Mass per kg API'] of Unique Inputs],Table_Process_Details[[#This Row],[Table Row]]))</f>
        <v>#N/A</v>
      </c>
      <c r="CN87" s="22" t="e">
        <f ca="1">SUM(OFFSET(Table_Process_Details['[Physical Mass per kg API'] of Unique Inputs Sorted by '[Physical Mass per kg API']],0,0,Table_Process_Details[[#This Row],[Table Row]]))</f>
        <v>#N/A</v>
      </c>
      <c r="CO87" s="22" t="e">
        <f ca="1">"("&amp;TEXT(Table_Process_Details[[#This Row],['[Physical Mass per kg API'] of Unique Inputs Sorted by '[Physical Mass per kg API']]]/SUMIF(Table_Process_Details['[Physical Mass per kg API'] of Unique Inputs Sorted by '[Physical Mass per kg API']],"&lt;&gt;#N/A"),"0%")&amp;")"</f>
        <v>#N/A</v>
      </c>
      <c r="CP87" s="22" t="e">
        <f ca="1">INDEX(Table_Process_Details[Total '[Physical Mass per kg API'] of Unique Inputs (REAGENT)],MATCH(Table_Process_Details[[#This Row],[Unique Inputs Sorted by '[Physical Mass per kg API']]],Table_Process_Details[Unique Process Inputs],0))</f>
        <v>#N/A</v>
      </c>
      <c r="CQ87" s="22" t="e">
        <f ca="1">INDEX(Table_Process_Details[Total '[Physical Mass per kg API'] of Unique Inputs (METAL)],MATCH(Table_Process_Details[[#This Row],[Unique Inputs Sorted by '[Physical Mass per kg API']]],Table_Process_Details[Unique Process Inputs],0))</f>
        <v>#N/A</v>
      </c>
      <c r="CR87" s="22" t="e">
        <f ca="1">INDEX(Table_Process_Details[Total '[Physical Mass per kg API'] of Unique Inputs (SOLVENT)],MATCH(Table_Process_Details[[#This Row],[Unique Inputs Sorted by '[Physical Mass per kg API']]],Table_Process_Details[Unique Process Inputs],0))</f>
        <v>#N/A</v>
      </c>
      <c r="CS87" s="22" t="e">
        <f ca="1">INDEX(Table_Process_Details[Total '[Physical Mass per kg API'] of Unique Inputs (WATER)],MATCH(Table_Process_Details[[#This Row],[Unique Inputs Sorted by '[Physical Mass per kg API']]],Table_Process_Details[Unique Process Inputs],0))</f>
        <v>#N/A</v>
      </c>
      <c r="CT87" s="22" t="e">
        <f ca="1">INDEX(Table_Process_Details[Total '[Physical Mass per kg API'] of Unique Inputs (ENZ&amp;PLNT)],MATCH(Table_Process_Details[[#This Row],[Unique Inputs Sorted by '[Physical Mass per kg API']]],Table_Process_Details[Unique Process Inputs],0))</f>
        <v>#N/A</v>
      </c>
      <c r="CU87" s="22" t="e">
        <f ca="1">INDEX(Table_Process_Details[Total '[Physical Mass per kg API'] of Unique Inputs (OTHER)],MATCH(Table_Process_Details[[#This Row],[Unique Inputs Sorted by '[Physical Mass per kg API']]],Table_Process_Details[Unique Process Inputs],0))</f>
        <v>#N/A</v>
      </c>
      <c r="CV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1.2883183560573552</v>
      </c>
      <c r="CW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1.2830435580521369</v>
      </c>
      <c r="CX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5.2747980052183533E-3</v>
      </c>
      <c r="DA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7" s="22">
        <f ca="1">SUMIFS(Table_Process_Details[RV Mass Net (kg) per kg API],Table_Process_Details[Display Name],Table_Process_Details[[#This Row],[Unique Process Inputs]],Table_Process_Details[Input or Output],"Input")</f>
        <v>0</v>
      </c>
      <c r="DD87" s="22">
        <f ca="1">SUMIFS(Table_Process_Details[RV Mass Net (kg) per kg API (REAGENT)],Table_Process_Details[Display Name],Table_Process_Details[[#This Row],[Unique Process Inputs]],Table_Process_Details[Input or Output],"Input")</f>
        <v>0</v>
      </c>
      <c r="DE87" s="22">
        <f ca="1">SUMIFS(Table_Process_Details[RV Mass Net (kg) per kg API (METAL)],Table_Process_Details[Display Name],Table_Process_Details[[#This Row],[Unique Process Inputs]],Table_Process_Details[Input or Output],"Input")</f>
        <v>0</v>
      </c>
      <c r="DF87" s="22">
        <f ca="1">SUMIFS(Table_Process_Details[RV Mass Net (kg) per kg API (SOLVENT)],Table_Process_Details[Display Name],Table_Process_Details[[#This Row],[Unique Process Inputs]],Table_Process_Details[Input or Output],"Input")</f>
        <v>0</v>
      </c>
      <c r="DG87" s="22">
        <f ca="1">SUMIFS(Table_Process_Details[RV Mass Net (kg) per kg API (WATER)],Table_Process_Details[Display Name],Table_Process_Details[[#This Row],[Unique Process Inputs]],Table_Process_Details[Input or Output],"Input")</f>
        <v>0</v>
      </c>
      <c r="DH87" s="22">
        <f ca="1">SUMIFS(Table_Process_Details[RV Mass Net (kg) per kg API (ENZ&amp;PLNT)],Table_Process_Details[Display Name],Table_Process_Details[[#This Row],[Unique Process Inputs]],Table_Process_Details[Input or Output],"Input")</f>
        <v>0</v>
      </c>
      <c r="DI87" s="22">
        <f ca="1">SUMIFS(Table_Process_Details[RV Mass Net (kg) per kg API (OTHER)],Table_Process_Details[Display Name],Table_Process_Details[[#This Row],[Unique Process Inputs]],Table_Process_Details[Input or Output],"Input")</f>
        <v>0</v>
      </c>
      <c r="DJ87" s="22" t="e">
        <f ca="1">INDEX(Table_Process_Details[Unique Process Inputs],MATCH(Table_Process_Details[[#This Row],['[Mass Net (kg) per kg API'] of Unique Inputs Sorted by '[Mass Net (kg) per kg API']]],Table_Process_Details[Total '[Mass Net (kg) per kg API'] of Unique Inputs],0))</f>
        <v>#N/A</v>
      </c>
      <c r="DK87" s="22" t="e">
        <f ca="1">IF(LARGE(Table_Process_Details[Total '[Mass Net (kg) per kg API'] of Unique Inputs],Table_Process_Details[[#This Row],[Table Row]])=0,NA(),LARGE(Table_Process_Details[Total '[Mass Net (kg) per kg API'] of Unique Inputs],Table_Process_Details[[#This Row],[Table Row]]))</f>
        <v>#N/A</v>
      </c>
      <c r="DL87" s="22" t="e">
        <f ca="1">SUM(OFFSET(Table_Process_Details['[Mass Net (kg) per kg API'] of Unique Inputs Sorted by '[Mass Net (kg) per kg API']],0,0,Table_Process_Details[[#This Row],[Table Row]]))</f>
        <v>#N/A</v>
      </c>
      <c r="DM87" s="22" t="e">
        <f ca="1">"("&amp;TEXT(Table_Process_Details[[#This Row],['[Mass Net (kg) per kg API'] of Unique Inputs Sorted by '[Mass Net (kg) per kg API']]]/SUMIF(Table_Process_Details['[Mass Net (kg) per kg API'] of Unique Inputs Sorted by '[Mass Net (kg) per kg API']],"&lt;&gt;#N/A"),"0%")&amp;")"</f>
        <v>#N/A</v>
      </c>
      <c r="DN87" s="22" t="e">
        <f ca="1">INDEX(Table_Process_Details[Total '[Mass Net (kg) per kg API'] of Unique Inputs (REAGENT)], MATCH(Table_Process_Details[[#This Row],[Unique Inputs Sorted by '[Mass Net (kg) per kg API']]],Table_Process_Details[Unique Process Inputs],0))</f>
        <v>#N/A</v>
      </c>
      <c r="DO87" s="22" t="e">
        <f ca="1">INDEX(Table_Process_Details[Total '[Mass Net (kg) per kg API'] of Unique Inputs (METAL)], MATCH(Table_Process_Details[[#This Row],[Unique Inputs Sorted by '[Mass Net (kg) per kg API']]],Table_Process_Details[Unique Process Inputs],0))</f>
        <v>#N/A</v>
      </c>
      <c r="DP87" s="22" t="e">
        <f ca="1">INDEX(Table_Process_Details[Total '[Mass Net (kg) per kg API'] of Unique Inputs (SOLVENT)], MATCH(Table_Process_Details[[#This Row],[Unique Inputs Sorted by '[Mass Net (kg) per kg API']]],Table_Process_Details[Unique Process Inputs],0))</f>
        <v>#N/A</v>
      </c>
      <c r="DQ87" s="22" t="e">
        <f ca="1">INDEX(Table_Process_Details[Total '[Mass Net (kg) per kg API'] of Unique Inputs (WATER)], MATCH(Table_Process_Details[[#This Row],[Unique Inputs Sorted by '[Mass Net (kg) per kg API']]],Table_Process_Details[Unique Process Inputs],0))</f>
        <v>#N/A</v>
      </c>
      <c r="DR87" s="22" t="e">
        <f ca="1">INDEX(Table_Process_Details[Total '[Mass Net (kg) per kg API'] of Unique Inputs (ENZ&amp;PLNT)], MATCH(Table_Process_Details[[#This Row],[Unique Inputs Sorted by '[Mass Net (kg) per kg API']]],Table_Process_Details[Unique Process Inputs],0))</f>
        <v>#N/A</v>
      </c>
      <c r="DS87" s="22" t="e">
        <f ca="1">INDEX(Table_Process_Details[Total '[Mass Net (kg) per kg API'] of Unique Inputs (OTHER)], MATCH(Table_Process_Details[[#This Row],[Unique Inputs Sorted by '[Mass Net (kg) per kg API']]],Table_Process_Details[Unique Process Inputs],0))</f>
        <v>#N/A</v>
      </c>
      <c r="DT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10.243867155074335</v>
      </c>
      <c r="DU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10.178173897085234</v>
      </c>
      <c r="DV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6.5693257989100584E-2</v>
      </c>
      <c r="DY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7" s="1">
        <f ca="1">SUMIFS(Table_Process_Details[RV Energy (MJ) per kg API],Table_Process_Details[Display Name],Table_Process_Details[[#This Row],[Unique Process Inputs]],Table_Process_Details[Input or Output],"Input")</f>
        <v>0</v>
      </c>
      <c r="EB87" s="1">
        <f ca="1">SUMIFS(Table_Process_Details[RV Energy (MJ) per kg API (REAGENT)],Table_Process_Details[Display Name],Table_Process_Details[[#This Row],[Unique Process Inputs]],Table_Process_Details[Input or Output],"Input")</f>
        <v>0</v>
      </c>
      <c r="EC87" s="1">
        <f ca="1">SUMIFS(Table_Process_Details[RV Energy (MJ) per kg API (METAL)],Table_Process_Details[Display Name],Table_Process_Details[[#This Row],[Unique Process Inputs]],Table_Process_Details[Input or Output],"Input")</f>
        <v>0</v>
      </c>
      <c r="ED87" s="1">
        <f ca="1">SUMIFS(Table_Process_Details[RV Energy (MJ) per kg API (SOLVENT)],Table_Process_Details[Display Name],Table_Process_Details[[#This Row],[Unique Process Inputs]],Table_Process_Details[Input or Output],"Input")</f>
        <v>0</v>
      </c>
      <c r="EE87" s="1">
        <f ca="1">SUMIFS(Table_Process_Details[RV Energy (MJ) per kg API (WATER)],Table_Process_Details[Display Name],Table_Process_Details[[#This Row],[Unique Process Inputs]],Table_Process_Details[Input or Output],"Input")</f>
        <v>0</v>
      </c>
      <c r="EF87" s="1">
        <f ca="1">SUMIFS(Table_Process_Details[RV Energy (MJ) per kg API (ENZ&amp;PLNT)],Table_Process_Details[Display Name],Table_Process_Details[[#This Row],[Unique Process Inputs]],Table_Process_Details[Input or Output],"Input")</f>
        <v>0</v>
      </c>
      <c r="EG87" s="1">
        <f ca="1">SUMIFS(Table_Process_Details[RV Energy (MJ) per kg API (OTHER)],Table_Process_Details[Display Name],Table_Process_Details[[#This Row],[Unique Process Inputs]],Table_Process_Details[Input or Output],"Input")</f>
        <v>0</v>
      </c>
      <c r="EH87" s="1" t="e">
        <f ca="1">INDEX(Table_Process_Details[Unique Process Inputs],MATCH(Table_Process_Details[[#This Row],['[Energy (MJ) per kg API'] of Unique Inputs Sorted by '[Energy (MJ) per kg API']]],Table_Process_Details[Total '[Energy (MJ) per kg API'] of Unique Inputs],0))</f>
        <v>#N/A</v>
      </c>
      <c r="EI87" s="22" t="e">
        <f ca="1">IF(LARGE(Table_Process_Details[Total '[Energy (MJ) per kg API'] of Unique Inputs],Table_Process_Details[[#This Row],[Table Row]])=0,NA(),LARGE(Table_Process_Details[Total '[Energy (MJ) per kg API'] of Unique Inputs],Table_Process_Details[[#This Row],[Table Row]]))</f>
        <v>#N/A</v>
      </c>
      <c r="EJ87" s="22" t="e">
        <f ca="1">SUM(OFFSET(Table_Process_Details['[Energy (MJ) per kg API'] of Unique Inputs Sorted by '[Energy (MJ) per kg API']],0,0,Table_Process_Details[[#This Row],[Table Row]]))</f>
        <v>#N/A</v>
      </c>
      <c r="EK87" s="22" t="e">
        <f ca="1">"("&amp;TEXT(Table_Process_Details[[#This Row],['[Energy (MJ) per kg API'] of Unique Inputs Sorted by '[Energy (MJ) per kg API']]]/SUMIF(Table_Process_Details['[Energy (MJ) per kg API'] of Unique Inputs Sorted by '[Energy (MJ) per kg API']],"&lt;&gt;#N/A"),"0%")&amp;")"</f>
        <v>#N/A</v>
      </c>
      <c r="EL87" s="22" t="e">
        <f ca="1">INDEX(Table_Process_Details[Total '[Energy (MJ) per kg API'] of Unique Inputs (REAGENT)], MATCH(Table_Process_Details[[#This Row],[Unique Inputs Sorted by '[Energy (MJ) per kg API']]],Table_Process_Details[Unique Process Inputs],0))</f>
        <v>#N/A</v>
      </c>
      <c r="EM87" s="22" t="e">
        <f ca="1">INDEX(Table_Process_Details[Total '[Energy (MJ) per kg API'] of Unique Inputs (METAL)], MATCH(Table_Process_Details[[#This Row],[Unique Inputs Sorted by '[Energy (MJ) per kg API']]],Table_Process_Details[Unique Process Inputs],0))</f>
        <v>#N/A</v>
      </c>
      <c r="EN87" s="22" t="e">
        <f ca="1">INDEX(Table_Process_Details[Total '[Energy (MJ) per kg API'] of Unique Inputs (SOLVENT)], MATCH(Table_Process_Details[[#This Row],[Unique Inputs Sorted by '[Energy (MJ) per kg API']]],Table_Process_Details[Unique Process Inputs],0))</f>
        <v>#N/A</v>
      </c>
      <c r="EO87" s="22" t="e">
        <f ca="1">INDEX(Table_Process_Details[Total '[Energy (MJ) per kg API'] of Unique Inputs (WATER)], MATCH(Table_Process_Details[[#This Row],[Unique Inputs Sorted by '[Energy (MJ) per kg API']]],Table_Process_Details[Unique Process Inputs],0))</f>
        <v>#N/A</v>
      </c>
      <c r="EP87" s="22" t="e">
        <f ca="1">INDEX(Table_Process_Details[Total '[Energy (MJ) per kg API'] of Unique Inputs (ENZ&amp;PLNT)], MATCH(Table_Process_Details[[#This Row],[Unique Inputs Sorted by '[Energy (MJ) per kg API']]],Table_Process_Details[Unique Process Inputs],0))</f>
        <v>#N/A</v>
      </c>
      <c r="EQ87" s="22" t="e">
        <f ca="1">INDEX(Table_Process_Details[Total '[Energy (MJ) per kg API'] of Unique Inputs (OTHER)], MATCH(Table_Process_Details[[#This Row],[Unique Inputs Sorted by '[Energy (MJ) per kg API']]],Table_Process_Details[Unique Process Inputs],0))</f>
        <v>#N/A</v>
      </c>
      <c r="ER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1.330015084889929</v>
      </c>
      <c r="ES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1.3265138397950973</v>
      </c>
      <c r="ET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3.5012450948319227E-3</v>
      </c>
      <c r="EW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7" s="22">
        <f ca="1">SUMIFS(Table_Process_Details[RV GWP (kg CO2 equiv.) per kg API],Table_Process_Details[Display Name],Table_Process_Details[[#This Row],[Unique Process Inputs]],Table_Process_Details[Input or Output],"Input")</f>
        <v>0</v>
      </c>
      <c r="EZ87" s="1">
        <f ca="1">SUMIFS(Table_Process_Details[RV GWP (kg CO2 equiv.) per kg API (REAGENT)],Table_Process_Details[Display Name],Table_Process_Details[[#This Row],[Unique Process Inputs]],Table_Process_Details[Input or Output],"Input")</f>
        <v>0</v>
      </c>
      <c r="FA87" s="1">
        <f ca="1">SUMIFS(Table_Process_Details[RV GWP (kg CO2 equiv.) per kg API (METAL)],Table_Process_Details[Display Name],Table_Process_Details[[#This Row],[Unique Process Inputs]],Table_Process_Details[Input or Output],"Input")</f>
        <v>0</v>
      </c>
      <c r="FB87" s="1">
        <f ca="1">SUMIFS(Table_Process_Details[RV GWP (kg CO2 equiv.) per kg API (SOLVENT)],Table_Process_Details[Display Name],Table_Process_Details[[#This Row],[Unique Process Inputs]],Table_Process_Details[Input or Output],"Input")</f>
        <v>0</v>
      </c>
      <c r="FC87" s="1">
        <f ca="1">SUMIFS(Table_Process_Details[RV GWP (kg CO2 equiv.) per kg API (WATER)],Table_Process_Details[Display Name],Table_Process_Details[[#This Row],[Unique Process Inputs]],Table_Process_Details[Input or Output],"Input")</f>
        <v>0</v>
      </c>
      <c r="FD87" s="1">
        <f ca="1">SUMIFS(Table_Process_Details[RV GWP (kg CO2 equiv.) per kg API (ENZ&amp;PLNT)],Table_Process_Details[Display Name],Table_Process_Details[[#This Row],[Unique Process Inputs]],Table_Process_Details[Input or Output],"Input")</f>
        <v>0</v>
      </c>
      <c r="FE87" s="1">
        <f ca="1">SUMIFS(Table_Process_Details[RV GWP (kg CO2 equiv.) per kg API (OTHER)],Table_Process_Details[Display Name],Table_Process_Details[[#This Row],[Unique Process Inputs]],Table_Process_Details[Input or Output],"Input")</f>
        <v>0</v>
      </c>
      <c r="FF87" s="22" t="e">
        <f ca="1">INDEX(Table_Process_Details[Unique Process Inputs],MATCH(Table_Process_Details[[#This Row],['[GWP (kg CO2 equiv.) per kg API'] of Unique Inputs Sorted by '[GWP (kg CO2 equiv.) per kg API']]],Table_Process_Details[Total '[GWP (kg CO2 equiv.) per kg API'] of Unique Inputs],0))</f>
        <v>#N/A</v>
      </c>
      <c r="FG87" s="22" t="e">
        <f ca="1">IF(LARGE(Table_Process_Details[Total '[GWP (kg CO2 equiv.) per kg API'] of Unique Inputs],Table_Process_Details[[#This Row],[Table Row]])=0,NA(),LARGE(Table_Process_Details[Total '[GWP (kg CO2 equiv.) per kg API'] of Unique Inputs],Table_Process_Details[[#This Row],[Table Row]]))</f>
        <v>#N/A</v>
      </c>
      <c r="FH87" s="22" t="e">
        <f ca="1">SUM(OFFSET(Table_Process_Details['[GWP (kg CO2 equiv.) per kg API'] of Unique Inputs Sorted by '[GWP (kg CO2 equiv.) per kg API']],0,0,Table_Process_Details[[#This Row],[Table Row]]))</f>
        <v>#N/A</v>
      </c>
      <c r="FI87" s="22" t="e">
        <f ca="1">"("&amp;TEXT(Table_Process_Details[[#This Row],['[GWP (kg CO2 equiv.) per kg API'] of Unique Inputs Sorted by '[GWP (kg CO2 equiv.) per kg API']]]/SUMIF(Table_Process_Details['[GWP (kg CO2 equiv.) per kg API'] of Unique Inputs Sorted by '[GWP (kg CO2 equiv.) per kg API']],"&lt;&gt;#N/A"),"0%")&amp;")"</f>
        <v>#N/A</v>
      </c>
      <c r="FJ87" s="22" t="e">
        <f ca="1">INDEX(Table_Process_Details[Total '[GWP (kg CO2 equiv.) per kg API'] of Unique Inputs (REAGENT)], MATCH(Table_Process_Details[[#This Row],[Unique Inputs Sorted by '[GWP (kg CO2 equiv.) per kg API']]],Table_Process_Details[Unique Process Inputs],0))</f>
        <v>#N/A</v>
      </c>
      <c r="FK87" s="22" t="e">
        <f ca="1">INDEX(Table_Process_Details[Total '[GWP (kg CO2 equiv.) per kg API'] of Unique Inputs (METAL)], MATCH(Table_Process_Details[[#This Row],[Unique Inputs Sorted by '[GWP (kg CO2 equiv.) per kg API']]],Table_Process_Details[Unique Process Inputs],0))</f>
        <v>#N/A</v>
      </c>
      <c r="FL87" s="22" t="e">
        <f ca="1">INDEX(Table_Process_Details[Total '[GWP (kg CO2 equiv.) per kg API'] of Unique Inputs (SOLVENT)], MATCH(Table_Process_Details[[#This Row],[Unique Inputs Sorted by '[GWP (kg CO2 equiv.) per kg API']]],Table_Process_Details[Unique Process Inputs],0))</f>
        <v>#N/A</v>
      </c>
      <c r="FM87" s="22" t="e">
        <f ca="1">INDEX(Table_Process_Details[Total '[GWP (kg CO2 equiv.) per kg API'] of Unique Inputs (WATER)], MATCH(Table_Process_Details[[#This Row],[Unique Inputs Sorted by '[GWP (kg CO2 equiv.) per kg API']]],Table_Process_Details[Unique Process Inputs],0))</f>
        <v>#N/A</v>
      </c>
      <c r="FN87" s="22" t="e">
        <f ca="1">INDEX(Table_Process_Details[Total '[GWP (kg CO2 equiv.) per kg API'] of Unique Inputs (ENZ&amp;PLNT)], MATCH(Table_Process_Details[[#This Row],[Unique Inputs Sorted by '[GWP (kg CO2 equiv.) per kg API']]],Table_Process_Details[Unique Process Inputs],0))</f>
        <v>#N/A</v>
      </c>
      <c r="FO87" s="22" t="e">
        <f ca="1">INDEX(Table_Process_Details[Total '[GWP (kg CO2 equiv.) per kg API'] of Unique Inputs (OTHER)], MATCH(Table_Process_Details[[#This Row],[Unique Inputs Sorted by '[GWP (kg CO2 equiv.) per kg API']]],Table_Process_Details[Unique Process Inputs],0))</f>
        <v>#N/A</v>
      </c>
      <c r="FP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1.3322596885906479E-2</v>
      </c>
      <c r="FQ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1.3309183176809477E-2</v>
      </c>
      <c r="FR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1.3413709097002253E-5</v>
      </c>
      <c r="FU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7" s="22">
        <f ca="1">SUMIFS(Table_Process_Details[RV Acidification (kg SO2 equiv.) per kg API],Table_Process_Details[Display Name],Table_Process_Details[[#This Row],[Unique Process Inputs]],Table_Process_Details[Input or Output],"Input")</f>
        <v>0</v>
      </c>
      <c r="FX87" s="1">
        <f ca="1">SUMIFS(Table_Process_Details[RV Acidification (kg SO2 equiv.) per kg API (REAGENT)],Table_Process_Details[Display Name],Table_Process_Details[[#This Row],[Unique Process Inputs]],Table_Process_Details[Input or Output],"Input")</f>
        <v>0</v>
      </c>
      <c r="FY87" s="1">
        <f ca="1">SUMIFS(Table_Process_Details[RV Acidification (kg SO2 equiv.) per kg API (METAL)],Table_Process_Details[Display Name],Table_Process_Details[[#This Row],[Unique Process Inputs]],Table_Process_Details[Input or Output],"Input")</f>
        <v>0</v>
      </c>
      <c r="FZ87" s="1">
        <f ca="1">SUMIFS(Table_Process_Details[RV Acidification (kg SO2 equiv.) per kg API (SOLVENT)],Table_Process_Details[Display Name],Table_Process_Details[[#This Row],[Unique Process Inputs]],Table_Process_Details[Input or Output],"Input")</f>
        <v>0</v>
      </c>
      <c r="GA87" s="1">
        <f ca="1">SUMIFS(Table_Process_Details[RV Acidification (kg SO2 equiv.) per kg API (WATER)],Table_Process_Details[Display Name],Table_Process_Details[[#This Row],[Unique Process Inputs]],Table_Process_Details[Input or Output],"Input")</f>
        <v>0</v>
      </c>
      <c r="GB87" s="1">
        <f ca="1">SUMIFS(Table_Process_Details[RV Acidification (kg SO2 equiv.) per kg API (ENZ&amp;PLNT)],Table_Process_Details[Display Name],Table_Process_Details[[#This Row],[Unique Process Inputs]],Table_Process_Details[Input or Output],"Input")</f>
        <v>0</v>
      </c>
      <c r="GC87" s="1">
        <f ca="1">SUMIFS(Table_Process_Details[RV Acidification (kg SO2 equiv.) per kg API (OTHER)],Table_Process_Details[Display Name],Table_Process_Details[[#This Row],[Unique Process Inputs]],Table_Process_Details[Input or Output],"Input")</f>
        <v>0</v>
      </c>
      <c r="GD8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7" s="22" t="e">
        <f ca="1">SUM(OFFSET(Table_Process_Details['[Acidification (kg SO2 equiv.) per kg API'] of Unique Inputs Sorted by '[Acidification (kg SO2 equiv.) per kg API']],0,0,Table_Process_Details[[#This Row],[Table Row]]))</f>
        <v>#N/A</v>
      </c>
      <c r="GG8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7" s="22" t="e">
        <f ca="1">INDEX(Table_Process_Details[Total '[Acidification (kg SO2 equiv.) per kg API'] of Unique Inputs (REAGENT)], MATCH(Table_Process_Details[[#This Row],[Unique Inputs Sorted by '[Acidification (kg SO2 equiv.) per kg API']]],Table_Process_Details[Unique Process Inputs],0))</f>
        <v>#N/A</v>
      </c>
      <c r="GI87" s="22" t="e">
        <f ca="1">INDEX(Table_Process_Details[Total '[Acidification (kg SO2 equiv.) per kg API'] of Unique Inputs (METAL)], MATCH(Table_Process_Details[[#This Row],[Unique Inputs Sorted by '[Acidification (kg SO2 equiv.) per kg API']]],Table_Process_Details[Unique Process Inputs],0))</f>
        <v>#N/A</v>
      </c>
      <c r="GJ87" s="22" t="e">
        <f ca="1">INDEX(Table_Process_Details[Total '[Acidification (kg SO2 equiv.) per kg API'] of Unique Inputs (SOLVENT)], MATCH(Table_Process_Details[[#This Row],[Unique Inputs Sorted by '[Acidification (kg SO2 equiv.) per kg API']]],Table_Process_Details[Unique Process Inputs],0))</f>
        <v>#N/A</v>
      </c>
      <c r="GK87" s="22" t="e">
        <f ca="1">INDEX(Table_Process_Details[Total '[Acidification (kg SO2 equiv.) per kg API'] of Unique Inputs (WATER)], MATCH(Table_Process_Details[[#This Row],[Unique Inputs Sorted by '[Acidification (kg SO2 equiv.) per kg API']]],Table_Process_Details[Unique Process Inputs],0))</f>
        <v>#N/A</v>
      </c>
      <c r="GL87" s="22" t="e">
        <f ca="1">INDEX(Table_Process_Details[Total '[Acidification (kg SO2 equiv.) per kg API'] of Unique Inputs (ENZ&amp;PLNT)], MATCH(Table_Process_Details[[#This Row],[Unique Inputs Sorted by '[Acidification (kg SO2 equiv.) per kg API']]],Table_Process_Details[Unique Process Inputs],0))</f>
        <v>#N/A</v>
      </c>
      <c r="GM87" s="22" t="e">
        <f ca="1">INDEX(Table_Process_Details[Total '[Acidification (kg SO2 equiv.) per kg API'] of Unique Inputs (OTHER)], MATCH(Table_Process_Details[[#This Row],[Unique Inputs Sorted by '[Acidification (kg SO2 equiv.) per kg API']]],Table_Process_Details[Unique Process Inputs],0))</f>
        <v>#N/A</v>
      </c>
      <c r="GN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6.7823732460523325E-4</v>
      </c>
      <c r="GO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6.7024663480335495E-4</v>
      </c>
      <c r="GP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7.9906898018782946E-6</v>
      </c>
      <c r="GS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7" s="22">
        <f ca="1">SUMIFS(Table_Process_Details[RV Eutrophication (kg phosphate equiv.) per kg API],Table_Process_Details[Display Name],Table_Process_Details[[#This Row],[Unique Process Inputs]],Table_Process_Details[Input or Output],"Input")</f>
        <v>0</v>
      </c>
      <c r="GV87" s="1">
        <f ca="1">SUMIFS(Table_Process_Details[RV Eutrophication (kg phosphate equiv.) per kg API (REAGENT)],Table_Process_Details[Display Name],Table_Process_Details[[#This Row],[Unique Process Inputs]],Table_Process_Details[Input or Output],"Input")</f>
        <v>0</v>
      </c>
      <c r="GW87" s="1">
        <f ca="1">SUMIFS(Table_Process_Details[RV Eutrophication (kg phosphate equiv.) per kg API (METAL)],Table_Process_Details[Display Name],Table_Process_Details[[#This Row],[Unique Process Inputs]],Table_Process_Details[Input or Output],"Input")</f>
        <v>0</v>
      </c>
      <c r="GX87" s="1">
        <f ca="1">SUMIFS(Table_Process_Details[RV Eutrophication (kg phosphate equiv.) per kg API (SOLVENT)],Table_Process_Details[Display Name],Table_Process_Details[[#This Row],[Unique Process Inputs]],Table_Process_Details[Input or Output],"Input")</f>
        <v>0</v>
      </c>
      <c r="GY87" s="1">
        <f ca="1">SUMIFS(Table_Process_Details[RV Eutrophication (kg phosphate equiv.) per kg API (WATER)],Table_Process_Details[Display Name],Table_Process_Details[[#This Row],[Unique Process Inputs]],Table_Process_Details[Input or Output],"Input")</f>
        <v>0</v>
      </c>
      <c r="GZ87" s="1">
        <f ca="1">SUMIFS(Table_Process_Details[RV Eutrophication (kg phosphate equiv.) per kg API (ENZ&amp;PLNT)],Table_Process_Details[Display Name],Table_Process_Details[[#This Row],[Unique Process Inputs]],Table_Process_Details[Input or Output],"Input")</f>
        <v>0</v>
      </c>
      <c r="HA87" s="1">
        <f ca="1">SUMIFS(Table_Process_Details[RV Eutrophication (kg phosphate equiv.) per kg API (OTHER)],Table_Process_Details[Display Name],Table_Process_Details[[#This Row],[Unique Process Inputs]],Table_Process_Details[Input or Output],"Input")</f>
        <v>0</v>
      </c>
      <c r="HB8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7" s="22" t="e">
        <f ca="1">SUM(OFFSET(Table_Process_Details['[Eutrophication (kg posphate equiv.) per kg API'] of Unique Inputs Sorted by '[Eutrophication (kg posphate equiv.) per kg API']],0,0,Table_Process_Details[[#This Row],[Table Row]]))</f>
        <v>#N/A</v>
      </c>
      <c r="HE8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7" s="1" t="e">
        <f ca="1">INDEX(Table_Process_Details[Total '[Eutrophication (kg posphate equiv.) per kg API'] of Unique Inputs (REAGENT)], MATCH(Table_Process_Details[[#This Row],[Unique Inputs Sorted by '[Eutrophication (kg posphate equiv.) per kg API']]],Table_Process_Details[Unique Process Inputs],0))</f>
        <v>#N/A</v>
      </c>
      <c r="HG87" s="1" t="e">
        <f ca="1">INDEX(Table_Process_Details[Total '[Eutrophication (kg posphate equiv.) per kg API'] of Unique Inputs (METAL)], MATCH(Table_Process_Details[[#This Row],[Unique Inputs Sorted by '[Eutrophication (kg posphate equiv.) per kg API']]],Table_Process_Details[Unique Process Inputs],0))</f>
        <v>#N/A</v>
      </c>
      <c r="HH87" s="1" t="e">
        <f ca="1">INDEX(Table_Process_Details[Total '[Eutrophication (kg posphate equiv.) per kg API'] of Unique Inputs (SOLVENT)], MATCH(Table_Process_Details[[#This Row],[Unique Inputs Sorted by '[Eutrophication (kg posphate equiv.) per kg API']]],Table_Process_Details[Unique Process Inputs],0))</f>
        <v>#N/A</v>
      </c>
      <c r="HI87" s="1" t="e">
        <f ca="1">INDEX(Table_Process_Details[Total '[Eutrophication (kg posphate equiv.) per kg API'] of Unique Inputs (WATER)], MATCH(Table_Process_Details[[#This Row],[Unique Inputs Sorted by '[Eutrophication (kg posphate equiv.) per kg API']]],Table_Process_Details[Unique Process Inputs],0))</f>
        <v>#N/A</v>
      </c>
      <c r="HJ87" s="1" t="e">
        <f ca="1">INDEX(Table_Process_Details[Total '[Eutrophication (kg posphate equiv.) per kg API'] of Unique Inputs (ENZ&amp;PLNT)], MATCH(Table_Process_Details[[#This Row],[Unique Inputs Sorted by '[Eutrophication (kg posphate equiv.) per kg API']]],Table_Process_Details[Unique Process Inputs],0))</f>
        <v>#N/A</v>
      </c>
      <c r="HK87" s="1" t="e">
        <f ca="1">INDEX(Table_Process_Details[Total '[Eutrophication (kg posphate equiv.) per kg API'] of Unique Inputs (OTHER)], MATCH(Table_Process_Details[[#This Row],[Unique Inputs Sorted by '[Eutrophication (kg posphate equiv.) per kg API']]],Table_Process_Details[Unique Process Inputs],0))</f>
        <v>#N/A</v>
      </c>
      <c r="HL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5.0165918852282481</v>
      </c>
      <c r="HM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0.66184940196446163</v>
      </c>
      <c r="HN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4.3547424832637853</v>
      </c>
      <c r="HQ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7" s="1">
        <f ca="1">SUMIFS(Table_Process_Details[RV Water (kg) per kg API],Table_Process_Details[Display Name],Table_Process_Details[[#This Row],[Unique Process Inputs]],Table_Process_Details[Input or Output],"Input")</f>
        <v>0</v>
      </c>
      <c r="HT87" s="1">
        <f ca="1">SUMIFS(Table_Process_Details[RV Water (kg) per kg API (REAGENT)],Table_Process_Details[Display Name],Table_Process_Details[[#This Row],[Unique Process Inputs]],Table_Process_Details[Input or Output],"Input")</f>
        <v>0</v>
      </c>
      <c r="HU87" s="1">
        <f ca="1">SUMIFS(Table_Process_Details[RV Water (kg) per kg API (METAL)],Table_Process_Details[Display Name],Table_Process_Details[[#This Row],[Unique Process Inputs]],Table_Process_Details[Input or Output],"Input")</f>
        <v>0</v>
      </c>
      <c r="HV87" s="1">
        <f ca="1">SUMIFS(Table_Process_Details[RV Water (kg) per kg API (SOLVENT)],Table_Process_Details[Display Name],Table_Process_Details[[#This Row],[Unique Process Inputs]],Table_Process_Details[Input or Output],"Input")</f>
        <v>0</v>
      </c>
      <c r="HW87" s="1">
        <f ca="1">SUMIFS(Table_Process_Details[RV Water (kg) per kg API (WATER)],Table_Process_Details[Display Name],Table_Process_Details[[#This Row],[Unique Process Inputs]],Table_Process_Details[Input or Output],"Input")</f>
        <v>0</v>
      </c>
      <c r="HX87" s="1">
        <f ca="1">SUMIFS(Table_Process_Details[RV Water (kg) per kg API (ENZ&amp;PLNT)],Table_Process_Details[Display Name],Table_Process_Details[[#This Row],[Unique Process Inputs]],Table_Process_Details[Input or Output],"Input")</f>
        <v>0</v>
      </c>
      <c r="HY87" s="1">
        <f ca="1">SUMIFS(Table_Process_Details[RV Water (kg) per kg API (OTHER)],Table_Process_Details[Display Name],Table_Process_Details[[#This Row],[Unique Process Inputs]],Table_Process_Details[Input or Output],"Input")</f>
        <v>0</v>
      </c>
      <c r="HZ87" s="22" t="e">
        <f ca="1">INDEX(Table_Process_Details[Unique Process Inputs],MATCH(Table_Process_Details[[#This Row],['[Water (kg) per kg API'] of Unique Inputs Sorted by '[Water (kg) per kg API']]],Table_Process_Details[Total '[Water (kg) per kg API'] of Unique Inputs],0))</f>
        <v>#N/A</v>
      </c>
      <c r="IA87" s="22" t="e">
        <f ca="1">IF(LARGE(Table_Process_Details[Total '[Water (kg) per kg API'] of Unique Inputs],Table_Process_Details[[#This Row],[Table Row]])=0,NA(),LARGE(Table_Process_Details[Total '[Water (kg) per kg API'] of Unique Inputs],Table_Process_Details[[#This Row],[Table Row]]))</f>
        <v>#N/A</v>
      </c>
      <c r="IB87" s="1" t="e">
        <f ca="1">SUM(OFFSET(Table_Process_Details['[Water (kg) per kg API'] of Unique Inputs Sorted by '[Water (kg) per kg API']],0,0,Table_Process_Details[[#This Row],[Table Row]]))</f>
        <v>#N/A</v>
      </c>
      <c r="IC87" s="1" t="e">
        <f ca="1">"("&amp;TEXT(Table_Process_Details[[#This Row],['[Water (kg) per kg API'] of Unique Inputs Sorted by '[Water (kg) per kg API']]]/SUMIF(Table_Process_Details['[Water (kg) per kg API'] of Unique Inputs Sorted by '[Water (kg) per kg API']],"&lt;&gt;#N/A"),"0%")&amp;")"</f>
        <v>#N/A</v>
      </c>
      <c r="ID87" s="1" t="e">
        <f ca="1">INDEX(Table_Process_Details[Total '[Water (kg) per kg API'] of Unique Inputs (REAGENT)], MATCH(Table_Process_Details[[#This Row],[Unique Inputs Sorted by '[Water (kg) per kg API']]],Table_Process_Details[Unique Process Inputs],0))</f>
        <v>#N/A</v>
      </c>
      <c r="IE87" s="1" t="e">
        <f ca="1">INDEX(Table_Process_Details[Total '[Water (kg) per kg API'] of Unique Inputs (METAL)], MATCH(Table_Process_Details[[#This Row],[Unique Inputs Sorted by '[Water (kg) per kg API']]],Table_Process_Details[Unique Process Inputs],0))</f>
        <v>#N/A</v>
      </c>
      <c r="IF87" s="1" t="e">
        <f ca="1">INDEX(Table_Process_Details[Total '[Water (kg) per kg API'] of Unique Inputs (SOLVENT)], MATCH(Table_Process_Details[[#This Row],[Unique Inputs Sorted by '[Water (kg) per kg API']]],Table_Process_Details[Unique Process Inputs],0))</f>
        <v>#N/A</v>
      </c>
      <c r="IG87" s="1" t="e">
        <f ca="1">INDEX(Table_Process_Details[Total '[Water (kg) per kg API'] of Unique Inputs (WATER)], MATCH(Table_Process_Details[[#This Row],[Unique Inputs Sorted by '[Water (kg) per kg API']]],Table_Process_Details[Unique Process Inputs],0))</f>
        <v>#N/A</v>
      </c>
      <c r="IH87" s="1" t="e">
        <f ca="1">INDEX(Table_Process_Details[Total '[Water (kg) per kg API'] of Unique Inputs (ENZ&amp;PLNT)], MATCH(Table_Process_Details[[#This Row],[Unique Inputs Sorted by '[Water (kg) per kg API']]],Table_Process_Details[Unique Process Inputs],0))</f>
        <v>#N/A</v>
      </c>
      <c r="II87" s="1" t="e">
        <f ca="1">INDEX(Table_Process_Details[Total '[Water (kg) per kg API'] of Unique Inputs (OTHER)], MATCH(Table_Process_Details[[#This Row],[Unique Inputs Sorted by '[Water (kg) per kg API']]],Table_Process_Details[Unique Process Inputs],0))</f>
        <v>#N/A</v>
      </c>
    </row>
    <row r="88" spans="1:243" customFormat="1" x14ac:dyDescent="0.25">
      <c r="A88" s="22" t="str">
        <f t="shared" si="3"/>
        <v>4) Synthesis of Intermediate (4)</v>
      </c>
      <c r="B88" s="21" t="s">
        <v>4</v>
      </c>
      <c r="C88" s="21" t="s">
        <v>170</v>
      </c>
      <c r="D88" s="22" t="str">
        <f>A79</f>
        <v>4b) Virtual solution prep for (4): 15 wt% reagent K (inorganic) in water</v>
      </c>
      <c r="E88" s="22" t="str">
        <f>E79</f>
        <v>15 wt% reagent K (inorganic) in water</v>
      </c>
      <c r="F88" s="26">
        <v>250</v>
      </c>
      <c r="G88" s="26"/>
      <c r="H88" s="26"/>
      <c r="I88" s="26"/>
      <c r="J88" s="26" t="str">
        <f>INDEX(Process_Steps[Reference],MATCH(Table_Process_Details[[#This Row],[Step Name]],Process_Steps[Name],0))</f>
        <v>Penultimate Reference Document</v>
      </c>
      <c r="K88" s="27" t="str">
        <f>INDEX(Process_Steps[Real or Virtual?],MATCH(Table_Process_Details[[#This Row],[Step Name]],Process_Steps[Name],0))</f>
        <v>Real</v>
      </c>
      <c r="L8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88" s="26">
        <f>INDEX(Table_Process_Details[Physical Mass (kg)],MATCH(1,INDEX(((Table_Process_Details[Step Name]=Table_Process_Details[[#This Row],[Step Name]])*(Table_Process_Details[Input or Output]="Output")),0),0))</f>
        <v>54.49</v>
      </c>
      <c r="O88" s="29">
        <f ca="1">INDEX(Process_Steps[Step Scale Factor for 1kg Packaged API],MATCH(Table_Process_Details[[#This Row],[Step Name]],Process_Steps[Name],0))</f>
        <v>2.2022389429253091E-2</v>
      </c>
      <c r="P8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17.5</v>
      </c>
      <c r="Q8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3.5</v>
      </c>
      <c r="R88" s="26">
        <f ca="1">_xlfn.SWITCH(Run_Reset_PNG,"Reset",Table_Process_Details[[#This Row],[X Init]],"Run",Table_Process_Details[[#This Row],[X Moved]],"Freeze",Table_Process_Details[[#This Row],[X Mover]])</f>
        <v>17.712891685064264</v>
      </c>
      <c r="S88" s="26">
        <f ca="1">_xlfn.SWITCH(Run_Reset_PNG,"Reset",Table_Process_Details[[#This Row],[Y Init]],"Run",Table_Process_Details[[#This Row],[Y Moved]],"Freeze",Table_Process_Details[[#This Row],[Y Mover]])</f>
        <v>-7.2975608004088315</v>
      </c>
      <c r="T88" s="26" cm="1">
        <f t="array" aca="1" ref="T8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-0.80477149568226292</v>
      </c>
      <c r="U88" s="26" cm="1">
        <f t="array" aca="1" ref="U8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-5.3200687006241809</v>
      </c>
      <c r="V88" s="26" cm="1">
        <f t="array" aca="1" ref="V88" ca="1">SUM(--(SQRT((Table_Process_Details[[#This Row],[X Mover]]-Table_Process_Details[X Mover])^2+(Table_Process_Details[[#This Row],[Y Mover]]-Table_Process_Details[Y Mover])^2)&lt;Collision_Distance))</f>
        <v>13</v>
      </c>
      <c r="W88" s="26" cm="1">
        <f t="array" aca="1" ref="W8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0.2802232260799592</v>
      </c>
      <c r="X88" s="26" cm="1">
        <f t="array" aca="1" ref="X8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0.6787709781702056</v>
      </c>
      <c r="Y88" s="26" cm="1">
        <f t="array" aca="1" ref="Y8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88" s="26">
        <f>0</f>
        <v>0</v>
      </c>
      <c r="AA88" s="26">
        <f>0</f>
        <v>0</v>
      </c>
      <c r="AB8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-8.856445842532132</v>
      </c>
      <c r="AC88" s="26" cm="1">
        <f t="array" aca="1" ref="AC8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3.6487804002044157</v>
      </c>
      <c r="AD88" s="26">
        <f>MIN(1,COUNTA(Table_Process_Details[[#This Row],[target x]]),COUNTA(Table_Process_Details[[#This Row],[target y]]))*COUNTA(Table_Process_Details[Step Name])</f>
        <v>98</v>
      </c>
      <c r="AE8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17.70072590208401</v>
      </c>
      <c r="AF8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-7.3301789121545857</v>
      </c>
      <c r="AG8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88" s="26" cm="1">
        <f t="array" aca="1" ref="AH88" ca="1">INDEX(Table_Process_Details[X Mover],MATCH(1,INDEX((Table_Process_Details[Input or Output]="Output")*(Table_Process_Details[Step Name]=Table_Process_Details[[#This Row],[Step Name]])*(Table_Process_Details[[#This Row],[Input or Output]]="Input"),0),0))</f>
        <v>19.635390140975865</v>
      </c>
      <c r="AI88" s="26" cm="1">
        <f t="array" aca="1" ref="AI88" ca="1">INDEX(Table_Process_Details[Y Mover],MATCH(1,INDEX((Table_Process_Details[Input or Output]="Output")*(Table_Process_Details[Step Name]=Table_Process_Details[[#This Row],[Step Name]])*(Table_Process_Details[[#This Row],[Input or Output]]="Input"),0),0))</f>
        <v>-1.0304434005151315</v>
      </c>
      <c r="AJ88" s="26">
        <f ca="1">SQRT((Table_Process_Details[[#This Row],[X End (To Node Center)]]-Table_Process_Details[[#This Row],[X Guide]])^2+(Table_Process_Details[[#This Row],[Y End (to Node Center)]]-Table_Process_Details[[#This Row],[Y Guide]])^2)</f>
        <v>6.55536122704408</v>
      </c>
      <c r="AK88" s="26" cm="1">
        <f t="array" aca="1" ref="AK88" ca="1">INDEX(Table_Process_Details[X Mover],MATCH(1,INDEX((Table_Process_Details[Step Name]=Table_Process_Details[[#This Row],[LCA Data Source Subclass]])*(Table_Process_Details[Input or Output]="Output"),0)*(Table_Process_Details[[#This Row],[Input or Output]]="Input"),0))</f>
        <v>16.540976308170244</v>
      </c>
      <c r="AL88" s="26" cm="1">
        <f t="array" aca="1" ref="AL88" ca="1">INDEX(Table_Process_Details[X Mover],MATCH(1,INDEX(((Table_Process_Details[Table Row]=Table_Process_Details[[#This Row],[Table Row]])*(1)),0)*(Table_Process_Details[[#This Row],[Input or Output]]="Input"),0))</f>
        <v>17.712891685064264</v>
      </c>
      <c r="AM88" s="26" cm="1">
        <f t="array" aca="1" ref="AM88" ca="1">(Table_Process_Details[[#This Row],[X End (To Node Center)]]*Table_Process_Details[[#This Row],[r0]]-Table_Process_Details[[#This Row],[X End (To Node Center)]]*Arrow_Offset+Table_Process_Details[[#This Row],[X Guide]]*Arrow_Offset)/Table_Process_Details[[#This Row],[r0]]</f>
        <v>19.400773205087685</v>
      </c>
      <c r="AN88" s="26">
        <f ca="1">IF(NOT(Table_Process_Details[[#This Row],[Display As]]="None"),Table_Process_Details[[#This Row],[X Start Prefilter]],NA())</f>
        <v>16.540976308170244</v>
      </c>
      <c r="AO88" s="26">
        <f ca="1">IF(NOT(Table_Process_Details[[#This Row],[Display As]]="None"),Table_Process_Details[[#This Row],[X Guide Prefilter]],NA())</f>
        <v>17.712891685064264</v>
      </c>
      <c r="AP88" s="26">
        <f ca="1">IF(NOT(Table_Process_Details[[#This Row],[Display As]]="None"),Table_Process_Details[[#This Row],[X End (to Stop Radius) Prefilter]],NA())</f>
        <v>19.400773205087685</v>
      </c>
      <c r="AQ88" s="26" t="e">
        <f>NA()</f>
        <v>#N/A</v>
      </c>
      <c r="AR88" s="26" cm="1">
        <f t="array" aca="1" ref="AR88" ca="1">INDEX(Table_Process_Details[Y Mover],MATCH(1,INDEX((Table_Process_Details[Step Name]=Table_Process_Details[[#This Row],[LCA Data Source Subclass]])*(Table_Process_Details[Input or Output]="Output"),0)*(Table_Process_Details[[#This Row],[Input or Output]]="Input"),0))</f>
        <v>-12.258696578159528</v>
      </c>
      <c r="AS88" s="26" cm="1">
        <f t="array" aca="1" ref="AS88" ca="1">INDEX(Table_Process_Details[Y Mover],MATCH(1,INDEX(((Table_Process_Details[Table Row]=Table_Process_Details[[#This Row],[Table Row]])*(1)),0)*(Table_Process_Details[[#This Row],[Input or Output]]="Input"),0))</f>
        <v>-7.2975608004088315</v>
      </c>
      <c r="AT88" s="26" cm="1">
        <f t="array" aca="1" ref="AT88" ca="1">(Table_Process_Details[[#This Row],[Y Guide]]*Arrow_Offset-Table_Process_Details[[#This Row],[Y End (to Node Center)]]*Arrow_Offset+Table_Process_Details[[#This Row],[Y End (to Node Center)]]*Table_Process_Details[[#This Row],[r0]])/Table_Process_Details[[#This Row],[r0]]</f>
        <v>-1.7952668398751188</v>
      </c>
      <c r="AU88" s="26">
        <f ca="1">IF(NOT(Table_Process_Details[[#This Row],[Display As]]="None"),Table_Process_Details[[#This Row],[Y Start Prefilter]],NA())</f>
        <v>-12.258696578159528</v>
      </c>
      <c r="AV88" s="26">
        <f ca="1">IF(NOT(Table_Process_Details[[#This Row],[Display As]]="None"),Table_Process_Details[[#This Row],[Y Guide Prefilter]],NA())</f>
        <v>-7.2975608004088315</v>
      </c>
      <c r="AW88" s="26">
        <f ca="1">IF(NOT(Table_Process_Details[[#This Row],[Display As]]="None"),Table_Process_Details[[#This Row],[Y End (to Stop Radius) Prefilter]],NA())</f>
        <v>-1.7952668398751188</v>
      </c>
      <c r="AX88" s="26" t="e">
        <f>NA()</f>
        <v>#N/A</v>
      </c>
      <c r="AY88" s="26" t="e">
        <f>IF(Table_Process_Details[[#This Row],[Display As]]="Real Step",Table_Process_Details[[#This Row],[X Mover]],NA())</f>
        <v>#N/A</v>
      </c>
      <c r="AZ88" s="26" t="e">
        <f>IF(Table_Process_Details[[#This Row],[Display As]]="Real Step",Table_Process_Details[[#This Row],[Y Mover]],NA())</f>
        <v>#N/A</v>
      </c>
      <c r="BA88" s="26" t="e">
        <f>IF(Table_Process_Details[[#This Row],[Display As]]="Raw Material",Table_Process_Details[[#This Row],[X Mover]],NA())</f>
        <v>#N/A</v>
      </c>
      <c r="BB88" s="26" t="e">
        <f>IF(Table_Process_Details[[#This Row],[Display As]]="Raw Material",Table_Process_Details[[#This Row],[Y Mover]],NA())</f>
        <v>#N/A</v>
      </c>
      <c r="BC88" s="26" t="e">
        <f>IF(OR(Table_Process_Details[[#This Row],[Display As]]="Real Step",Table_Process_Details[[#This Row],[Display As]]="Raw Material"),Table_Process_Details[[#This Row],[X Mover]],NA())</f>
        <v>#N/A</v>
      </c>
      <c r="BD88" s="26" t="e">
        <f>IF(OR(Table_Process_Details[[#This Row],[Display As]]="Real Step",Table_Process_Details[[#This Row],[Display As]]="Raw Material"),Table_Process_Details[[#This Row],[Y Mover]],NA())</f>
        <v>#N/A</v>
      </c>
      <c r="BE88" s="22">
        <f>ROW()-ROW(Table_Process_Details[[#Headers],[Table Row]])</f>
        <v>84</v>
      </c>
      <c r="BF88" s="23" t="e" cm="1">
        <f t="array" aca="1" ref="BF88" ca="1">INDEX(Table_Process_Details[Display Name],MATCH(0,IF(Table_Process_Details[Input or Output]="Input",INDEX(COUNTIF(OFFSET(Table_Process_Details[[#Headers],[Unique Process Inputs]],0,0,Table_Process_Details[[#This Row],[Table Row]],1),Table_Process_Details[Display Name]),),""),0))</f>
        <v>#N/A</v>
      </c>
      <c r="BG88" s="23">
        <f ca="1">Table_Process_Details[[#This Row],[Physical Mass (kg)]]*Table_Process_Details[[#This Row],[Step Scale Factor for 1kg Packaged API]]</f>
        <v>5.505597357313273</v>
      </c>
      <c r="BH8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0.99999999999999334</v>
      </c>
      <c r="BI88" s="23">
        <f ca="1">MATCH(Table_Process_Details[[#This Row],[LCA Data Source Class]],INDIRECT(Table_Process_Details[[#This Row],[Input or Output]]),0)</f>
        <v>1</v>
      </c>
      <c r="BJ88" s="23">
        <f ca="1">MATCH(Table_Process_Details[[#This Row],[LCA Data Source Subclass]],INDIRECT(Table_Process_Details[[#This Row],[LCA Data Source Class]]&amp;"[Name]"),0)</f>
        <v>16</v>
      </c>
      <c r="BK88" s="23">
        <f ca="1">IFERROR(INDEX(INDIRECT(Table_Process_Details[[#This Row],[LCA Data Source Class]]&amp;"[Mass Net (kg)]"),MATCH(Table_Process_Details[[#This Row],[LCA Data Source Subclass]],INDIRECT(Table_Process_Details[[#This Row],[LCA Data Source Class]]&amp;"[Name]"),0)),0)</f>
        <v>0</v>
      </c>
      <c r="BL88" s="23">
        <f ca="1">IFERROR(INDEX(INDIRECT(Table_Process_Details[[#This Row],[LCA Data Source Class]]&amp;"[Energy (MJ)]"),MATCH(Table_Process_Details[[#This Row],[LCA Data Source Subclass]],INDIRECT(Table_Process_Details[[#This Row],[LCA Data Source Class]]&amp;"[Name]"),0)),0)</f>
        <v>0</v>
      </c>
      <c r="BM88" s="23">
        <f ca="1">IFERROR(INDEX(INDIRECT(Table_Process_Details[[#This Row],[LCA Data Source Class]]&amp;"[GWP (kg CO2 equiv.)]"),MATCH(Table_Process_Details[[#This Row],[LCA Data Source Subclass]],INDIRECT(Table_Process_Details[[#This Row],[LCA Data Source Class]]&amp;"[Name]"),0)),0)</f>
        <v>0</v>
      </c>
      <c r="BN88" s="23">
        <f ca="1">IFERROR(INDEX(INDIRECT(Table_Process_Details[[#This Row],[LCA Data Source Class]]&amp;"[Acidification (kg SO2 equiv.)]"),MATCH(Table_Process_Details[[#This Row],[LCA Data Source Subclass]],INDIRECT(Table_Process_Details[[#This Row],[LCA Data Source Class]]&amp;"[Name]"),0)),0)</f>
        <v>0</v>
      </c>
      <c r="BO88" s="23">
        <f ca="1">IFERROR(INDEX(INDIRECT(Table_Process_Details[[#This Row],[LCA Data Source Class]]&amp;"[Eutrophication (kg posphate equiv.)]"),MATCH(Table_Process_Details[[#This Row],[LCA Data Source Subclass]],INDIRECT(Table_Process_Details[[#This Row],[LCA Data Source Class]]&amp;"[Name]"),0)),0)</f>
        <v>0</v>
      </c>
      <c r="BP88" s="23">
        <f ca="1">IFERROR(INDEX(INDIRECT(Table_Process_Details[[#This Row],[LCA Data Source Class]]&amp;"[Water (kg)]"),MATCH(Table_Process_Details[[#This Row],[LCA Data Source Subclass]],INDIRECT(Table_Process_Details[[#This Row],[LCA Data Source Class]]&amp;"[Name]"),0)),0)</f>
        <v>0</v>
      </c>
      <c r="BQ88" s="27">
        <f ca="1">(Table_Process_Details[[#This Row],[Input or Output]]="Input")*(Table_Process_Details[[#This Row],[LCA Data Source Class]]&lt;&gt;"Process_Steps")*Table_Process_Details[[#This Row],[Scaled Physical Mass per kg API for All Inputs &amp; Outputs]]</f>
        <v>0</v>
      </c>
      <c r="BR88" s="27">
        <f ca="1">(Table_Process_Details[[#This Row],[Material Class]]="REAGENT")*Table_Process_Details[[#This Row],[Physical Mass per kg API]]</f>
        <v>0</v>
      </c>
      <c r="BS88" s="27">
        <f ca="1">(Table_Process_Details[[#This Row],[Material Class]]="METAL")*Table_Process_Details[[#This Row],[Physical Mass per kg API]]</f>
        <v>0</v>
      </c>
      <c r="BT88" s="27">
        <f ca="1">(Table_Process_Details[[#This Row],[Material Class]]="SOLVENT")*Table_Process_Details[[#This Row],[Physical Mass per kg API]]</f>
        <v>0</v>
      </c>
      <c r="BU88" s="27">
        <f ca="1">(Table_Process_Details[[#This Row],[Material Class]]="WATER")*Table_Process_Details[[#This Row],[Physical Mass per kg API]]</f>
        <v>0</v>
      </c>
      <c r="BV88" s="27">
        <f ca="1">(Table_Process_Details[[#This Row],[Material Class]]="ENZ&amp;PLNT")*Table_Process_Details[[#This Row],[Physical Mass per kg API]]</f>
        <v>0</v>
      </c>
      <c r="BW88" s="27">
        <f ca="1">(Table_Process_Details[[#This Row],[Material Class]]="OTHER")*Table_Process_Details[[#This Row],[Physical Mass per kg API]]</f>
        <v>0</v>
      </c>
      <c r="BX8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5.505597357313273</v>
      </c>
      <c r="BY8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0.82583960359699093</v>
      </c>
      <c r="BZ8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4.6797577537162818</v>
      </c>
      <c r="CC8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8" s="1">
        <f ca="1">SUMIFS(Table_Process_Details[RV Physical Mass per kg API],Table_Process_Details[Display Name],Table_Process_Details[[#This Row],[Unique Process Inputs]],Table_Process_Details[Input or Output],"Input")</f>
        <v>0</v>
      </c>
      <c r="CF88" s="1">
        <f ca="1">SUMIFS(Table_Process_Details[RV Physical Mass per kg API (REAGENT)],Table_Process_Details[Display Name],Table_Process_Details[[#This Row],[Unique Process Inputs]],Table_Process_Details[Input or Output],"Input")</f>
        <v>0</v>
      </c>
      <c r="CG88" s="1">
        <f ca="1">SUMIFS(Table_Process_Details[RV Physical Mass per kg API (METAL)],Table_Process_Details[Display Name],Table_Process_Details[[#This Row],[Unique Process Inputs]],Table_Process_Details[Input or Output],"Input")</f>
        <v>0</v>
      </c>
      <c r="CH88" s="1">
        <f ca="1">SUMIFS(Table_Process_Details[RV Physical Mass per kg API (SOLVENT)],Table_Process_Details[Display Name],Table_Process_Details[[#This Row],[Unique Process Inputs]],Table_Process_Details[Input or Output],"Input")</f>
        <v>0</v>
      </c>
      <c r="CI88" s="1">
        <f ca="1">SUMIFS(Table_Process_Details[RV Physical Mass per kg API (WATER)],Table_Process_Details[Display Name],Table_Process_Details[[#This Row],[Unique Process Inputs]],Table_Process_Details[Input or Output],"Input")</f>
        <v>0</v>
      </c>
      <c r="CJ88" s="1">
        <f ca="1">SUMIFS(Table_Process_Details[RV Physical Mass per kg API (ENZ&amp;PLNT)],Table_Process_Details[Display Name],Table_Process_Details[[#This Row],[Unique Process Inputs]],Table_Process_Details[Input or Output],"Input")</f>
        <v>0</v>
      </c>
      <c r="CK88" s="1">
        <f ca="1">SUMIFS(Table_Process_Details[RV Physical Mass per kg API (OTHER)],Table_Process_Details[Display Name],Table_Process_Details[[#This Row],[Unique Process Inputs]],Table_Process_Details[Input or Output],"Input")</f>
        <v>0</v>
      </c>
      <c r="CL88" s="22" t="e">
        <f ca="1">INDEX(Table_Process_Details[Unique Process Inputs],MATCH(Table_Process_Details[[#This Row],['[Physical Mass per kg API'] of Unique Inputs Sorted by '[Physical Mass per kg API']]],Table_Process_Details[Total '[Physical Mass per kg API'] of Unique Inputs],0))</f>
        <v>#N/A</v>
      </c>
      <c r="CM88" s="22" t="e">
        <f ca="1">IF(LARGE(Table_Process_Details[Total '[Physical Mass per kg API'] of Unique Inputs],Table_Process_Details[[#This Row],[Table Row]])=0,NA(),LARGE(Table_Process_Details[Total '[Physical Mass per kg API'] of Unique Inputs],Table_Process_Details[[#This Row],[Table Row]]))</f>
        <v>#N/A</v>
      </c>
      <c r="CN88" s="22" t="e">
        <f ca="1">SUM(OFFSET(Table_Process_Details['[Physical Mass per kg API'] of Unique Inputs Sorted by '[Physical Mass per kg API']],0,0,Table_Process_Details[[#This Row],[Table Row]]))</f>
        <v>#N/A</v>
      </c>
      <c r="CO88" s="22" t="e">
        <f ca="1">"("&amp;TEXT(Table_Process_Details[[#This Row],['[Physical Mass per kg API'] of Unique Inputs Sorted by '[Physical Mass per kg API']]]/SUMIF(Table_Process_Details['[Physical Mass per kg API'] of Unique Inputs Sorted by '[Physical Mass per kg API']],"&lt;&gt;#N/A"),"0%")&amp;")"</f>
        <v>#N/A</v>
      </c>
      <c r="CP88" s="22" t="e">
        <f ca="1">INDEX(Table_Process_Details[Total '[Physical Mass per kg API'] of Unique Inputs (REAGENT)],MATCH(Table_Process_Details[[#This Row],[Unique Inputs Sorted by '[Physical Mass per kg API']]],Table_Process_Details[Unique Process Inputs],0))</f>
        <v>#N/A</v>
      </c>
      <c r="CQ88" s="22" t="e">
        <f ca="1">INDEX(Table_Process_Details[Total '[Physical Mass per kg API'] of Unique Inputs (METAL)],MATCH(Table_Process_Details[[#This Row],[Unique Inputs Sorted by '[Physical Mass per kg API']]],Table_Process_Details[Unique Process Inputs],0))</f>
        <v>#N/A</v>
      </c>
      <c r="CR88" s="22" t="e">
        <f ca="1">INDEX(Table_Process_Details[Total '[Physical Mass per kg API'] of Unique Inputs (SOLVENT)],MATCH(Table_Process_Details[[#This Row],[Unique Inputs Sorted by '[Physical Mass per kg API']]],Table_Process_Details[Unique Process Inputs],0))</f>
        <v>#N/A</v>
      </c>
      <c r="CS88" s="22" t="e">
        <f ca="1">INDEX(Table_Process_Details[Total '[Physical Mass per kg API'] of Unique Inputs (WATER)],MATCH(Table_Process_Details[[#This Row],[Unique Inputs Sorted by '[Physical Mass per kg API']]],Table_Process_Details[Unique Process Inputs],0))</f>
        <v>#N/A</v>
      </c>
      <c r="CT88" s="22" t="e">
        <f ca="1">INDEX(Table_Process_Details[Total '[Physical Mass per kg API'] of Unique Inputs (ENZ&amp;PLNT)],MATCH(Table_Process_Details[[#This Row],[Unique Inputs Sorted by '[Physical Mass per kg API']]],Table_Process_Details[Unique Process Inputs],0))</f>
        <v>#N/A</v>
      </c>
      <c r="CU88" s="22" t="e">
        <f ca="1">INDEX(Table_Process_Details[Total '[Physical Mass per kg API'] of Unique Inputs (OTHER)],MATCH(Table_Process_Details[[#This Row],[Unique Inputs Sorted by '[Physical Mass per kg API']]],Table_Process_Details[Unique Process Inputs],0))</f>
        <v>#N/A</v>
      </c>
      <c r="CV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1.1137863397228862</v>
      </c>
      <c r="CW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1.1066250688199681</v>
      </c>
      <c r="CX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7.1612709029179713E-3</v>
      </c>
      <c r="DA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8" s="22">
        <f ca="1">SUMIFS(Table_Process_Details[RV Mass Net (kg) per kg API],Table_Process_Details[Display Name],Table_Process_Details[[#This Row],[Unique Process Inputs]],Table_Process_Details[Input or Output],"Input")</f>
        <v>0</v>
      </c>
      <c r="DD88" s="22">
        <f ca="1">SUMIFS(Table_Process_Details[RV Mass Net (kg) per kg API (REAGENT)],Table_Process_Details[Display Name],Table_Process_Details[[#This Row],[Unique Process Inputs]],Table_Process_Details[Input or Output],"Input")</f>
        <v>0</v>
      </c>
      <c r="DE88" s="22">
        <f ca="1">SUMIFS(Table_Process_Details[RV Mass Net (kg) per kg API (METAL)],Table_Process_Details[Display Name],Table_Process_Details[[#This Row],[Unique Process Inputs]],Table_Process_Details[Input or Output],"Input")</f>
        <v>0</v>
      </c>
      <c r="DF88" s="22">
        <f ca="1">SUMIFS(Table_Process_Details[RV Mass Net (kg) per kg API (SOLVENT)],Table_Process_Details[Display Name],Table_Process_Details[[#This Row],[Unique Process Inputs]],Table_Process_Details[Input or Output],"Input")</f>
        <v>0</v>
      </c>
      <c r="DG88" s="22">
        <f ca="1">SUMIFS(Table_Process_Details[RV Mass Net (kg) per kg API (WATER)],Table_Process_Details[Display Name],Table_Process_Details[[#This Row],[Unique Process Inputs]],Table_Process_Details[Input or Output],"Input")</f>
        <v>0</v>
      </c>
      <c r="DH88" s="22">
        <f ca="1">SUMIFS(Table_Process_Details[RV Mass Net (kg) per kg API (ENZ&amp;PLNT)],Table_Process_Details[Display Name],Table_Process_Details[[#This Row],[Unique Process Inputs]],Table_Process_Details[Input or Output],"Input")</f>
        <v>0</v>
      </c>
      <c r="DI88" s="22">
        <f ca="1">SUMIFS(Table_Process_Details[RV Mass Net (kg) per kg API (OTHER)],Table_Process_Details[Display Name],Table_Process_Details[[#This Row],[Unique Process Inputs]],Table_Process_Details[Input or Output],"Input")</f>
        <v>0</v>
      </c>
      <c r="DJ88" s="22" t="e">
        <f ca="1">INDEX(Table_Process_Details[Unique Process Inputs],MATCH(Table_Process_Details[[#This Row],['[Mass Net (kg) per kg API'] of Unique Inputs Sorted by '[Mass Net (kg) per kg API']]],Table_Process_Details[Total '[Mass Net (kg) per kg API'] of Unique Inputs],0))</f>
        <v>#N/A</v>
      </c>
      <c r="DK88" s="22" t="e">
        <f ca="1">IF(LARGE(Table_Process_Details[Total '[Mass Net (kg) per kg API'] of Unique Inputs],Table_Process_Details[[#This Row],[Table Row]])=0,NA(),LARGE(Table_Process_Details[Total '[Mass Net (kg) per kg API'] of Unique Inputs],Table_Process_Details[[#This Row],[Table Row]]))</f>
        <v>#N/A</v>
      </c>
      <c r="DL88" s="22" t="e">
        <f ca="1">SUM(OFFSET(Table_Process_Details['[Mass Net (kg) per kg API'] of Unique Inputs Sorted by '[Mass Net (kg) per kg API']],0,0,Table_Process_Details[[#This Row],[Table Row]]))</f>
        <v>#N/A</v>
      </c>
      <c r="DM88" s="22" t="e">
        <f ca="1">"("&amp;TEXT(Table_Process_Details[[#This Row],['[Mass Net (kg) per kg API'] of Unique Inputs Sorted by '[Mass Net (kg) per kg API']]]/SUMIF(Table_Process_Details['[Mass Net (kg) per kg API'] of Unique Inputs Sorted by '[Mass Net (kg) per kg API']],"&lt;&gt;#N/A"),"0%")&amp;")"</f>
        <v>#N/A</v>
      </c>
      <c r="DN88" s="22" t="e">
        <f ca="1">INDEX(Table_Process_Details[Total '[Mass Net (kg) per kg API'] of Unique Inputs (REAGENT)], MATCH(Table_Process_Details[[#This Row],[Unique Inputs Sorted by '[Mass Net (kg) per kg API']]],Table_Process_Details[Unique Process Inputs],0))</f>
        <v>#N/A</v>
      </c>
      <c r="DO88" s="22" t="e">
        <f ca="1">INDEX(Table_Process_Details[Total '[Mass Net (kg) per kg API'] of Unique Inputs (METAL)], MATCH(Table_Process_Details[[#This Row],[Unique Inputs Sorted by '[Mass Net (kg) per kg API']]],Table_Process_Details[Unique Process Inputs],0))</f>
        <v>#N/A</v>
      </c>
      <c r="DP88" s="22" t="e">
        <f ca="1">INDEX(Table_Process_Details[Total '[Mass Net (kg) per kg API'] of Unique Inputs (SOLVENT)], MATCH(Table_Process_Details[[#This Row],[Unique Inputs Sorted by '[Mass Net (kg) per kg API']]],Table_Process_Details[Unique Process Inputs],0))</f>
        <v>#N/A</v>
      </c>
      <c r="DQ88" s="22" t="e">
        <f ca="1">INDEX(Table_Process_Details[Total '[Mass Net (kg) per kg API'] of Unique Inputs (WATER)], MATCH(Table_Process_Details[[#This Row],[Unique Inputs Sorted by '[Mass Net (kg) per kg API']]],Table_Process_Details[Unique Process Inputs],0))</f>
        <v>#N/A</v>
      </c>
      <c r="DR88" s="22" t="e">
        <f ca="1">INDEX(Table_Process_Details[Total '[Mass Net (kg) per kg API'] of Unique Inputs (ENZ&amp;PLNT)], MATCH(Table_Process_Details[[#This Row],[Unique Inputs Sorted by '[Mass Net (kg) per kg API']]],Table_Process_Details[Unique Process Inputs],0))</f>
        <v>#N/A</v>
      </c>
      <c r="DS88" s="22" t="e">
        <f ca="1">INDEX(Table_Process_Details[Total '[Mass Net (kg) per kg API'] of Unique Inputs (OTHER)], MATCH(Table_Process_Details[[#This Row],[Unique Inputs Sorted by '[Mass Net (kg) per kg API']]],Table_Process_Details[Unique Process Inputs],0))</f>
        <v>#N/A</v>
      </c>
      <c r="DT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8.8678627080198282</v>
      </c>
      <c r="DU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8.7786749862360143</v>
      </c>
      <c r="DV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8.9187721783813609E-2</v>
      </c>
      <c r="DY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8" s="1">
        <f ca="1">SUMIFS(Table_Process_Details[RV Energy (MJ) per kg API],Table_Process_Details[Display Name],Table_Process_Details[[#This Row],[Unique Process Inputs]],Table_Process_Details[Input or Output],"Input")</f>
        <v>0</v>
      </c>
      <c r="EB88" s="1">
        <f ca="1">SUMIFS(Table_Process_Details[RV Energy (MJ) per kg API (REAGENT)],Table_Process_Details[Display Name],Table_Process_Details[[#This Row],[Unique Process Inputs]],Table_Process_Details[Input or Output],"Input")</f>
        <v>0</v>
      </c>
      <c r="EC88" s="1">
        <f ca="1">SUMIFS(Table_Process_Details[RV Energy (MJ) per kg API (METAL)],Table_Process_Details[Display Name],Table_Process_Details[[#This Row],[Unique Process Inputs]],Table_Process_Details[Input or Output],"Input")</f>
        <v>0</v>
      </c>
      <c r="ED88" s="1">
        <f ca="1">SUMIFS(Table_Process_Details[RV Energy (MJ) per kg API (SOLVENT)],Table_Process_Details[Display Name],Table_Process_Details[[#This Row],[Unique Process Inputs]],Table_Process_Details[Input or Output],"Input")</f>
        <v>0</v>
      </c>
      <c r="EE88" s="1">
        <f ca="1">SUMIFS(Table_Process_Details[RV Energy (MJ) per kg API (WATER)],Table_Process_Details[Display Name],Table_Process_Details[[#This Row],[Unique Process Inputs]],Table_Process_Details[Input or Output],"Input")</f>
        <v>0</v>
      </c>
      <c r="EF88" s="1">
        <f ca="1">SUMIFS(Table_Process_Details[RV Energy (MJ) per kg API (ENZ&amp;PLNT)],Table_Process_Details[Display Name],Table_Process_Details[[#This Row],[Unique Process Inputs]],Table_Process_Details[Input or Output],"Input")</f>
        <v>0</v>
      </c>
      <c r="EG88" s="1">
        <f ca="1">SUMIFS(Table_Process_Details[RV Energy (MJ) per kg API (OTHER)],Table_Process_Details[Display Name],Table_Process_Details[[#This Row],[Unique Process Inputs]],Table_Process_Details[Input or Output],"Input")</f>
        <v>0</v>
      </c>
      <c r="EH88" s="1" t="e">
        <f ca="1">INDEX(Table_Process_Details[Unique Process Inputs],MATCH(Table_Process_Details[[#This Row],['[Energy (MJ) per kg API'] of Unique Inputs Sorted by '[Energy (MJ) per kg API']]],Table_Process_Details[Total '[Energy (MJ) per kg API'] of Unique Inputs],0))</f>
        <v>#N/A</v>
      </c>
      <c r="EI88" s="22" t="e">
        <f ca="1">IF(LARGE(Table_Process_Details[Total '[Energy (MJ) per kg API'] of Unique Inputs],Table_Process_Details[[#This Row],[Table Row]])=0,NA(),LARGE(Table_Process_Details[Total '[Energy (MJ) per kg API'] of Unique Inputs],Table_Process_Details[[#This Row],[Table Row]]))</f>
        <v>#N/A</v>
      </c>
      <c r="EJ88" s="22" t="e">
        <f ca="1">SUM(OFFSET(Table_Process_Details['[Energy (MJ) per kg API'] of Unique Inputs Sorted by '[Energy (MJ) per kg API']],0,0,Table_Process_Details[[#This Row],[Table Row]]))</f>
        <v>#N/A</v>
      </c>
      <c r="EK88" s="22" t="e">
        <f ca="1">"("&amp;TEXT(Table_Process_Details[[#This Row],['[Energy (MJ) per kg API'] of Unique Inputs Sorted by '[Energy (MJ) per kg API']]]/SUMIF(Table_Process_Details['[Energy (MJ) per kg API'] of Unique Inputs Sorted by '[Energy (MJ) per kg API']],"&lt;&gt;#N/A"),"0%")&amp;")"</f>
        <v>#N/A</v>
      </c>
      <c r="EL88" s="22" t="e">
        <f ca="1">INDEX(Table_Process_Details[Total '[Energy (MJ) per kg API'] of Unique Inputs (REAGENT)], MATCH(Table_Process_Details[[#This Row],[Unique Inputs Sorted by '[Energy (MJ) per kg API']]],Table_Process_Details[Unique Process Inputs],0))</f>
        <v>#N/A</v>
      </c>
      <c r="EM88" s="22" t="e">
        <f ca="1">INDEX(Table_Process_Details[Total '[Energy (MJ) per kg API'] of Unique Inputs (METAL)], MATCH(Table_Process_Details[[#This Row],[Unique Inputs Sorted by '[Energy (MJ) per kg API']]],Table_Process_Details[Unique Process Inputs],0))</f>
        <v>#N/A</v>
      </c>
      <c r="EN88" s="22" t="e">
        <f ca="1">INDEX(Table_Process_Details[Total '[Energy (MJ) per kg API'] of Unique Inputs (SOLVENT)], MATCH(Table_Process_Details[[#This Row],[Unique Inputs Sorted by '[Energy (MJ) per kg API']]],Table_Process_Details[Unique Process Inputs],0))</f>
        <v>#N/A</v>
      </c>
      <c r="EO88" s="22" t="e">
        <f ca="1">INDEX(Table_Process_Details[Total '[Energy (MJ) per kg API'] of Unique Inputs (WATER)], MATCH(Table_Process_Details[[#This Row],[Unique Inputs Sorted by '[Energy (MJ) per kg API']]],Table_Process_Details[Unique Process Inputs],0))</f>
        <v>#N/A</v>
      </c>
      <c r="EP88" s="22" t="e">
        <f ca="1">INDEX(Table_Process_Details[Total '[Energy (MJ) per kg API'] of Unique Inputs (ENZ&amp;PLNT)], MATCH(Table_Process_Details[[#This Row],[Unique Inputs Sorted by '[Energy (MJ) per kg API']]],Table_Process_Details[Unique Process Inputs],0))</f>
        <v>#N/A</v>
      </c>
      <c r="EQ88" s="22" t="e">
        <f ca="1">INDEX(Table_Process_Details[Total '[Energy (MJ) per kg API'] of Unique Inputs (OTHER)], MATCH(Table_Process_Details[[#This Row],[Unique Inputs Sorted by '[Energy (MJ) per kg API']]],Table_Process_Details[Unique Process Inputs],0))</f>
        <v>#N/A</v>
      </c>
      <c r="ER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1.1488716133235466</v>
      </c>
      <c r="ES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1.1441181868232713</v>
      </c>
      <c r="ET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4.7534265002752828E-3</v>
      </c>
      <c r="EW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8" s="22">
        <f ca="1">SUMIFS(Table_Process_Details[RV GWP (kg CO2 equiv.) per kg API],Table_Process_Details[Display Name],Table_Process_Details[[#This Row],[Unique Process Inputs]],Table_Process_Details[Input or Output],"Input")</f>
        <v>0</v>
      </c>
      <c r="EZ88" s="1">
        <f ca="1">SUMIFS(Table_Process_Details[RV GWP (kg CO2 equiv.) per kg API (REAGENT)],Table_Process_Details[Display Name],Table_Process_Details[[#This Row],[Unique Process Inputs]],Table_Process_Details[Input or Output],"Input")</f>
        <v>0</v>
      </c>
      <c r="FA88" s="1">
        <f ca="1">SUMIFS(Table_Process_Details[RV GWP (kg CO2 equiv.) per kg API (METAL)],Table_Process_Details[Display Name],Table_Process_Details[[#This Row],[Unique Process Inputs]],Table_Process_Details[Input or Output],"Input")</f>
        <v>0</v>
      </c>
      <c r="FB88" s="1">
        <f ca="1">SUMIFS(Table_Process_Details[RV GWP (kg CO2 equiv.) per kg API (SOLVENT)],Table_Process_Details[Display Name],Table_Process_Details[[#This Row],[Unique Process Inputs]],Table_Process_Details[Input or Output],"Input")</f>
        <v>0</v>
      </c>
      <c r="FC88" s="1">
        <f ca="1">SUMIFS(Table_Process_Details[RV GWP (kg CO2 equiv.) per kg API (WATER)],Table_Process_Details[Display Name],Table_Process_Details[[#This Row],[Unique Process Inputs]],Table_Process_Details[Input or Output],"Input")</f>
        <v>0</v>
      </c>
      <c r="FD88" s="1">
        <f ca="1">SUMIFS(Table_Process_Details[RV GWP (kg CO2 equiv.) per kg API (ENZ&amp;PLNT)],Table_Process_Details[Display Name],Table_Process_Details[[#This Row],[Unique Process Inputs]],Table_Process_Details[Input or Output],"Input")</f>
        <v>0</v>
      </c>
      <c r="FE88" s="1">
        <f ca="1">SUMIFS(Table_Process_Details[RV GWP (kg CO2 equiv.) per kg API (OTHER)],Table_Process_Details[Display Name],Table_Process_Details[[#This Row],[Unique Process Inputs]],Table_Process_Details[Input or Output],"Input")</f>
        <v>0</v>
      </c>
      <c r="FF88" s="22" t="e">
        <f ca="1">INDEX(Table_Process_Details[Unique Process Inputs],MATCH(Table_Process_Details[[#This Row],['[GWP (kg CO2 equiv.) per kg API'] of Unique Inputs Sorted by '[GWP (kg CO2 equiv.) per kg API']]],Table_Process_Details[Total '[GWP (kg CO2 equiv.) per kg API'] of Unique Inputs],0))</f>
        <v>#N/A</v>
      </c>
      <c r="FG88" s="22" t="e">
        <f ca="1">IF(LARGE(Table_Process_Details[Total '[GWP (kg CO2 equiv.) per kg API'] of Unique Inputs],Table_Process_Details[[#This Row],[Table Row]])=0,NA(),LARGE(Table_Process_Details[Total '[GWP (kg CO2 equiv.) per kg API'] of Unique Inputs],Table_Process_Details[[#This Row],[Table Row]]))</f>
        <v>#N/A</v>
      </c>
      <c r="FH88" s="22" t="e">
        <f ca="1">SUM(OFFSET(Table_Process_Details['[GWP (kg CO2 equiv.) per kg API'] of Unique Inputs Sorted by '[GWP (kg CO2 equiv.) per kg API']],0,0,Table_Process_Details[[#This Row],[Table Row]]))</f>
        <v>#N/A</v>
      </c>
      <c r="FI88" s="22" t="e">
        <f ca="1">"("&amp;TEXT(Table_Process_Details[[#This Row],['[GWP (kg CO2 equiv.) per kg API'] of Unique Inputs Sorted by '[GWP (kg CO2 equiv.) per kg API']]]/SUMIF(Table_Process_Details['[GWP (kg CO2 equiv.) per kg API'] of Unique Inputs Sorted by '[GWP (kg CO2 equiv.) per kg API']],"&lt;&gt;#N/A"),"0%")&amp;")"</f>
        <v>#N/A</v>
      </c>
      <c r="FJ88" s="22" t="e">
        <f ca="1">INDEX(Table_Process_Details[Total '[GWP (kg CO2 equiv.) per kg API'] of Unique Inputs (REAGENT)], MATCH(Table_Process_Details[[#This Row],[Unique Inputs Sorted by '[GWP (kg CO2 equiv.) per kg API']]],Table_Process_Details[Unique Process Inputs],0))</f>
        <v>#N/A</v>
      </c>
      <c r="FK88" s="22" t="e">
        <f ca="1">INDEX(Table_Process_Details[Total '[GWP (kg CO2 equiv.) per kg API'] of Unique Inputs (METAL)], MATCH(Table_Process_Details[[#This Row],[Unique Inputs Sorted by '[GWP (kg CO2 equiv.) per kg API']]],Table_Process_Details[Unique Process Inputs],0))</f>
        <v>#N/A</v>
      </c>
      <c r="FL88" s="22" t="e">
        <f ca="1">INDEX(Table_Process_Details[Total '[GWP (kg CO2 equiv.) per kg API'] of Unique Inputs (SOLVENT)], MATCH(Table_Process_Details[[#This Row],[Unique Inputs Sorted by '[GWP (kg CO2 equiv.) per kg API']]],Table_Process_Details[Unique Process Inputs],0))</f>
        <v>#N/A</v>
      </c>
      <c r="FM88" s="22" t="e">
        <f ca="1">INDEX(Table_Process_Details[Total '[GWP (kg CO2 equiv.) per kg API'] of Unique Inputs (WATER)], MATCH(Table_Process_Details[[#This Row],[Unique Inputs Sorted by '[GWP (kg CO2 equiv.) per kg API']]],Table_Process_Details[Unique Process Inputs],0))</f>
        <v>#N/A</v>
      </c>
      <c r="FN88" s="22" t="e">
        <f ca="1">INDEX(Table_Process_Details[Total '[GWP (kg CO2 equiv.) per kg API'] of Unique Inputs (ENZ&amp;PLNT)], MATCH(Table_Process_Details[[#This Row],[Unique Inputs Sorted by '[GWP (kg CO2 equiv.) per kg API']]],Table_Process_Details[Unique Process Inputs],0))</f>
        <v>#N/A</v>
      </c>
      <c r="FO88" s="22" t="e">
        <f ca="1">INDEX(Table_Process_Details[Total '[GWP (kg CO2 equiv.) per kg API'] of Unique Inputs (OTHER)], MATCH(Table_Process_Details[[#This Row],[Unique Inputs Sorted by '[GWP (kg CO2 equiv.) per kg API']]],Table_Process_Details[Unique Process Inputs],0))</f>
        <v>#N/A</v>
      </c>
      <c r="FP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1.1497381463112508E-2</v>
      </c>
      <c r="FQ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1.1479170489998174E-2</v>
      </c>
      <c r="FR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1.8210973114332916E-5</v>
      </c>
      <c r="FU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8" s="22">
        <f ca="1">SUMIFS(Table_Process_Details[RV Acidification (kg SO2 equiv.) per kg API],Table_Process_Details[Display Name],Table_Process_Details[[#This Row],[Unique Process Inputs]],Table_Process_Details[Input or Output],"Input")</f>
        <v>0</v>
      </c>
      <c r="FX88" s="1">
        <f ca="1">SUMIFS(Table_Process_Details[RV Acidification (kg SO2 equiv.) per kg API (REAGENT)],Table_Process_Details[Display Name],Table_Process_Details[[#This Row],[Unique Process Inputs]],Table_Process_Details[Input or Output],"Input")</f>
        <v>0</v>
      </c>
      <c r="FY88" s="1">
        <f ca="1">SUMIFS(Table_Process_Details[RV Acidification (kg SO2 equiv.) per kg API (METAL)],Table_Process_Details[Display Name],Table_Process_Details[[#This Row],[Unique Process Inputs]],Table_Process_Details[Input or Output],"Input")</f>
        <v>0</v>
      </c>
      <c r="FZ88" s="1">
        <f ca="1">SUMIFS(Table_Process_Details[RV Acidification (kg SO2 equiv.) per kg API (SOLVENT)],Table_Process_Details[Display Name],Table_Process_Details[[#This Row],[Unique Process Inputs]],Table_Process_Details[Input or Output],"Input")</f>
        <v>0</v>
      </c>
      <c r="GA88" s="1">
        <f ca="1">SUMIFS(Table_Process_Details[RV Acidification (kg SO2 equiv.) per kg API (WATER)],Table_Process_Details[Display Name],Table_Process_Details[[#This Row],[Unique Process Inputs]],Table_Process_Details[Input or Output],"Input")</f>
        <v>0</v>
      </c>
      <c r="GB88" s="1">
        <f ca="1">SUMIFS(Table_Process_Details[RV Acidification (kg SO2 equiv.) per kg API (ENZ&amp;PLNT)],Table_Process_Details[Display Name],Table_Process_Details[[#This Row],[Unique Process Inputs]],Table_Process_Details[Input or Output],"Input")</f>
        <v>0</v>
      </c>
      <c r="GC88" s="1">
        <f ca="1">SUMIFS(Table_Process_Details[RV Acidification (kg SO2 equiv.) per kg API (OTHER)],Table_Process_Details[Display Name],Table_Process_Details[[#This Row],[Unique Process Inputs]],Table_Process_Details[Input or Output],"Input")</f>
        <v>0</v>
      </c>
      <c r="GD8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8" s="22" t="e">
        <f ca="1">SUM(OFFSET(Table_Process_Details['[Acidification (kg SO2 equiv.) per kg API'] of Unique Inputs Sorted by '[Acidification (kg SO2 equiv.) per kg API']],0,0,Table_Process_Details[[#This Row],[Table Row]]))</f>
        <v>#N/A</v>
      </c>
      <c r="GG8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8" s="22" t="e">
        <f ca="1">INDEX(Table_Process_Details[Total '[Acidification (kg SO2 equiv.) per kg API'] of Unique Inputs (REAGENT)], MATCH(Table_Process_Details[[#This Row],[Unique Inputs Sorted by '[Acidification (kg SO2 equiv.) per kg API']]],Table_Process_Details[Unique Process Inputs],0))</f>
        <v>#N/A</v>
      </c>
      <c r="GI88" s="22" t="e">
        <f ca="1">INDEX(Table_Process_Details[Total '[Acidification (kg SO2 equiv.) per kg API'] of Unique Inputs (METAL)], MATCH(Table_Process_Details[[#This Row],[Unique Inputs Sorted by '[Acidification (kg SO2 equiv.) per kg API']]],Table_Process_Details[Unique Process Inputs],0))</f>
        <v>#N/A</v>
      </c>
      <c r="GJ88" s="22" t="e">
        <f ca="1">INDEX(Table_Process_Details[Total '[Acidification (kg SO2 equiv.) per kg API'] of Unique Inputs (SOLVENT)], MATCH(Table_Process_Details[[#This Row],[Unique Inputs Sorted by '[Acidification (kg SO2 equiv.) per kg API']]],Table_Process_Details[Unique Process Inputs],0))</f>
        <v>#N/A</v>
      </c>
      <c r="GK88" s="22" t="e">
        <f ca="1">INDEX(Table_Process_Details[Total '[Acidification (kg SO2 equiv.) per kg API'] of Unique Inputs (WATER)], MATCH(Table_Process_Details[[#This Row],[Unique Inputs Sorted by '[Acidification (kg SO2 equiv.) per kg API']]],Table_Process_Details[Unique Process Inputs],0))</f>
        <v>#N/A</v>
      </c>
      <c r="GL88" s="22" t="e">
        <f ca="1">INDEX(Table_Process_Details[Total '[Acidification (kg SO2 equiv.) per kg API'] of Unique Inputs (ENZ&amp;PLNT)], MATCH(Table_Process_Details[[#This Row],[Unique Inputs Sorted by '[Acidification (kg SO2 equiv.) per kg API']]],Table_Process_Details[Unique Process Inputs],0))</f>
        <v>#N/A</v>
      </c>
      <c r="GM88" s="22" t="e">
        <f ca="1">INDEX(Table_Process_Details[Total '[Acidification (kg SO2 equiv.) per kg API'] of Unique Inputs (OTHER)], MATCH(Table_Process_Details[[#This Row],[Unique Inputs Sorted by '[Acidification (kg SO2 equiv.) per kg API']]],Table_Process_Details[Unique Process Inputs],0))</f>
        <v>#N/A</v>
      </c>
      <c r="GN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5.8893619374197155E-4</v>
      </c>
      <c r="GO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5.7808772251789363E-4</v>
      </c>
      <c r="GP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1.084847122407782E-5</v>
      </c>
      <c r="GS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8" s="22">
        <f ca="1">SUMIFS(Table_Process_Details[RV Eutrophication (kg phosphate equiv.) per kg API],Table_Process_Details[Display Name],Table_Process_Details[[#This Row],[Unique Process Inputs]],Table_Process_Details[Input or Output],"Input")</f>
        <v>0</v>
      </c>
      <c r="GV88" s="1">
        <f ca="1">SUMIFS(Table_Process_Details[RV Eutrophication (kg phosphate equiv.) per kg API (REAGENT)],Table_Process_Details[Display Name],Table_Process_Details[[#This Row],[Unique Process Inputs]],Table_Process_Details[Input or Output],"Input")</f>
        <v>0</v>
      </c>
      <c r="GW88" s="1">
        <f ca="1">SUMIFS(Table_Process_Details[RV Eutrophication (kg phosphate equiv.) per kg API (METAL)],Table_Process_Details[Display Name],Table_Process_Details[[#This Row],[Unique Process Inputs]],Table_Process_Details[Input or Output],"Input")</f>
        <v>0</v>
      </c>
      <c r="GX88" s="1">
        <f ca="1">SUMIFS(Table_Process_Details[RV Eutrophication (kg phosphate equiv.) per kg API (SOLVENT)],Table_Process_Details[Display Name],Table_Process_Details[[#This Row],[Unique Process Inputs]],Table_Process_Details[Input or Output],"Input")</f>
        <v>0</v>
      </c>
      <c r="GY88" s="1">
        <f ca="1">SUMIFS(Table_Process_Details[RV Eutrophication (kg phosphate equiv.) per kg API (WATER)],Table_Process_Details[Display Name],Table_Process_Details[[#This Row],[Unique Process Inputs]],Table_Process_Details[Input or Output],"Input")</f>
        <v>0</v>
      </c>
      <c r="GZ88" s="1">
        <f ca="1">SUMIFS(Table_Process_Details[RV Eutrophication (kg phosphate equiv.) per kg API (ENZ&amp;PLNT)],Table_Process_Details[Display Name],Table_Process_Details[[#This Row],[Unique Process Inputs]],Table_Process_Details[Input or Output],"Input")</f>
        <v>0</v>
      </c>
      <c r="HA88" s="1">
        <f ca="1">SUMIFS(Table_Process_Details[RV Eutrophication (kg phosphate equiv.) per kg API (OTHER)],Table_Process_Details[Display Name],Table_Process_Details[[#This Row],[Unique Process Inputs]],Table_Process_Details[Input or Output],"Input")</f>
        <v>0</v>
      </c>
      <c r="HB8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8" s="22" t="e">
        <f ca="1">SUM(OFFSET(Table_Process_Details['[Eutrophication (kg posphate equiv.) per kg API'] of Unique Inputs Sorted by '[Eutrophication (kg posphate equiv.) per kg API']],0,0,Table_Process_Details[[#This Row],[Table Row]]))</f>
        <v>#N/A</v>
      </c>
      <c r="HE8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8" s="1" t="e">
        <f ca="1">INDEX(Table_Process_Details[Total '[Eutrophication (kg posphate equiv.) per kg API'] of Unique Inputs (REAGENT)], MATCH(Table_Process_Details[[#This Row],[Unique Inputs Sorted by '[Eutrophication (kg posphate equiv.) per kg API']]],Table_Process_Details[Unique Process Inputs],0))</f>
        <v>#N/A</v>
      </c>
      <c r="HG88" s="1" t="e">
        <f ca="1">INDEX(Table_Process_Details[Total '[Eutrophication (kg posphate equiv.) per kg API'] of Unique Inputs (METAL)], MATCH(Table_Process_Details[[#This Row],[Unique Inputs Sorted by '[Eutrophication (kg posphate equiv.) per kg API']]],Table_Process_Details[Unique Process Inputs],0))</f>
        <v>#N/A</v>
      </c>
      <c r="HH88" s="1" t="e">
        <f ca="1">INDEX(Table_Process_Details[Total '[Eutrophication (kg posphate equiv.) per kg API'] of Unique Inputs (SOLVENT)], MATCH(Table_Process_Details[[#This Row],[Unique Inputs Sorted by '[Eutrophication (kg posphate equiv.) per kg API']]],Table_Process_Details[Unique Process Inputs],0))</f>
        <v>#N/A</v>
      </c>
      <c r="HI88" s="1" t="e">
        <f ca="1">INDEX(Table_Process_Details[Total '[Eutrophication (kg posphate equiv.) per kg API'] of Unique Inputs (WATER)], MATCH(Table_Process_Details[[#This Row],[Unique Inputs Sorted by '[Eutrophication (kg posphate equiv.) per kg API']]],Table_Process_Details[Unique Process Inputs],0))</f>
        <v>#N/A</v>
      </c>
      <c r="HJ88" s="1" t="e">
        <f ca="1">INDEX(Table_Process_Details[Total '[Eutrophication (kg posphate equiv.) per kg API'] of Unique Inputs (ENZ&amp;PLNT)], MATCH(Table_Process_Details[[#This Row],[Unique Inputs Sorted by '[Eutrophication (kg posphate equiv.) per kg API']]],Table_Process_Details[Unique Process Inputs],0))</f>
        <v>#N/A</v>
      </c>
      <c r="HK88" s="1" t="e">
        <f ca="1">INDEX(Table_Process_Details[Total '[Eutrophication (kg posphate equiv.) per kg API'] of Unique Inputs (OTHER)], MATCH(Table_Process_Details[[#This Row],[Unique Inputs Sorted by '[Eutrophication (kg posphate equiv.) per kg API']]],Table_Process_Details[Unique Process Inputs],0))</f>
        <v>#N/A</v>
      </c>
      <c r="HL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6.4830128555698332</v>
      </c>
      <c r="HM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0.57084510919434817</v>
      </c>
      <c r="HN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5.912167746375486</v>
      </c>
      <c r="HQ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8" s="1">
        <f ca="1">SUMIFS(Table_Process_Details[RV Water (kg) per kg API],Table_Process_Details[Display Name],Table_Process_Details[[#This Row],[Unique Process Inputs]],Table_Process_Details[Input or Output],"Input")</f>
        <v>0</v>
      </c>
      <c r="HT88" s="1">
        <f ca="1">SUMIFS(Table_Process_Details[RV Water (kg) per kg API (REAGENT)],Table_Process_Details[Display Name],Table_Process_Details[[#This Row],[Unique Process Inputs]],Table_Process_Details[Input or Output],"Input")</f>
        <v>0</v>
      </c>
      <c r="HU88" s="1">
        <f ca="1">SUMIFS(Table_Process_Details[RV Water (kg) per kg API (METAL)],Table_Process_Details[Display Name],Table_Process_Details[[#This Row],[Unique Process Inputs]],Table_Process_Details[Input or Output],"Input")</f>
        <v>0</v>
      </c>
      <c r="HV88" s="1">
        <f ca="1">SUMIFS(Table_Process_Details[RV Water (kg) per kg API (SOLVENT)],Table_Process_Details[Display Name],Table_Process_Details[[#This Row],[Unique Process Inputs]],Table_Process_Details[Input or Output],"Input")</f>
        <v>0</v>
      </c>
      <c r="HW88" s="1">
        <f ca="1">SUMIFS(Table_Process_Details[RV Water (kg) per kg API (WATER)],Table_Process_Details[Display Name],Table_Process_Details[[#This Row],[Unique Process Inputs]],Table_Process_Details[Input or Output],"Input")</f>
        <v>0</v>
      </c>
      <c r="HX88" s="1">
        <f ca="1">SUMIFS(Table_Process_Details[RV Water (kg) per kg API (ENZ&amp;PLNT)],Table_Process_Details[Display Name],Table_Process_Details[[#This Row],[Unique Process Inputs]],Table_Process_Details[Input or Output],"Input")</f>
        <v>0</v>
      </c>
      <c r="HY88" s="1">
        <f ca="1">SUMIFS(Table_Process_Details[RV Water (kg) per kg API (OTHER)],Table_Process_Details[Display Name],Table_Process_Details[[#This Row],[Unique Process Inputs]],Table_Process_Details[Input or Output],"Input")</f>
        <v>0</v>
      </c>
      <c r="HZ88" s="22" t="e">
        <f ca="1">INDEX(Table_Process_Details[Unique Process Inputs],MATCH(Table_Process_Details[[#This Row],['[Water (kg) per kg API'] of Unique Inputs Sorted by '[Water (kg) per kg API']]],Table_Process_Details[Total '[Water (kg) per kg API'] of Unique Inputs],0))</f>
        <v>#N/A</v>
      </c>
      <c r="IA88" s="22" t="e">
        <f ca="1">IF(LARGE(Table_Process_Details[Total '[Water (kg) per kg API'] of Unique Inputs],Table_Process_Details[[#This Row],[Table Row]])=0,NA(),LARGE(Table_Process_Details[Total '[Water (kg) per kg API'] of Unique Inputs],Table_Process_Details[[#This Row],[Table Row]]))</f>
        <v>#N/A</v>
      </c>
      <c r="IB88" s="1" t="e">
        <f ca="1">SUM(OFFSET(Table_Process_Details['[Water (kg) per kg API'] of Unique Inputs Sorted by '[Water (kg) per kg API']],0,0,Table_Process_Details[[#This Row],[Table Row]]))</f>
        <v>#N/A</v>
      </c>
      <c r="IC88" s="1" t="e">
        <f ca="1">"("&amp;TEXT(Table_Process_Details[[#This Row],['[Water (kg) per kg API'] of Unique Inputs Sorted by '[Water (kg) per kg API']]]/SUMIF(Table_Process_Details['[Water (kg) per kg API'] of Unique Inputs Sorted by '[Water (kg) per kg API']],"&lt;&gt;#N/A"),"0%")&amp;")"</f>
        <v>#N/A</v>
      </c>
      <c r="ID88" s="1" t="e">
        <f ca="1">INDEX(Table_Process_Details[Total '[Water (kg) per kg API'] of Unique Inputs (REAGENT)], MATCH(Table_Process_Details[[#This Row],[Unique Inputs Sorted by '[Water (kg) per kg API']]],Table_Process_Details[Unique Process Inputs],0))</f>
        <v>#N/A</v>
      </c>
      <c r="IE88" s="1" t="e">
        <f ca="1">INDEX(Table_Process_Details[Total '[Water (kg) per kg API'] of Unique Inputs (METAL)], MATCH(Table_Process_Details[[#This Row],[Unique Inputs Sorted by '[Water (kg) per kg API']]],Table_Process_Details[Unique Process Inputs],0))</f>
        <v>#N/A</v>
      </c>
      <c r="IF88" s="1" t="e">
        <f ca="1">INDEX(Table_Process_Details[Total '[Water (kg) per kg API'] of Unique Inputs (SOLVENT)], MATCH(Table_Process_Details[[#This Row],[Unique Inputs Sorted by '[Water (kg) per kg API']]],Table_Process_Details[Unique Process Inputs],0))</f>
        <v>#N/A</v>
      </c>
      <c r="IG88" s="1" t="e">
        <f ca="1">INDEX(Table_Process_Details[Total '[Water (kg) per kg API'] of Unique Inputs (WATER)], MATCH(Table_Process_Details[[#This Row],[Unique Inputs Sorted by '[Water (kg) per kg API']]],Table_Process_Details[Unique Process Inputs],0))</f>
        <v>#N/A</v>
      </c>
      <c r="IH88" s="1" t="e">
        <f ca="1">INDEX(Table_Process_Details[Total '[Water (kg) per kg API'] of Unique Inputs (ENZ&amp;PLNT)], MATCH(Table_Process_Details[[#This Row],[Unique Inputs Sorted by '[Water (kg) per kg API']]],Table_Process_Details[Unique Process Inputs],0))</f>
        <v>#N/A</v>
      </c>
      <c r="II88" s="1" t="e">
        <f ca="1">INDEX(Table_Process_Details[Total '[Water (kg) per kg API'] of Unique Inputs (OTHER)], MATCH(Table_Process_Details[[#This Row],[Unique Inputs Sorted by '[Water (kg) per kg API']]],Table_Process_Details[Unique Process Inputs],0))</f>
        <v>#N/A</v>
      </c>
    </row>
    <row r="89" spans="1:243" customFormat="1" x14ac:dyDescent="0.25">
      <c r="A89" s="22" t="str">
        <f t="shared" si="3"/>
        <v>4) Synthesis of Intermediate (4)</v>
      </c>
      <c r="B89" s="21" t="s">
        <v>4</v>
      </c>
      <c r="C89" s="21" t="s">
        <v>170</v>
      </c>
      <c r="D89" s="22" t="str">
        <f>A82</f>
        <v>4c) Virtual solution prep for (4): 0.3 M reagent L (organic) in water</v>
      </c>
      <c r="E89" s="22" t="str">
        <f>E82</f>
        <v>0.3 M reagent L (organic) in water</v>
      </c>
      <c r="F89" s="26">
        <v>175</v>
      </c>
      <c r="G89" s="26"/>
      <c r="H89" s="26"/>
      <c r="I89" s="26"/>
      <c r="J89" s="26" t="str">
        <f>INDEX(Process_Steps[Reference],MATCH(Table_Process_Details[[#This Row],[Step Name]],Process_Steps[Name],0))</f>
        <v>Penultimate Reference Document</v>
      </c>
      <c r="K89" s="27" t="str">
        <f>INDEX(Process_Steps[Real or Virtual?],MATCH(Table_Process_Details[[#This Row],[Step Name]],Process_Steps[Name],0))</f>
        <v>Real</v>
      </c>
      <c r="L8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8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89" s="26">
        <f>INDEX(Table_Process_Details[Physical Mass (kg)],MATCH(1,INDEX(((Table_Process_Details[Step Name]=Table_Process_Details[[#This Row],[Step Name]])*(Table_Process_Details[Input or Output]="Output")),0),0))</f>
        <v>54.49</v>
      </c>
      <c r="O89" s="29">
        <f ca="1">INDEX(Process_Steps[Step Scale Factor for 1kg Packaged API],MATCH(Table_Process_Details[[#This Row],[Step Name]],Process_Steps[Name],0))</f>
        <v>2.2022389429253091E-2</v>
      </c>
      <c r="P8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v>
      </c>
      <c r="Q8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3</v>
      </c>
      <c r="R89" s="26">
        <f ca="1">_xlfn.SWITCH(Run_Reset_PNG,"Reset",Table_Process_Details[[#This Row],[X Init]],"Run",Table_Process_Details[[#This Row],[X Moved]],"Freeze",Table_Process_Details[[#This Row],[X Mover]])</f>
        <v>16.165899236862185</v>
      </c>
      <c r="S89" s="26">
        <f ca="1">_xlfn.SWITCH(Run_Reset_PNG,"Reset",Table_Process_Details[[#This Row],[Y Init]],"Run",Table_Process_Details[[#This Row],[Y Moved]],"Freeze",Table_Process_Details[[#This Row],[Y Mover]])</f>
        <v>0.63871313994113799</v>
      </c>
      <c r="T89" s="26" cm="1">
        <f t="array" aca="1" ref="T8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-4.4559292884565838E-2</v>
      </c>
      <c r="U89" s="26" cm="1">
        <f t="array" aca="1" ref="U8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0.60413441048154726</v>
      </c>
      <c r="V89" s="26" cm="1">
        <f t="array" aca="1" ref="V89" ca="1">SUM(--(SQRT((Table_Process_Details[[#This Row],[X Mover]]-Table_Process_Details[X Mover])^2+(Table_Process_Details[[#This Row],[Y Mover]]-Table_Process_Details[Y Mover])^2)&lt;Collision_Distance))</f>
        <v>17</v>
      </c>
      <c r="W89" s="26" cm="1">
        <f t="array" aca="1" ref="W8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7.5746061541383081E-2</v>
      </c>
      <c r="X89" s="26" cm="1">
        <f t="array" aca="1" ref="X8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-0.11655185315409297</v>
      </c>
      <c r="Y89" s="26" cm="1">
        <f t="array" aca="1" ref="Y8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89" s="26">
        <f>0</f>
        <v>0</v>
      </c>
      <c r="AA89" s="26">
        <f>0</f>
        <v>0</v>
      </c>
      <c r="AB8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-8.0829496184310923</v>
      </c>
      <c r="AC89" s="26" cm="1">
        <f t="array" aca="1" ref="AC8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-0.31935656997056899</v>
      </c>
      <c r="AD89" s="26">
        <f>MIN(1,COUNTA(Table_Process_Details[[#This Row],[target x]]),COUNTA(Table_Process_Details[[#This Row],[target y]]))*COUNTA(Table_Process_Details[Step Name])</f>
        <v>98</v>
      </c>
      <c r="AE8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16.118672055018219</v>
      </c>
      <c r="AF8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0.61271579111780816</v>
      </c>
      <c r="AG8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89" s="26" cm="1">
        <f t="array" aca="1" ref="AH89" ca="1">INDEX(Table_Process_Details[X Mover],MATCH(1,INDEX((Table_Process_Details[Input or Output]="Output")*(Table_Process_Details[Step Name]=Table_Process_Details[[#This Row],[Step Name]])*(Table_Process_Details[[#This Row],[Input or Output]]="Input"),0),0))</f>
        <v>19.635390140975865</v>
      </c>
      <c r="AI89" s="26" cm="1">
        <f t="array" aca="1" ref="AI89" ca="1">INDEX(Table_Process_Details[Y Mover],MATCH(1,INDEX((Table_Process_Details[Input or Output]="Output")*(Table_Process_Details[Step Name]=Table_Process_Details[[#This Row],[Step Name]])*(Table_Process_Details[[#This Row],[Input or Output]]="Input"),0),0))</f>
        <v>-1.0304434005151315</v>
      </c>
      <c r="AJ89" s="26">
        <f ca="1">SQRT((Table_Process_Details[[#This Row],[X End (To Node Center)]]-Table_Process_Details[[#This Row],[X Guide]])^2+(Table_Process_Details[[#This Row],[Y End (to Node Center)]]-Table_Process_Details[[#This Row],[Y Guide]])^2)</f>
        <v>3.8501234642898798</v>
      </c>
      <c r="AK89" s="26" cm="1">
        <f t="array" aca="1" ref="AK89" ca="1">INDEX(Table_Process_Details[X Mover],MATCH(1,INDEX((Table_Process_Details[Step Name]=Table_Process_Details[[#This Row],[LCA Data Source Subclass]])*(Table_Process_Details[Input or Output]="Output"),0)*(Table_Process_Details[[#This Row],[Input or Output]]="Input"),0))</f>
        <v>12.621624199762062</v>
      </c>
      <c r="AL89" s="26" cm="1">
        <f t="array" aca="1" ref="AL89" ca="1">INDEX(Table_Process_Details[X Mover],MATCH(1,INDEX(((Table_Process_Details[Table Row]=Table_Process_Details[[#This Row],[Table Row]])*(1)),0)*(Table_Process_Details[[#This Row],[Input or Output]]="Input"),0))</f>
        <v>16.165899236862185</v>
      </c>
      <c r="AM89" s="26" cm="1">
        <f t="array" aca="1" ref="AM89" ca="1">(Table_Process_Details[[#This Row],[X End (To Node Center)]]*Table_Process_Details[[#This Row],[r0]]-Table_Process_Details[[#This Row],[X End (To Node Center)]]*Arrow_Offset+Table_Process_Details[[#This Row],[X Guide]]*Arrow_Offset)/Table_Process_Details[[#This Row],[r0]]</f>
        <v>18.914480084705016</v>
      </c>
      <c r="AN89" s="26">
        <f ca="1">IF(NOT(Table_Process_Details[[#This Row],[Display As]]="None"),Table_Process_Details[[#This Row],[X Start Prefilter]],NA())</f>
        <v>12.621624199762062</v>
      </c>
      <c r="AO89" s="26">
        <f ca="1">IF(NOT(Table_Process_Details[[#This Row],[Display As]]="None"),Table_Process_Details[[#This Row],[X Guide Prefilter]],NA())</f>
        <v>16.165899236862185</v>
      </c>
      <c r="AP89" s="26">
        <f ca="1">IF(NOT(Table_Process_Details[[#This Row],[Display As]]="None"),Table_Process_Details[[#This Row],[X End (to Stop Radius) Prefilter]],NA())</f>
        <v>18.914480084705016</v>
      </c>
      <c r="AQ89" s="26" t="e">
        <f>NA()</f>
        <v>#N/A</v>
      </c>
      <c r="AR89" s="26" cm="1">
        <f t="array" aca="1" ref="AR89" ca="1">INDEX(Table_Process_Details[Y Mover],MATCH(1,INDEX((Table_Process_Details[Step Name]=Table_Process_Details[[#This Row],[LCA Data Source Subclass]])*(Table_Process_Details[Input or Output]="Output"),0)*(Table_Process_Details[[#This Row],[Input or Output]]="Input"),0))</f>
        <v>1.4198616275470548</v>
      </c>
      <c r="AS89" s="26" cm="1">
        <f t="array" aca="1" ref="AS89" ca="1">INDEX(Table_Process_Details[Y Mover],MATCH(1,INDEX(((Table_Process_Details[Table Row]=Table_Process_Details[[#This Row],[Table Row]])*(1)),0)*(Table_Process_Details[[#This Row],[Input or Output]]="Input"),0))</f>
        <v>0.63871313994113799</v>
      </c>
      <c r="AT89" s="26" cm="1">
        <f t="array" aca="1" ref="AT89" ca="1">(Table_Process_Details[[#This Row],[Y Guide]]*Arrow_Offset-Table_Process_Details[[#This Row],[Y End (to Node Center)]]*Arrow_Offset+Table_Process_Details[[#This Row],[Y End (to Node Center)]]*Table_Process_Details[[#This Row],[r0]])/Table_Process_Details[[#This Row],[r0]]</f>
        <v>-0.68361680008264269</v>
      </c>
      <c r="AU89" s="26">
        <f ca="1">IF(NOT(Table_Process_Details[[#This Row],[Display As]]="None"),Table_Process_Details[[#This Row],[Y Start Prefilter]],NA())</f>
        <v>1.4198616275470548</v>
      </c>
      <c r="AV89" s="26">
        <f ca="1">IF(NOT(Table_Process_Details[[#This Row],[Display As]]="None"),Table_Process_Details[[#This Row],[Y Guide Prefilter]],NA())</f>
        <v>0.63871313994113799</v>
      </c>
      <c r="AW89" s="26">
        <f ca="1">IF(NOT(Table_Process_Details[[#This Row],[Display As]]="None"),Table_Process_Details[[#This Row],[Y End (to Stop Radius) Prefilter]],NA())</f>
        <v>-0.68361680008264269</v>
      </c>
      <c r="AX89" s="26" t="e">
        <f>NA()</f>
        <v>#N/A</v>
      </c>
      <c r="AY89" s="26" t="e">
        <f>IF(Table_Process_Details[[#This Row],[Display As]]="Real Step",Table_Process_Details[[#This Row],[X Mover]],NA())</f>
        <v>#N/A</v>
      </c>
      <c r="AZ89" s="26" t="e">
        <f>IF(Table_Process_Details[[#This Row],[Display As]]="Real Step",Table_Process_Details[[#This Row],[Y Mover]],NA())</f>
        <v>#N/A</v>
      </c>
      <c r="BA89" s="26" t="e">
        <f>IF(Table_Process_Details[[#This Row],[Display As]]="Raw Material",Table_Process_Details[[#This Row],[X Mover]],NA())</f>
        <v>#N/A</v>
      </c>
      <c r="BB89" s="26" t="e">
        <f>IF(Table_Process_Details[[#This Row],[Display As]]="Raw Material",Table_Process_Details[[#This Row],[Y Mover]],NA())</f>
        <v>#N/A</v>
      </c>
      <c r="BC89" s="26" t="e">
        <f>IF(OR(Table_Process_Details[[#This Row],[Display As]]="Real Step",Table_Process_Details[[#This Row],[Display As]]="Raw Material"),Table_Process_Details[[#This Row],[X Mover]],NA())</f>
        <v>#N/A</v>
      </c>
      <c r="BD89" s="26" t="e">
        <f>IF(OR(Table_Process_Details[[#This Row],[Display As]]="Real Step",Table_Process_Details[[#This Row],[Display As]]="Raw Material"),Table_Process_Details[[#This Row],[Y Mover]],NA())</f>
        <v>#N/A</v>
      </c>
      <c r="BE89" s="22">
        <f>ROW()-ROW(Table_Process_Details[[#Headers],[Table Row]])</f>
        <v>85</v>
      </c>
      <c r="BF89" s="23" t="e" cm="1">
        <f t="array" aca="1" ref="BF89" ca="1">INDEX(Table_Process_Details[Display Name],MATCH(0,IF(Table_Process_Details[Input or Output]="Input",INDEX(COUNTIF(OFFSET(Table_Process_Details[[#Headers],[Unique Process Inputs]],0,0,Table_Process_Details[[#This Row],[Table Row]],1),Table_Process_Details[Display Name]),),""),0))</f>
        <v>#N/A</v>
      </c>
      <c r="BG89" s="23">
        <f ca="1">Table_Process_Details[[#This Row],[Physical Mass (kg)]]*Table_Process_Details[[#This Row],[Step Scale Factor for 1kg Packaged API]]</f>
        <v>3.853918150119291</v>
      </c>
      <c r="BH8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0.99999999999999345</v>
      </c>
      <c r="BI89" s="23">
        <f ca="1">MATCH(Table_Process_Details[[#This Row],[LCA Data Source Class]],INDIRECT(Table_Process_Details[[#This Row],[Input or Output]]),0)</f>
        <v>1</v>
      </c>
      <c r="BJ89" s="23">
        <f ca="1">MATCH(Table_Process_Details[[#This Row],[LCA Data Source Subclass]],INDIRECT(Table_Process_Details[[#This Row],[LCA Data Source Class]]&amp;"[Name]"),0)</f>
        <v>17</v>
      </c>
      <c r="BK89" s="23">
        <f ca="1">IFERROR(INDEX(INDIRECT(Table_Process_Details[[#This Row],[LCA Data Source Class]]&amp;"[Mass Net (kg)]"),MATCH(Table_Process_Details[[#This Row],[LCA Data Source Subclass]],INDIRECT(Table_Process_Details[[#This Row],[LCA Data Source Class]]&amp;"[Name]"),0)),0)</f>
        <v>0</v>
      </c>
      <c r="BL89" s="23">
        <f ca="1">IFERROR(INDEX(INDIRECT(Table_Process_Details[[#This Row],[LCA Data Source Class]]&amp;"[Energy (MJ)]"),MATCH(Table_Process_Details[[#This Row],[LCA Data Source Subclass]],INDIRECT(Table_Process_Details[[#This Row],[LCA Data Source Class]]&amp;"[Name]"),0)),0)</f>
        <v>0</v>
      </c>
      <c r="BM89" s="23">
        <f ca="1">IFERROR(INDEX(INDIRECT(Table_Process_Details[[#This Row],[LCA Data Source Class]]&amp;"[GWP (kg CO2 equiv.)]"),MATCH(Table_Process_Details[[#This Row],[LCA Data Source Subclass]],INDIRECT(Table_Process_Details[[#This Row],[LCA Data Source Class]]&amp;"[Name]"),0)),0)</f>
        <v>0</v>
      </c>
      <c r="BN89" s="23">
        <f ca="1">IFERROR(INDEX(INDIRECT(Table_Process_Details[[#This Row],[LCA Data Source Class]]&amp;"[Acidification (kg SO2 equiv.)]"),MATCH(Table_Process_Details[[#This Row],[LCA Data Source Subclass]],INDIRECT(Table_Process_Details[[#This Row],[LCA Data Source Class]]&amp;"[Name]"),0)),0)</f>
        <v>0</v>
      </c>
      <c r="BO89" s="23">
        <f ca="1">IFERROR(INDEX(INDIRECT(Table_Process_Details[[#This Row],[LCA Data Source Class]]&amp;"[Eutrophication (kg posphate equiv.)]"),MATCH(Table_Process_Details[[#This Row],[LCA Data Source Subclass]],INDIRECT(Table_Process_Details[[#This Row],[LCA Data Source Class]]&amp;"[Name]"),0)),0)</f>
        <v>0</v>
      </c>
      <c r="BP89" s="23">
        <f ca="1">IFERROR(INDEX(INDIRECT(Table_Process_Details[[#This Row],[LCA Data Source Class]]&amp;"[Water (kg)]"),MATCH(Table_Process_Details[[#This Row],[LCA Data Source Subclass]],INDIRECT(Table_Process_Details[[#This Row],[LCA Data Source Class]]&amp;"[Name]"),0)),0)</f>
        <v>0</v>
      </c>
      <c r="BQ89" s="27">
        <f ca="1">(Table_Process_Details[[#This Row],[Input or Output]]="Input")*(Table_Process_Details[[#This Row],[LCA Data Source Class]]&lt;&gt;"Process_Steps")*Table_Process_Details[[#This Row],[Scaled Physical Mass per kg API for All Inputs &amp; Outputs]]</f>
        <v>0</v>
      </c>
      <c r="BR89" s="27">
        <f ca="1">(Table_Process_Details[[#This Row],[Material Class]]="REAGENT")*Table_Process_Details[[#This Row],[Physical Mass per kg API]]</f>
        <v>0</v>
      </c>
      <c r="BS89" s="27">
        <f ca="1">(Table_Process_Details[[#This Row],[Material Class]]="METAL")*Table_Process_Details[[#This Row],[Physical Mass per kg API]]</f>
        <v>0</v>
      </c>
      <c r="BT89" s="27">
        <f ca="1">(Table_Process_Details[[#This Row],[Material Class]]="SOLVENT")*Table_Process_Details[[#This Row],[Physical Mass per kg API]]</f>
        <v>0</v>
      </c>
      <c r="BU89" s="27">
        <f ca="1">(Table_Process_Details[[#This Row],[Material Class]]="WATER")*Table_Process_Details[[#This Row],[Physical Mass per kg API]]</f>
        <v>0</v>
      </c>
      <c r="BV89" s="27">
        <f ca="1">(Table_Process_Details[[#This Row],[Material Class]]="ENZ&amp;PLNT")*Table_Process_Details[[#This Row],[Physical Mass per kg API]]</f>
        <v>0</v>
      </c>
      <c r="BW89" s="27">
        <f ca="1">(Table_Process_Details[[#This Row],[Material Class]]="OTHER")*Table_Process_Details[[#This Row],[Physical Mass per kg API]]</f>
        <v>0</v>
      </c>
      <c r="BX8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3.853918150119291</v>
      </c>
      <c r="BY8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1.1011194714626547</v>
      </c>
      <c r="BZ8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8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8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2.7527986786566365</v>
      </c>
      <c r="CC8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8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89" s="1">
        <f ca="1">SUMIFS(Table_Process_Details[RV Physical Mass per kg API],Table_Process_Details[Display Name],Table_Process_Details[[#This Row],[Unique Process Inputs]],Table_Process_Details[Input or Output],"Input")</f>
        <v>0</v>
      </c>
      <c r="CF89" s="1">
        <f ca="1">SUMIFS(Table_Process_Details[RV Physical Mass per kg API (REAGENT)],Table_Process_Details[Display Name],Table_Process_Details[[#This Row],[Unique Process Inputs]],Table_Process_Details[Input or Output],"Input")</f>
        <v>0</v>
      </c>
      <c r="CG89" s="1">
        <f ca="1">SUMIFS(Table_Process_Details[RV Physical Mass per kg API (METAL)],Table_Process_Details[Display Name],Table_Process_Details[[#This Row],[Unique Process Inputs]],Table_Process_Details[Input or Output],"Input")</f>
        <v>0</v>
      </c>
      <c r="CH89" s="1">
        <f ca="1">SUMIFS(Table_Process_Details[RV Physical Mass per kg API (SOLVENT)],Table_Process_Details[Display Name],Table_Process_Details[[#This Row],[Unique Process Inputs]],Table_Process_Details[Input or Output],"Input")</f>
        <v>0</v>
      </c>
      <c r="CI89" s="1">
        <f ca="1">SUMIFS(Table_Process_Details[RV Physical Mass per kg API (WATER)],Table_Process_Details[Display Name],Table_Process_Details[[#This Row],[Unique Process Inputs]],Table_Process_Details[Input or Output],"Input")</f>
        <v>0</v>
      </c>
      <c r="CJ89" s="1">
        <f ca="1">SUMIFS(Table_Process_Details[RV Physical Mass per kg API (ENZ&amp;PLNT)],Table_Process_Details[Display Name],Table_Process_Details[[#This Row],[Unique Process Inputs]],Table_Process_Details[Input or Output],"Input")</f>
        <v>0</v>
      </c>
      <c r="CK89" s="1">
        <f ca="1">SUMIFS(Table_Process_Details[RV Physical Mass per kg API (OTHER)],Table_Process_Details[Display Name],Table_Process_Details[[#This Row],[Unique Process Inputs]],Table_Process_Details[Input or Output],"Input")</f>
        <v>0</v>
      </c>
      <c r="CL89" s="22" t="e">
        <f ca="1">INDEX(Table_Process_Details[Unique Process Inputs],MATCH(Table_Process_Details[[#This Row],['[Physical Mass per kg API'] of Unique Inputs Sorted by '[Physical Mass per kg API']]],Table_Process_Details[Total '[Physical Mass per kg API'] of Unique Inputs],0))</f>
        <v>#N/A</v>
      </c>
      <c r="CM89" s="22" t="e">
        <f ca="1">IF(LARGE(Table_Process_Details[Total '[Physical Mass per kg API'] of Unique Inputs],Table_Process_Details[[#This Row],[Table Row]])=0,NA(),LARGE(Table_Process_Details[Total '[Physical Mass per kg API'] of Unique Inputs],Table_Process_Details[[#This Row],[Table Row]]))</f>
        <v>#N/A</v>
      </c>
      <c r="CN89" s="22" t="e">
        <f ca="1">SUM(OFFSET(Table_Process_Details['[Physical Mass per kg API'] of Unique Inputs Sorted by '[Physical Mass per kg API']],0,0,Table_Process_Details[[#This Row],[Table Row]]))</f>
        <v>#N/A</v>
      </c>
      <c r="CO89" s="22" t="e">
        <f ca="1">"("&amp;TEXT(Table_Process_Details[[#This Row],['[Physical Mass per kg API'] of Unique Inputs Sorted by '[Physical Mass per kg API']]]/SUMIF(Table_Process_Details['[Physical Mass per kg API'] of Unique Inputs Sorted by '[Physical Mass per kg API']],"&lt;&gt;#N/A"),"0%")&amp;")"</f>
        <v>#N/A</v>
      </c>
      <c r="CP89" s="22" t="e">
        <f ca="1">INDEX(Table_Process_Details[Total '[Physical Mass per kg API'] of Unique Inputs (REAGENT)],MATCH(Table_Process_Details[[#This Row],[Unique Inputs Sorted by '[Physical Mass per kg API']]],Table_Process_Details[Unique Process Inputs],0))</f>
        <v>#N/A</v>
      </c>
      <c r="CQ89" s="22" t="e">
        <f ca="1">INDEX(Table_Process_Details[Total '[Physical Mass per kg API'] of Unique Inputs (METAL)],MATCH(Table_Process_Details[[#This Row],[Unique Inputs Sorted by '[Physical Mass per kg API']]],Table_Process_Details[Unique Process Inputs],0))</f>
        <v>#N/A</v>
      </c>
      <c r="CR89" s="22" t="e">
        <f ca="1">INDEX(Table_Process_Details[Total '[Physical Mass per kg API'] of Unique Inputs (SOLVENT)],MATCH(Table_Process_Details[[#This Row],[Unique Inputs Sorted by '[Physical Mass per kg API']]],Table_Process_Details[Unique Process Inputs],0))</f>
        <v>#N/A</v>
      </c>
      <c r="CS89" s="22" t="e">
        <f ca="1">INDEX(Table_Process_Details[Total '[Physical Mass per kg API'] of Unique Inputs (WATER)],MATCH(Table_Process_Details[[#This Row],[Unique Inputs Sorted by '[Physical Mass per kg API']]],Table_Process_Details[Unique Process Inputs],0))</f>
        <v>#N/A</v>
      </c>
      <c r="CT89" s="22" t="e">
        <f ca="1">INDEX(Table_Process_Details[Total '[Physical Mass per kg API'] of Unique Inputs (ENZ&amp;PLNT)],MATCH(Table_Process_Details[[#This Row],[Unique Inputs Sorted by '[Physical Mass per kg API']]],Table_Process_Details[Unique Process Inputs],0))</f>
        <v>#N/A</v>
      </c>
      <c r="CU89" s="22" t="e">
        <f ca="1">INDEX(Table_Process_Details[Total '[Physical Mass per kg API'] of Unique Inputs (OTHER)],MATCH(Table_Process_Details[[#This Row],[Unique Inputs Sorted by '[Physical Mass per kg API']]],Table_Process_Details[Unique Process Inputs],0))</f>
        <v>#N/A</v>
      </c>
      <c r="CV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2.3012807641798747</v>
      </c>
      <c r="CW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2.2970682518840406</v>
      </c>
      <c r="CX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4.212512295834101E-3</v>
      </c>
      <c r="DA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8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89" s="22">
        <f ca="1">SUMIFS(Table_Process_Details[RV Mass Net (kg) per kg API],Table_Process_Details[Display Name],Table_Process_Details[[#This Row],[Unique Process Inputs]],Table_Process_Details[Input or Output],"Input")</f>
        <v>0</v>
      </c>
      <c r="DD89" s="22">
        <f ca="1">SUMIFS(Table_Process_Details[RV Mass Net (kg) per kg API (REAGENT)],Table_Process_Details[Display Name],Table_Process_Details[[#This Row],[Unique Process Inputs]],Table_Process_Details[Input or Output],"Input")</f>
        <v>0</v>
      </c>
      <c r="DE89" s="22">
        <f ca="1">SUMIFS(Table_Process_Details[RV Mass Net (kg) per kg API (METAL)],Table_Process_Details[Display Name],Table_Process_Details[[#This Row],[Unique Process Inputs]],Table_Process_Details[Input or Output],"Input")</f>
        <v>0</v>
      </c>
      <c r="DF89" s="22">
        <f ca="1">SUMIFS(Table_Process_Details[RV Mass Net (kg) per kg API (SOLVENT)],Table_Process_Details[Display Name],Table_Process_Details[[#This Row],[Unique Process Inputs]],Table_Process_Details[Input or Output],"Input")</f>
        <v>0</v>
      </c>
      <c r="DG89" s="22">
        <f ca="1">SUMIFS(Table_Process_Details[RV Mass Net (kg) per kg API (WATER)],Table_Process_Details[Display Name],Table_Process_Details[[#This Row],[Unique Process Inputs]],Table_Process_Details[Input or Output],"Input")</f>
        <v>0</v>
      </c>
      <c r="DH89" s="22">
        <f ca="1">SUMIFS(Table_Process_Details[RV Mass Net (kg) per kg API (ENZ&amp;PLNT)],Table_Process_Details[Display Name],Table_Process_Details[[#This Row],[Unique Process Inputs]],Table_Process_Details[Input or Output],"Input")</f>
        <v>0</v>
      </c>
      <c r="DI89" s="22">
        <f ca="1">SUMIFS(Table_Process_Details[RV Mass Net (kg) per kg API (OTHER)],Table_Process_Details[Display Name],Table_Process_Details[[#This Row],[Unique Process Inputs]],Table_Process_Details[Input or Output],"Input")</f>
        <v>0</v>
      </c>
      <c r="DJ89" s="22" t="e">
        <f ca="1">INDEX(Table_Process_Details[Unique Process Inputs],MATCH(Table_Process_Details[[#This Row],['[Mass Net (kg) per kg API'] of Unique Inputs Sorted by '[Mass Net (kg) per kg API']]],Table_Process_Details[Total '[Mass Net (kg) per kg API'] of Unique Inputs],0))</f>
        <v>#N/A</v>
      </c>
      <c r="DK89" s="22" t="e">
        <f ca="1">IF(LARGE(Table_Process_Details[Total '[Mass Net (kg) per kg API'] of Unique Inputs],Table_Process_Details[[#This Row],[Table Row]])=0,NA(),LARGE(Table_Process_Details[Total '[Mass Net (kg) per kg API'] of Unique Inputs],Table_Process_Details[[#This Row],[Table Row]]))</f>
        <v>#N/A</v>
      </c>
      <c r="DL89" s="22" t="e">
        <f ca="1">SUM(OFFSET(Table_Process_Details['[Mass Net (kg) per kg API'] of Unique Inputs Sorted by '[Mass Net (kg) per kg API']],0,0,Table_Process_Details[[#This Row],[Table Row]]))</f>
        <v>#N/A</v>
      </c>
      <c r="DM89" s="22" t="e">
        <f ca="1">"("&amp;TEXT(Table_Process_Details[[#This Row],['[Mass Net (kg) per kg API'] of Unique Inputs Sorted by '[Mass Net (kg) per kg API']]]/SUMIF(Table_Process_Details['[Mass Net (kg) per kg API'] of Unique Inputs Sorted by '[Mass Net (kg) per kg API']],"&lt;&gt;#N/A"),"0%")&amp;")"</f>
        <v>#N/A</v>
      </c>
      <c r="DN89" s="22" t="e">
        <f ca="1">INDEX(Table_Process_Details[Total '[Mass Net (kg) per kg API'] of Unique Inputs (REAGENT)], MATCH(Table_Process_Details[[#This Row],[Unique Inputs Sorted by '[Mass Net (kg) per kg API']]],Table_Process_Details[Unique Process Inputs],0))</f>
        <v>#N/A</v>
      </c>
      <c r="DO89" s="22" t="e">
        <f ca="1">INDEX(Table_Process_Details[Total '[Mass Net (kg) per kg API'] of Unique Inputs (METAL)], MATCH(Table_Process_Details[[#This Row],[Unique Inputs Sorted by '[Mass Net (kg) per kg API']]],Table_Process_Details[Unique Process Inputs],0))</f>
        <v>#N/A</v>
      </c>
      <c r="DP89" s="22" t="e">
        <f ca="1">INDEX(Table_Process_Details[Total '[Mass Net (kg) per kg API'] of Unique Inputs (SOLVENT)], MATCH(Table_Process_Details[[#This Row],[Unique Inputs Sorted by '[Mass Net (kg) per kg API']]],Table_Process_Details[Unique Process Inputs],0))</f>
        <v>#N/A</v>
      </c>
      <c r="DQ89" s="22" t="e">
        <f ca="1">INDEX(Table_Process_Details[Total '[Mass Net (kg) per kg API'] of Unique Inputs (WATER)], MATCH(Table_Process_Details[[#This Row],[Unique Inputs Sorted by '[Mass Net (kg) per kg API']]],Table_Process_Details[Unique Process Inputs],0))</f>
        <v>#N/A</v>
      </c>
      <c r="DR89" s="22" t="e">
        <f ca="1">INDEX(Table_Process_Details[Total '[Mass Net (kg) per kg API'] of Unique Inputs (ENZ&amp;PLNT)], MATCH(Table_Process_Details[[#This Row],[Unique Inputs Sorted by '[Mass Net (kg) per kg API']]],Table_Process_Details[Unique Process Inputs],0))</f>
        <v>#N/A</v>
      </c>
      <c r="DS89" s="22" t="e">
        <f ca="1">INDEX(Table_Process_Details[Total '[Mass Net (kg) per kg API'] of Unique Inputs (OTHER)], MATCH(Table_Process_Details[[#This Row],[Unique Inputs Sorted by '[Mass Net (kg) per kg API']]],Table_Process_Details[Unique Process Inputs],0))</f>
        <v>#N/A</v>
      </c>
      <c r="DT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82.490292633037214</v>
      </c>
      <c r="DU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82.437829267282027</v>
      </c>
      <c r="DV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5.2463365755184482E-2</v>
      </c>
      <c r="DY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8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89" s="1">
        <f ca="1">SUMIFS(Table_Process_Details[RV Energy (MJ) per kg API],Table_Process_Details[Display Name],Table_Process_Details[[#This Row],[Unique Process Inputs]],Table_Process_Details[Input or Output],"Input")</f>
        <v>0</v>
      </c>
      <c r="EB89" s="1">
        <f ca="1">SUMIFS(Table_Process_Details[RV Energy (MJ) per kg API (REAGENT)],Table_Process_Details[Display Name],Table_Process_Details[[#This Row],[Unique Process Inputs]],Table_Process_Details[Input or Output],"Input")</f>
        <v>0</v>
      </c>
      <c r="EC89" s="1">
        <f ca="1">SUMIFS(Table_Process_Details[RV Energy (MJ) per kg API (METAL)],Table_Process_Details[Display Name],Table_Process_Details[[#This Row],[Unique Process Inputs]],Table_Process_Details[Input or Output],"Input")</f>
        <v>0</v>
      </c>
      <c r="ED89" s="1">
        <f ca="1">SUMIFS(Table_Process_Details[RV Energy (MJ) per kg API (SOLVENT)],Table_Process_Details[Display Name],Table_Process_Details[[#This Row],[Unique Process Inputs]],Table_Process_Details[Input or Output],"Input")</f>
        <v>0</v>
      </c>
      <c r="EE89" s="1">
        <f ca="1">SUMIFS(Table_Process_Details[RV Energy (MJ) per kg API (WATER)],Table_Process_Details[Display Name],Table_Process_Details[[#This Row],[Unique Process Inputs]],Table_Process_Details[Input or Output],"Input")</f>
        <v>0</v>
      </c>
      <c r="EF89" s="1">
        <f ca="1">SUMIFS(Table_Process_Details[RV Energy (MJ) per kg API (ENZ&amp;PLNT)],Table_Process_Details[Display Name],Table_Process_Details[[#This Row],[Unique Process Inputs]],Table_Process_Details[Input or Output],"Input")</f>
        <v>0</v>
      </c>
      <c r="EG89" s="1">
        <f ca="1">SUMIFS(Table_Process_Details[RV Energy (MJ) per kg API (OTHER)],Table_Process_Details[Display Name],Table_Process_Details[[#This Row],[Unique Process Inputs]],Table_Process_Details[Input or Output],"Input")</f>
        <v>0</v>
      </c>
      <c r="EH89" s="1" t="e">
        <f ca="1">INDEX(Table_Process_Details[Unique Process Inputs],MATCH(Table_Process_Details[[#This Row],['[Energy (MJ) per kg API'] of Unique Inputs Sorted by '[Energy (MJ) per kg API']]],Table_Process_Details[Total '[Energy (MJ) per kg API'] of Unique Inputs],0))</f>
        <v>#N/A</v>
      </c>
      <c r="EI89" s="22" t="e">
        <f ca="1">IF(LARGE(Table_Process_Details[Total '[Energy (MJ) per kg API'] of Unique Inputs],Table_Process_Details[[#This Row],[Table Row]])=0,NA(),LARGE(Table_Process_Details[Total '[Energy (MJ) per kg API'] of Unique Inputs],Table_Process_Details[[#This Row],[Table Row]]))</f>
        <v>#N/A</v>
      </c>
      <c r="EJ89" s="22" t="e">
        <f ca="1">SUM(OFFSET(Table_Process_Details['[Energy (MJ) per kg API'] of Unique Inputs Sorted by '[Energy (MJ) per kg API']],0,0,Table_Process_Details[[#This Row],[Table Row]]))</f>
        <v>#N/A</v>
      </c>
      <c r="EK89" s="22" t="e">
        <f ca="1">"("&amp;TEXT(Table_Process_Details[[#This Row],['[Energy (MJ) per kg API'] of Unique Inputs Sorted by '[Energy (MJ) per kg API']]]/SUMIF(Table_Process_Details['[Energy (MJ) per kg API'] of Unique Inputs Sorted by '[Energy (MJ) per kg API']],"&lt;&gt;#N/A"),"0%")&amp;")"</f>
        <v>#N/A</v>
      </c>
      <c r="EL89" s="22" t="e">
        <f ca="1">INDEX(Table_Process_Details[Total '[Energy (MJ) per kg API'] of Unique Inputs (REAGENT)], MATCH(Table_Process_Details[[#This Row],[Unique Inputs Sorted by '[Energy (MJ) per kg API']]],Table_Process_Details[Unique Process Inputs],0))</f>
        <v>#N/A</v>
      </c>
      <c r="EM89" s="22" t="e">
        <f ca="1">INDEX(Table_Process_Details[Total '[Energy (MJ) per kg API'] of Unique Inputs (METAL)], MATCH(Table_Process_Details[[#This Row],[Unique Inputs Sorted by '[Energy (MJ) per kg API']]],Table_Process_Details[Unique Process Inputs],0))</f>
        <v>#N/A</v>
      </c>
      <c r="EN89" s="22" t="e">
        <f ca="1">INDEX(Table_Process_Details[Total '[Energy (MJ) per kg API'] of Unique Inputs (SOLVENT)], MATCH(Table_Process_Details[[#This Row],[Unique Inputs Sorted by '[Energy (MJ) per kg API']]],Table_Process_Details[Unique Process Inputs],0))</f>
        <v>#N/A</v>
      </c>
      <c r="EO89" s="22" t="e">
        <f ca="1">INDEX(Table_Process_Details[Total '[Energy (MJ) per kg API'] of Unique Inputs (WATER)], MATCH(Table_Process_Details[[#This Row],[Unique Inputs Sorted by '[Energy (MJ) per kg API']]],Table_Process_Details[Unique Process Inputs],0))</f>
        <v>#N/A</v>
      </c>
      <c r="EP89" s="22" t="e">
        <f ca="1">INDEX(Table_Process_Details[Total '[Energy (MJ) per kg API'] of Unique Inputs (ENZ&amp;PLNT)], MATCH(Table_Process_Details[[#This Row],[Unique Inputs Sorted by '[Energy (MJ) per kg API']]],Table_Process_Details[Unique Process Inputs],0))</f>
        <v>#N/A</v>
      </c>
      <c r="EQ89" s="22" t="e">
        <f ca="1">INDEX(Table_Process_Details[Total '[Energy (MJ) per kg API'] of Unique Inputs (OTHER)], MATCH(Table_Process_Details[[#This Row],[Unique Inputs Sorted by '[Energy (MJ) per kg API']]],Table_Process_Details[Unique Process Inputs],0))</f>
        <v>#N/A</v>
      </c>
      <c r="ER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2.8925779895097667</v>
      </c>
      <c r="ES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2.8897818562743107</v>
      </c>
      <c r="ET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2.7961332354560497E-3</v>
      </c>
      <c r="EW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8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89" s="22">
        <f ca="1">SUMIFS(Table_Process_Details[RV GWP (kg CO2 equiv.) per kg API],Table_Process_Details[Display Name],Table_Process_Details[[#This Row],[Unique Process Inputs]],Table_Process_Details[Input or Output],"Input")</f>
        <v>0</v>
      </c>
      <c r="EZ89" s="1">
        <f ca="1">SUMIFS(Table_Process_Details[RV GWP (kg CO2 equiv.) per kg API (REAGENT)],Table_Process_Details[Display Name],Table_Process_Details[[#This Row],[Unique Process Inputs]],Table_Process_Details[Input or Output],"Input")</f>
        <v>0</v>
      </c>
      <c r="FA89" s="1">
        <f ca="1">SUMIFS(Table_Process_Details[RV GWP (kg CO2 equiv.) per kg API (METAL)],Table_Process_Details[Display Name],Table_Process_Details[[#This Row],[Unique Process Inputs]],Table_Process_Details[Input or Output],"Input")</f>
        <v>0</v>
      </c>
      <c r="FB89" s="1">
        <f ca="1">SUMIFS(Table_Process_Details[RV GWP (kg CO2 equiv.) per kg API (SOLVENT)],Table_Process_Details[Display Name],Table_Process_Details[[#This Row],[Unique Process Inputs]],Table_Process_Details[Input or Output],"Input")</f>
        <v>0</v>
      </c>
      <c r="FC89" s="1">
        <f ca="1">SUMIFS(Table_Process_Details[RV GWP (kg CO2 equiv.) per kg API (WATER)],Table_Process_Details[Display Name],Table_Process_Details[[#This Row],[Unique Process Inputs]],Table_Process_Details[Input or Output],"Input")</f>
        <v>0</v>
      </c>
      <c r="FD89" s="1">
        <f ca="1">SUMIFS(Table_Process_Details[RV GWP (kg CO2 equiv.) per kg API (ENZ&amp;PLNT)],Table_Process_Details[Display Name],Table_Process_Details[[#This Row],[Unique Process Inputs]],Table_Process_Details[Input or Output],"Input")</f>
        <v>0</v>
      </c>
      <c r="FE89" s="1">
        <f ca="1">SUMIFS(Table_Process_Details[RV GWP (kg CO2 equiv.) per kg API (OTHER)],Table_Process_Details[Display Name],Table_Process_Details[[#This Row],[Unique Process Inputs]],Table_Process_Details[Input or Output],"Input")</f>
        <v>0</v>
      </c>
      <c r="FF89" s="22" t="e">
        <f ca="1">INDEX(Table_Process_Details[Unique Process Inputs],MATCH(Table_Process_Details[[#This Row],['[GWP (kg CO2 equiv.) per kg API'] of Unique Inputs Sorted by '[GWP (kg CO2 equiv.) per kg API']]],Table_Process_Details[Total '[GWP (kg CO2 equiv.) per kg API'] of Unique Inputs],0))</f>
        <v>#N/A</v>
      </c>
      <c r="FG89" s="22" t="e">
        <f ca="1">IF(LARGE(Table_Process_Details[Total '[GWP (kg CO2 equiv.) per kg API'] of Unique Inputs],Table_Process_Details[[#This Row],[Table Row]])=0,NA(),LARGE(Table_Process_Details[Total '[GWP (kg CO2 equiv.) per kg API'] of Unique Inputs],Table_Process_Details[[#This Row],[Table Row]]))</f>
        <v>#N/A</v>
      </c>
      <c r="FH89" s="22" t="e">
        <f ca="1">SUM(OFFSET(Table_Process_Details['[GWP (kg CO2 equiv.) per kg API'] of Unique Inputs Sorted by '[GWP (kg CO2 equiv.) per kg API']],0,0,Table_Process_Details[[#This Row],[Table Row]]))</f>
        <v>#N/A</v>
      </c>
      <c r="FI89" s="22" t="e">
        <f ca="1">"("&amp;TEXT(Table_Process_Details[[#This Row],['[GWP (kg CO2 equiv.) per kg API'] of Unique Inputs Sorted by '[GWP (kg CO2 equiv.) per kg API']]]/SUMIF(Table_Process_Details['[GWP (kg CO2 equiv.) per kg API'] of Unique Inputs Sorted by '[GWP (kg CO2 equiv.) per kg API']],"&lt;&gt;#N/A"),"0%")&amp;")"</f>
        <v>#N/A</v>
      </c>
      <c r="FJ89" s="22" t="e">
        <f ca="1">INDEX(Table_Process_Details[Total '[GWP (kg CO2 equiv.) per kg API'] of Unique Inputs (REAGENT)], MATCH(Table_Process_Details[[#This Row],[Unique Inputs Sorted by '[GWP (kg CO2 equiv.) per kg API']]],Table_Process_Details[Unique Process Inputs],0))</f>
        <v>#N/A</v>
      </c>
      <c r="FK89" s="22" t="e">
        <f ca="1">INDEX(Table_Process_Details[Total '[GWP (kg CO2 equiv.) per kg API'] of Unique Inputs (METAL)], MATCH(Table_Process_Details[[#This Row],[Unique Inputs Sorted by '[GWP (kg CO2 equiv.) per kg API']]],Table_Process_Details[Unique Process Inputs],0))</f>
        <v>#N/A</v>
      </c>
      <c r="FL89" s="22" t="e">
        <f ca="1">INDEX(Table_Process_Details[Total '[GWP (kg CO2 equiv.) per kg API'] of Unique Inputs (SOLVENT)], MATCH(Table_Process_Details[[#This Row],[Unique Inputs Sorted by '[GWP (kg CO2 equiv.) per kg API']]],Table_Process_Details[Unique Process Inputs],0))</f>
        <v>#N/A</v>
      </c>
      <c r="FM89" s="22" t="e">
        <f ca="1">INDEX(Table_Process_Details[Total '[GWP (kg CO2 equiv.) per kg API'] of Unique Inputs (WATER)], MATCH(Table_Process_Details[[#This Row],[Unique Inputs Sorted by '[GWP (kg CO2 equiv.) per kg API']]],Table_Process_Details[Unique Process Inputs],0))</f>
        <v>#N/A</v>
      </c>
      <c r="FN89" s="22" t="e">
        <f ca="1">INDEX(Table_Process_Details[Total '[GWP (kg CO2 equiv.) per kg API'] of Unique Inputs (ENZ&amp;PLNT)], MATCH(Table_Process_Details[[#This Row],[Unique Inputs Sorted by '[GWP (kg CO2 equiv.) per kg API']]],Table_Process_Details[Unique Process Inputs],0))</f>
        <v>#N/A</v>
      </c>
      <c r="FO89" s="22" t="e">
        <f ca="1">INDEX(Table_Process_Details[Total '[GWP (kg CO2 equiv.) per kg API'] of Unique Inputs (OTHER)], MATCH(Table_Process_Details[[#This Row],[Unique Inputs Sorted by '[GWP (kg CO2 equiv.) per kg API']]],Table_Process_Details[Unique Process Inputs],0))</f>
        <v>#N/A</v>
      </c>
      <c r="FP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1.2368701410587333E-2</v>
      </c>
      <c r="FQ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1.2357989073461254E-2</v>
      </c>
      <c r="FR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1.0712337126078188E-5</v>
      </c>
      <c r="FU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8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89" s="22">
        <f ca="1">SUMIFS(Table_Process_Details[RV Acidification (kg SO2 equiv.) per kg API],Table_Process_Details[Display Name],Table_Process_Details[[#This Row],[Unique Process Inputs]],Table_Process_Details[Input or Output],"Input")</f>
        <v>0</v>
      </c>
      <c r="FX89" s="1">
        <f ca="1">SUMIFS(Table_Process_Details[RV Acidification (kg SO2 equiv.) per kg API (REAGENT)],Table_Process_Details[Display Name],Table_Process_Details[[#This Row],[Unique Process Inputs]],Table_Process_Details[Input or Output],"Input")</f>
        <v>0</v>
      </c>
      <c r="FY89" s="1">
        <f ca="1">SUMIFS(Table_Process_Details[RV Acidification (kg SO2 equiv.) per kg API (METAL)],Table_Process_Details[Display Name],Table_Process_Details[[#This Row],[Unique Process Inputs]],Table_Process_Details[Input or Output],"Input")</f>
        <v>0</v>
      </c>
      <c r="FZ89" s="1">
        <f ca="1">SUMIFS(Table_Process_Details[RV Acidification (kg SO2 equiv.) per kg API (SOLVENT)],Table_Process_Details[Display Name],Table_Process_Details[[#This Row],[Unique Process Inputs]],Table_Process_Details[Input or Output],"Input")</f>
        <v>0</v>
      </c>
      <c r="GA89" s="1">
        <f ca="1">SUMIFS(Table_Process_Details[RV Acidification (kg SO2 equiv.) per kg API (WATER)],Table_Process_Details[Display Name],Table_Process_Details[[#This Row],[Unique Process Inputs]],Table_Process_Details[Input or Output],"Input")</f>
        <v>0</v>
      </c>
      <c r="GB89" s="1">
        <f ca="1">SUMIFS(Table_Process_Details[RV Acidification (kg SO2 equiv.) per kg API (ENZ&amp;PLNT)],Table_Process_Details[Display Name],Table_Process_Details[[#This Row],[Unique Process Inputs]],Table_Process_Details[Input or Output],"Input")</f>
        <v>0</v>
      </c>
      <c r="GC89" s="1">
        <f ca="1">SUMIFS(Table_Process_Details[RV Acidification (kg SO2 equiv.) per kg API (OTHER)],Table_Process_Details[Display Name],Table_Process_Details[[#This Row],[Unique Process Inputs]],Table_Process_Details[Input or Output],"Input")</f>
        <v>0</v>
      </c>
      <c r="GD89"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89"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89" s="22" t="e">
        <f ca="1">SUM(OFFSET(Table_Process_Details['[Acidification (kg SO2 equiv.) per kg API'] of Unique Inputs Sorted by '[Acidification (kg SO2 equiv.) per kg API']],0,0,Table_Process_Details[[#This Row],[Table Row]]))</f>
        <v>#N/A</v>
      </c>
      <c r="GG89"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89" s="22" t="e">
        <f ca="1">INDEX(Table_Process_Details[Total '[Acidification (kg SO2 equiv.) per kg API'] of Unique Inputs (REAGENT)], MATCH(Table_Process_Details[[#This Row],[Unique Inputs Sorted by '[Acidification (kg SO2 equiv.) per kg API']]],Table_Process_Details[Unique Process Inputs],0))</f>
        <v>#N/A</v>
      </c>
      <c r="GI89" s="22" t="e">
        <f ca="1">INDEX(Table_Process_Details[Total '[Acidification (kg SO2 equiv.) per kg API'] of Unique Inputs (METAL)], MATCH(Table_Process_Details[[#This Row],[Unique Inputs Sorted by '[Acidification (kg SO2 equiv.) per kg API']]],Table_Process_Details[Unique Process Inputs],0))</f>
        <v>#N/A</v>
      </c>
      <c r="GJ89" s="22" t="e">
        <f ca="1">INDEX(Table_Process_Details[Total '[Acidification (kg SO2 equiv.) per kg API'] of Unique Inputs (SOLVENT)], MATCH(Table_Process_Details[[#This Row],[Unique Inputs Sorted by '[Acidification (kg SO2 equiv.) per kg API']]],Table_Process_Details[Unique Process Inputs],0))</f>
        <v>#N/A</v>
      </c>
      <c r="GK89" s="22" t="e">
        <f ca="1">INDEX(Table_Process_Details[Total '[Acidification (kg SO2 equiv.) per kg API'] of Unique Inputs (WATER)], MATCH(Table_Process_Details[[#This Row],[Unique Inputs Sorted by '[Acidification (kg SO2 equiv.) per kg API']]],Table_Process_Details[Unique Process Inputs],0))</f>
        <v>#N/A</v>
      </c>
      <c r="GL89" s="22" t="e">
        <f ca="1">INDEX(Table_Process_Details[Total '[Acidification (kg SO2 equiv.) per kg API'] of Unique Inputs (ENZ&amp;PLNT)], MATCH(Table_Process_Details[[#This Row],[Unique Inputs Sorted by '[Acidification (kg SO2 equiv.) per kg API']]],Table_Process_Details[Unique Process Inputs],0))</f>
        <v>#N/A</v>
      </c>
      <c r="GM89" s="22" t="e">
        <f ca="1">INDEX(Table_Process_Details[Total '[Acidification (kg SO2 equiv.) per kg API'] of Unique Inputs (OTHER)], MATCH(Table_Process_Details[[#This Row],[Unique Inputs Sorted by '[Acidification (kg SO2 equiv.) per kg API']]],Table_Process_Details[Unique Process Inputs],0))</f>
        <v>#N/A</v>
      </c>
      <c r="GN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9.9015405168808805E-3</v>
      </c>
      <c r="GO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9.8951590632196575E-3</v>
      </c>
      <c r="GP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6.3814536612222489E-6</v>
      </c>
      <c r="GS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8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89" s="22">
        <f ca="1">SUMIFS(Table_Process_Details[RV Eutrophication (kg phosphate equiv.) per kg API],Table_Process_Details[Display Name],Table_Process_Details[[#This Row],[Unique Process Inputs]],Table_Process_Details[Input or Output],"Input")</f>
        <v>0</v>
      </c>
      <c r="GV89" s="1">
        <f ca="1">SUMIFS(Table_Process_Details[RV Eutrophication (kg phosphate equiv.) per kg API (REAGENT)],Table_Process_Details[Display Name],Table_Process_Details[[#This Row],[Unique Process Inputs]],Table_Process_Details[Input or Output],"Input")</f>
        <v>0</v>
      </c>
      <c r="GW89" s="1">
        <f ca="1">SUMIFS(Table_Process_Details[RV Eutrophication (kg phosphate equiv.) per kg API (METAL)],Table_Process_Details[Display Name],Table_Process_Details[[#This Row],[Unique Process Inputs]],Table_Process_Details[Input or Output],"Input")</f>
        <v>0</v>
      </c>
      <c r="GX89" s="1">
        <f ca="1">SUMIFS(Table_Process_Details[RV Eutrophication (kg phosphate equiv.) per kg API (SOLVENT)],Table_Process_Details[Display Name],Table_Process_Details[[#This Row],[Unique Process Inputs]],Table_Process_Details[Input or Output],"Input")</f>
        <v>0</v>
      </c>
      <c r="GY89" s="1">
        <f ca="1">SUMIFS(Table_Process_Details[RV Eutrophication (kg phosphate equiv.) per kg API (WATER)],Table_Process_Details[Display Name],Table_Process_Details[[#This Row],[Unique Process Inputs]],Table_Process_Details[Input or Output],"Input")</f>
        <v>0</v>
      </c>
      <c r="GZ89" s="1">
        <f ca="1">SUMIFS(Table_Process_Details[RV Eutrophication (kg phosphate equiv.) per kg API (ENZ&amp;PLNT)],Table_Process_Details[Display Name],Table_Process_Details[[#This Row],[Unique Process Inputs]],Table_Process_Details[Input or Output],"Input")</f>
        <v>0</v>
      </c>
      <c r="HA89" s="1">
        <f ca="1">SUMIFS(Table_Process_Details[RV Eutrophication (kg phosphate equiv.) per kg API (OTHER)],Table_Process_Details[Display Name],Table_Process_Details[[#This Row],[Unique Process Inputs]],Table_Process_Details[Input or Output],"Input")</f>
        <v>0</v>
      </c>
      <c r="HB89"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89"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89" s="22" t="e">
        <f ca="1">SUM(OFFSET(Table_Process_Details['[Eutrophication (kg posphate equiv.) per kg API'] of Unique Inputs Sorted by '[Eutrophication (kg posphate equiv.) per kg API']],0,0,Table_Process_Details[[#This Row],[Table Row]]))</f>
        <v>#N/A</v>
      </c>
      <c r="HE89"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89" s="1" t="e">
        <f ca="1">INDEX(Table_Process_Details[Total '[Eutrophication (kg posphate equiv.) per kg API'] of Unique Inputs (REAGENT)], MATCH(Table_Process_Details[[#This Row],[Unique Inputs Sorted by '[Eutrophication (kg posphate equiv.) per kg API']]],Table_Process_Details[Unique Process Inputs],0))</f>
        <v>#N/A</v>
      </c>
      <c r="HG89" s="1" t="e">
        <f ca="1">INDEX(Table_Process_Details[Total '[Eutrophication (kg posphate equiv.) per kg API'] of Unique Inputs (METAL)], MATCH(Table_Process_Details[[#This Row],[Unique Inputs Sorted by '[Eutrophication (kg posphate equiv.) per kg API']]],Table_Process_Details[Unique Process Inputs],0))</f>
        <v>#N/A</v>
      </c>
      <c r="HH89" s="1" t="e">
        <f ca="1">INDEX(Table_Process_Details[Total '[Eutrophication (kg posphate equiv.) per kg API'] of Unique Inputs (SOLVENT)], MATCH(Table_Process_Details[[#This Row],[Unique Inputs Sorted by '[Eutrophication (kg posphate equiv.) per kg API']]],Table_Process_Details[Unique Process Inputs],0))</f>
        <v>#N/A</v>
      </c>
      <c r="HI89" s="1" t="e">
        <f ca="1">INDEX(Table_Process_Details[Total '[Eutrophication (kg posphate equiv.) per kg API'] of Unique Inputs (WATER)], MATCH(Table_Process_Details[[#This Row],[Unique Inputs Sorted by '[Eutrophication (kg posphate equiv.) per kg API']]],Table_Process_Details[Unique Process Inputs],0))</f>
        <v>#N/A</v>
      </c>
      <c r="HJ89" s="1" t="e">
        <f ca="1">INDEX(Table_Process_Details[Total '[Eutrophication (kg posphate equiv.) per kg API'] of Unique Inputs (ENZ&amp;PLNT)], MATCH(Table_Process_Details[[#This Row],[Unique Inputs Sorted by '[Eutrophication (kg posphate equiv.) per kg API']]],Table_Process_Details[Unique Process Inputs],0))</f>
        <v>#N/A</v>
      </c>
      <c r="HK89" s="1" t="e">
        <f ca="1">INDEX(Table_Process_Details[Total '[Eutrophication (kg posphate equiv.) per kg API'] of Unique Inputs (OTHER)], MATCH(Table_Process_Details[[#This Row],[Unique Inputs Sorted by '[Eutrophication (kg posphate equiv.) per kg API']]],Table_Process_Details[Unique Process Inputs],0))</f>
        <v>#N/A</v>
      </c>
      <c r="HL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19.659047841687453</v>
      </c>
      <c r="HM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16.181302108525401</v>
      </c>
      <c r="HN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3.4777457331620512</v>
      </c>
      <c r="HQ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8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89" s="1">
        <f ca="1">SUMIFS(Table_Process_Details[RV Water (kg) per kg API],Table_Process_Details[Display Name],Table_Process_Details[[#This Row],[Unique Process Inputs]],Table_Process_Details[Input or Output],"Input")</f>
        <v>0</v>
      </c>
      <c r="HT89" s="1">
        <f ca="1">SUMIFS(Table_Process_Details[RV Water (kg) per kg API (REAGENT)],Table_Process_Details[Display Name],Table_Process_Details[[#This Row],[Unique Process Inputs]],Table_Process_Details[Input or Output],"Input")</f>
        <v>0</v>
      </c>
      <c r="HU89" s="1">
        <f ca="1">SUMIFS(Table_Process_Details[RV Water (kg) per kg API (METAL)],Table_Process_Details[Display Name],Table_Process_Details[[#This Row],[Unique Process Inputs]],Table_Process_Details[Input or Output],"Input")</f>
        <v>0</v>
      </c>
      <c r="HV89" s="1">
        <f ca="1">SUMIFS(Table_Process_Details[RV Water (kg) per kg API (SOLVENT)],Table_Process_Details[Display Name],Table_Process_Details[[#This Row],[Unique Process Inputs]],Table_Process_Details[Input or Output],"Input")</f>
        <v>0</v>
      </c>
      <c r="HW89" s="1">
        <f ca="1">SUMIFS(Table_Process_Details[RV Water (kg) per kg API (WATER)],Table_Process_Details[Display Name],Table_Process_Details[[#This Row],[Unique Process Inputs]],Table_Process_Details[Input or Output],"Input")</f>
        <v>0</v>
      </c>
      <c r="HX89" s="1">
        <f ca="1">SUMIFS(Table_Process_Details[RV Water (kg) per kg API (ENZ&amp;PLNT)],Table_Process_Details[Display Name],Table_Process_Details[[#This Row],[Unique Process Inputs]],Table_Process_Details[Input or Output],"Input")</f>
        <v>0</v>
      </c>
      <c r="HY89" s="1">
        <f ca="1">SUMIFS(Table_Process_Details[RV Water (kg) per kg API (OTHER)],Table_Process_Details[Display Name],Table_Process_Details[[#This Row],[Unique Process Inputs]],Table_Process_Details[Input or Output],"Input")</f>
        <v>0</v>
      </c>
      <c r="HZ89" s="22" t="e">
        <f ca="1">INDEX(Table_Process_Details[Unique Process Inputs],MATCH(Table_Process_Details[[#This Row],['[Water (kg) per kg API'] of Unique Inputs Sorted by '[Water (kg) per kg API']]],Table_Process_Details[Total '[Water (kg) per kg API'] of Unique Inputs],0))</f>
        <v>#N/A</v>
      </c>
      <c r="IA89" s="22" t="e">
        <f ca="1">IF(LARGE(Table_Process_Details[Total '[Water (kg) per kg API'] of Unique Inputs],Table_Process_Details[[#This Row],[Table Row]])=0,NA(),LARGE(Table_Process_Details[Total '[Water (kg) per kg API'] of Unique Inputs],Table_Process_Details[[#This Row],[Table Row]]))</f>
        <v>#N/A</v>
      </c>
      <c r="IB89" s="1" t="e">
        <f ca="1">SUM(OFFSET(Table_Process_Details['[Water (kg) per kg API'] of Unique Inputs Sorted by '[Water (kg) per kg API']],0,0,Table_Process_Details[[#This Row],[Table Row]]))</f>
        <v>#N/A</v>
      </c>
      <c r="IC89" s="1" t="e">
        <f ca="1">"("&amp;TEXT(Table_Process_Details[[#This Row],['[Water (kg) per kg API'] of Unique Inputs Sorted by '[Water (kg) per kg API']]]/SUMIF(Table_Process_Details['[Water (kg) per kg API'] of Unique Inputs Sorted by '[Water (kg) per kg API']],"&lt;&gt;#N/A"),"0%")&amp;")"</f>
        <v>#N/A</v>
      </c>
      <c r="ID89" s="1" t="e">
        <f ca="1">INDEX(Table_Process_Details[Total '[Water (kg) per kg API'] of Unique Inputs (REAGENT)], MATCH(Table_Process_Details[[#This Row],[Unique Inputs Sorted by '[Water (kg) per kg API']]],Table_Process_Details[Unique Process Inputs],0))</f>
        <v>#N/A</v>
      </c>
      <c r="IE89" s="1" t="e">
        <f ca="1">INDEX(Table_Process_Details[Total '[Water (kg) per kg API'] of Unique Inputs (METAL)], MATCH(Table_Process_Details[[#This Row],[Unique Inputs Sorted by '[Water (kg) per kg API']]],Table_Process_Details[Unique Process Inputs],0))</f>
        <v>#N/A</v>
      </c>
      <c r="IF89" s="1" t="e">
        <f ca="1">INDEX(Table_Process_Details[Total '[Water (kg) per kg API'] of Unique Inputs (SOLVENT)], MATCH(Table_Process_Details[[#This Row],[Unique Inputs Sorted by '[Water (kg) per kg API']]],Table_Process_Details[Unique Process Inputs],0))</f>
        <v>#N/A</v>
      </c>
      <c r="IG89" s="1" t="e">
        <f ca="1">INDEX(Table_Process_Details[Total '[Water (kg) per kg API'] of Unique Inputs (WATER)], MATCH(Table_Process_Details[[#This Row],[Unique Inputs Sorted by '[Water (kg) per kg API']]],Table_Process_Details[Unique Process Inputs],0))</f>
        <v>#N/A</v>
      </c>
      <c r="IH89" s="1" t="e">
        <f ca="1">INDEX(Table_Process_Details[Total '[Water (kg) per kg API'] of Unique Inputs (ENZ&amp;PLNT)], MATCH(Table_Process_Details[[#This Row],[Unique Inputs Sorted by '[Water (kg) per kg API']]],Table_Process_Details[Unique Process Inputs],0))</f>
        <v>#N/A</v>
      </c>
      <c r="II89" s="1" t="e">
        <f ca="1">INDEX(Table_Process_Details[Total '[Water (kg) per kg API'] of Unique Inputs (OTHER)], MATCH(Table_Process_Details[[#This Row],[Unique Inputs Sorted by '[Water (kg) per kg API']]],Table_Process_Details[Unique Process Inputs],0))</f>
        <v>#N/A</v>
      </c>
    </row>
    <row r="90" spans="1:243" customFormat="1" x14ac:dyDescent="0.25">
      <c r="A90" s="22" t="str">
        <f t="shared" si="3"/>
        <v>4) Synthesis of Intermediate (4)</v>
      </c>
      <c r="B90" s="21" t="s">
        <v>4</v>
      </c>
      <c r="C90" s="21" t="s">
        <v>170</v>
      </c>
      <c r="D90" s="22" t="str">
        <f>A85</f>
        <v>4d) Virtual material prep for (4): 95 wt% reagent M (organic)</v>
      </c>
      <c r="E90" s="22" t="str">
        <f>E85</f>
        <v>95 wt% reagent M (organic)</v>
      </c>
      <c r="F90" s="26">
        <v>100</v>
      </c>
      <c r="G90" s="26"/>
      <c r="H90" s="26"/>
      <c r="I90" s="26"/>
      <c r="J90" s="26" t="str">
        <f>INDEX(Process_Steps[Reference],MATCH(Table_Process_Details[[#This Row],[Step Name]],Process_Steps[Name],0))</f>
        <v>Penultimate Reference Document</v>
      </c>
      <c r="K90" s="27" t="str">
        <f>INDEX(Process_Steps[Real or Virtual?],MATCH(Table_Process_Details[[#This Row],[Step Name]],Process_Steps[Name],0))</f>
        <v>Real</v>
      </c>
      <c r="L9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9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90" s="26">
        <f>INDEX(Table_Process_Details[Physical Mass (kg)],MATCH(1,INDEX(((Table_Process_Details[Step Name]=Table_Process_Details[[#This Row],[Step Name]])*(Table_Process_Details[Input or Output]="Output")),0),0))</f>
        <v>54.49</v>
      </c>
      <c r="O90" s="29">
        <f ca="1">INDEX(Process_Steps[Step Scale Factor for 1kg Packaged API],MATCH(Table_Process_Details[[#This Row],[Step Name]],Process_Steps[Name],0))</f>
        <v>2.2022389429253091E-2</v>
      </c>
      <c r="P9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18.5</v>
      </c>
      <c r="Q9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2.5</v>
      </c>
      <c r="R90" s="26">
        <f ca="1">_xlfn.SWITCH(Run_Reset_PNG,"Reset",Table_Process_Details[[#This Row],[X Init]],"Run",Table_Process_Details[[#This Row],[X Moved]],"Freeze",Table_Process_Details[[#This Row],[X Mover]])</f>
        <v>23.062528024329136</v>
      </c>
      <c r="S90" s="26">
        <f ca="1">_xlfn.SWITCH(Run_Reset_PNG,"Reset",Table_Process_Details[[#This Row],[Y Init]],"Run",Table_Process_Details[[#This Row],[Y Moved]],"Freeze",Table_Process_Details[[#This Row],[Y Mover]])</f>
        <v>-5.9478942708473443</v>
      </c>
      <c r="T90" s="26" cm="1">
        <f t="array" aca="1" ref="T9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4.0741628712097633</v>
      </c>
      <c r="U90" s="26" cm="1">
        <f t="array" aca="1" ref="U9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-2.9904490078787473</v>
      </c>
      <c r="V90" s="26" cm="1">
        <f t="array" aca="1" ref="V90" ca="1">SUM(--(SQRT((Table_Process_Details[[#This Row],[X Mover]]-Table_Process_Details[X Mover])^2+(Table_Process_Details[[#This Row],[Y Mover]]-Table_Process_Details[Y Mover])^2)&lt;Collision_Distance))</f>
        <v>13</v>
      </c>
      <c r="W90" s="26" cm="1">
        <f t="array" aca="1" ref="W9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-0.42413835941837241</v>
      </c>
      <c r="X90" s="26" cm="1">
        <f t="array" aca="1" ref="X9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0.40728231331344467</v>
      </c>
      <c r="Y90" s="26" cm="1">
        <f t="array" aca="1" ref="Y9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90" s="26">
        <f>0</f>
        <v>0</v>
      </c>
      <c r="AA90" s="26">
        <f>0</f>
        <v>0</v>
      </c>
      <c r="AB9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-11.531264012164568</v>
      </c>
      <c r="AC90" s="26" cm="1">
        <f t="array" aca="1" ref="AC9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2.9739471354236722</v>
      </c>
      <c r="AD90" s="26">
        <f>MIN(1,COUNTA(Table_Process_Details[[#This Row],[target x]]),COUNTA(Table_Process_Details[[#This Row],[target y]]))*COUNTA(Table_Process_Details[Step Name])</f>
        <v>98</v>
      </c>
      <c r="AE9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23.046190029251363</v>
      </c>
      <c r="AF9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-5.9439412539171599</v>
      </c>
      <c r="AG9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90" s="26" cm="1">
        <f t="array" aca="1" ref="AH90" ca="1">INDEX(Table_Process_Details[X Mover],MATCH(1,INDEX((Table_Process_Details[Input or Output]="Output")*(Table_Process_Details[Step Name]=Table_Process_Details[[#This Row],[Step Name]])*(Table_Process_Details[[#This Row],[Input or Output]]="Input"),0),0))</f>
        <v>19.635390140975865</v>
      </c>
      <c r="AI90" s="26" cm="1">
        <f t="array" aca="1" ref="AI90" ca="1">INDEX(Table_Process_Details[Y Mover],MATCH(1,INDEX((Table_Process_Details[Input or Output]="Output")*(Table_Process_Details[Step Name]=Table_Process_Details[[#This Row],[Step Name]])*(Table_Process_Details[[#This Row],[Input or Output]]="Input"),0),0))</f>
        <v>-1.0304434005151315</v>
      </c>
      <c r="AJ90" s="26">
        <f ca="1">SQRT((Table_Process_Details[[#This Row],[X End (To Node Center)]]-Table_Process_Details[[#This Row],[X Guide]])^2+(Table_Process_Details[[#This Row],[Y End (to Node Center)]]-Table_Process_Details[[#This Row],[Y Guide]])^2)</f>
        <v>5.9938799732432235</v>
      </c>
      <c r="AK90" s="26" cm="1">
        <f t="array" aca="1" ref="AK90" ca="1">INDEX(Table_Process_Details[X Mover],MATCH(1,INDEX((Table_Process_Details[Step Name]=Table_Process_Details[[#This Row],[LCA Data Source Subclass]])*(Table_Process_Details[Input or Output]="Output"),0)*(Table_Process_Details[[#This Row],[Input or Output]]="Input"),0))</f>
        <v>25.322697016273306</v>
      </c>
      <c r="AL90" s="26" cm="1">
        <f t="array" aca="1" ref="AL90" ca="1">INDEX(Table_Process_Details[X Mover],MATCH(1,INDEX(((Table_Process_Details[Table Row]=Table_Process_Details[[#This Row],[Table Row]])*(1)),0)*(Table_Process_Details[[#This Row],[Input or Output]]="Input"),0))</f>
        <v>23.062528024329136</v>
      </c>
      <c r="AM90" s="26" cm="1">
        <f t="array" aca="1" ref="AM90" ca="1">(Table_Process_Details[[#This Row],[X End (To Node Center)]]*Table_Process_Details[[#This Row],[r0]]-Table_Process_Details[[#This Row],[X End (To Node Center)]]*Arrow_Offset+Table_Process_Details[[#This Row],[X Guide]]*Arrow_Offset)/Table_Process_Details[[#This Row],[r0]]</f>
        <v>20.092808427448343</v>
      </c>
      <c r="AN90" s="26">
        <f ca="1">IF(NOT(Table_Process_Details[[#This Row],[Display As]]="None"),Table_Process_Details[[#This Row],[X Start Prefilter]],NA())</f>
        <v>25.322697016273306</v>
      </c>
      <c r="AO90" s="26">
        <f ca="1">IF(NOT(Table_Process_Details[[#This Row],[Display As]]="None"),Table_Process_Details[[#This Row],[X Guide Prefilter]],NA())</f>
        <v>23.062528024329136</v>
      </c>
      <c r="AP90" s="26">
        <f ca="1">IF(NOT(Table_Process_Details[[#This Row],[Display As]]="None"),Table_Process_Details[[#This Row],[X End (to Stop Radius) Prefilter]],NA())</f>
        <v>20.092808427448343</v>
      </c>
      <c r="AQ90" s="26" t="e">
        <f>NA()</f>
        <v>#N/A</v>
      </c>
      <c r="AR90" s="26" cm="1">
        <f t="array" aca="1" ref="AR90" ca="1">INDEX(Table_Process_Details[Y Mover],MATCH(1,INDEX((Table_Process_Details[Step Name]=Table_Process_Details[[#This Row],[LCA Data Source Subclass]])*(Table_Process_Details[Input or Output]="Output"),0)*(Table_Process_Details[[#This Row],[Input or Output]]="Input"),0))</f>
        <v>-10.244621761858062</v>
      </c>
      <c r="AS90" s="26" cm="1">
        <f t="array" aca="1" ref="AS90" ca="1">INDEX(Table_Process_Details[Y Mover],MATCH(1,INDEX(((Table_Process_Details[Table Row]=Table_Process_Details[[#This Row],[Table Row]])*(1)),0)*(Table_Process_Details[[#This Row],[Input or Output]]="Input"),0))</f>
        <v>-5.9478942708473443</v>
      </c>
      <c r="AT90" s="26" cm="1">
        <f t="array" aca="1" ref="AT90" ca="1">(Table_Process_Details[[#This Row],[Y Guide]]*Arrow_Offset-Table_Process_Details[[#This Row],[Y End (to Node Center)]]*Arrow_Offset+Table_Process_Details[[#This Row],[Y End (to Node Center)]]*Table_Process_Details[[#This Row],[r0]])/Table_Process_Details[[#This Row],[r0]]</f>
        <v>-1.6867729756529444</v>
      </c>
      <c r="AU90" s="26">
        <f ca="1">IF(NOT(Table_Process_Details[[#This Row],[Display As]]="None"),Table_Process_Details[[#This Row],[Y Start Prefilter]],NA())</f>
        <v>-10.244621761858062</v>
      </c>
      <c r="AV90" s="26">
        <f ca="1">IF(NOT(Table_Process_Details[[#This Row],[Display As]]="None"),Table_Process_Details[[#This Row],[Y Guide Prefilter]],NA())</f>
        <v>-5.9478942708473443</v>
      </c>
      <c r="AW90" s="26">
        <f ca="1">IF(NOT(Table_Process_Details[[#This Row],[Display As]]="None"),Table_Process_Details[[#This Row],[Y End (to Stop Radius) Prefilter]],NA())</f>
        <v>-1.6867729756529444</v>
      </c>
      <c r="AX90" s="26" t="e">
        <f>NA()</f>
        <v>#N/A</v>
      </c>
      <c r="AY90" s="26" t="e">
        <f>IF(Table_Process_Details[[#This Row],[Display As]]="Real Step",Table_Process_Details[[#This Row],[X Mover]],NA())</f>
        <v>#N/A</v>
      </c>
      <c r="AZ90" s="26" t="e">
        <f>IF(Table_Process_Details[[#This Row],[Display As]]="Real Step",Table_Process_Details[[#This Row],[Y Mover]],NA())</f>
        <v>#N/A</v>
      </c>
      <c r="BA90" s="26" t="e">
        <f>IF(Table_Process_Details[[#This Row],[Display As]]="Raw Material",Table_Process_Details[[#This Row],[X Mover]],NA())</f>
        <v>#N/A</v>
      </c>
      <c r="BB90" s="26" t="e">
        <f>IF(Table_Process_Details[[#This Row],[Display As]]="Raw Material",Table_Process_Details[[#This Row],[Y Mover]],NA())</f>
        <v>#N/A</v>
      </c>
      <c r="BC90" s="26" t="e">
        <f>IF(OR(Table_Process_Details[[#This Row],[Display As]]="Real Step",Table_Process_Details[[#This Row],[Display As]]="Raw Material"),Table_Process_Details[[#This Row],[X Mover]],NA())</f>
        <v>#N/A</v>
      </c>
      <c r="BD90" s="26" t="e">
        <f>IF(OR(Table_Process_Details[[#This Row],[Display As]]="Real Step",Table_Process_Details[[#This Row],[Display As]]="Raw Material"),Table_Process_Details[[#This Row],[Y Mover]],NA())</f>
        <v>#N/A</v>
      </c>
      <c r="BE90" s="22">
        <f>ROW()-ROW(Table_Process_Details[[#Headers],[Table Row]])</f>
        <v>86</v>
      </c>
      <c r="BF90" s="23" t="e" cm="1">
        <f t="array" aca="1" ref="BF90" ca="1">INDEX(Table_Process_Details[Display Name],MATCH(0,IF(Table_Process_Details[Input or Output]="Input",INDEX(COUNTIF(OFFSET(Table_Process_Details[[#Headers],[Unique Process Inputs]],0,0,Table_Process_Details[[#This Row],[Table Row]],1),Table_Process_Details[Display Name]),),""),0))</f>
        <v>#N/A</v>
      </c>
      <c r="BG90" s="23">
        <f ca="1">Table_Process_Details[[#This Row],[Physical Mass (kg)]]*Table_Process_Details[[#This Row],[Step Scale Factor for 1kg Packaged API]]</f>
        <v>2.2022389429253093</v>
      </c>
      <c r="BH9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0.99999999999999356</v>
      </c>
      <c r="BI90" s="23">
        <f ca="1">MATCH(Table_Process_Details[[#This Row],[LCA Data Source Class]],INDIRECT(Table_Process_Details[[#This Row],[Input or Output]]),0)</f>
        <v>1</v>
      </c>
      <c r="BJ90" s="23">
        <f ca="1">MATCH(Table_Process_Details[[#This Row],[LCA Data Source Subclass]],INDIRECT(Table_Process_Details[[#This Row],[LCA Data Source Class]]&amp;"[Name]"),0)</f>
        <v>18</v>
      </c>
      <c r="BK90" s="23">
        <f ca="1">IFERROR(INDEX(INDIRECT(Table_Process_Details[[#This Row],[LCA Data Source Class]]&amp;"[Mass Net (kg)]"),MATCH(Table_Process_Details[[#This Row],[LCA Data Source Subclass]],INDIRECT(Table_Process_Details[[#This Row],[LCA Data Source Class]]&amp;"[Name]"),0)),0)</f>
        <v>0</v>
      </c>
      <c r="BL90" s="23">
        <f ca="1">IFERROR(INDEX(INDIRECT(Table_Process_Details[[#This Row],[LCA Data Source Class]]&amp;"[Energy (MJ)]"),MATCH(Table_Process_Details[[#This Row],[LCA Data Source Subclass]],INDIRECT(Table_Process_Details[[#This Row],[LCA Data Source Class]]&amp;"[Name]"),0)),0)</f>
        <v>0</v>
      </c>
      <c r="BM90" s="23">
        <f ca="1">IFERROR(INDEX(INDIRECT(Table_Process_Details[[#This Row],[LCA Data Source Class]]&amp;"[GWP (kg CO2 equiv.)]"),MATCH(Table_Process_Details[[#This Row],[LCA Data Source Subclass]],INDIRECT(Table_Process_Details[[#This Row],[LCA Data Source Class]]&amp;"[Name]"),0)),0)</f>
        <v>0</v>
      </c>
      <c r="BN90" s="23">
        <f ca="1">IFERROR(INDEX(INDIRECT(Table_Process_Details[[#This Row],[LCA Data Source Class]]&amp;"[Acidification (kg SO2 equiv.)]"),MATCH(Table_Process_Details[[#This Row],[LCA Data Source Subclass]],INDIRECT(Table_Process_Details[[#This Row],[LCA Data Source Class]]&amp;"[Name]"),0)),0)</f>
        <v>0</v>
      </c>
      <c r="BO90" s="23">
        <f ca="1">IFERROR(INDEX(INDIRECT(Table_Process_Details[[#This Row],[LCA Data Source Class]]&amp;"[Eutrophication (kg posphate equiv.)]"),MATCH(Table_Process_Details[[#This Row],[LCA Data Source Subclass]],INDIRECT(Table_Process_Details[[#This Row],[LCA Data Source Class]]&amp;"[Name]"),0)),0)</f>
        <v>0</v>
      </c>
      <c r="BP90" s="23">
        <f ca="1">IFERROR(INDEX(INDIRECT(Table_Process_Details[[#This Row],[LCA Data Source Class]]&amp;"[Water (kg)]"),MATCH(Table_Process_Details[[#This Row],[LCA Data Source Subclass]],INDIRECT(Table_Process_Details[[#This Row],[LCA Data Source Class]]&amp;"[Name]"),0)),0)</f>
        <v>0</v>
      </c>
      <c r="BQ90" s="27">
        <f ca="1">(Table_Process_Details[[#This Row],[Input or Output]]="Input")*(Table_Process_Details[[#This Row],[LCA Data Source Class]]&lt;&gt;"Process_Steps")*Table_Process_Details[[#This Row],[Scaled Physical Mass per kg API for All Inputs &amp; Outputs]]</f>
        <v>0</v>
      </c>
      <c r="BR90" s="27">
        <f ca="1">(Table_Process_Details[[#This Row],[Material Class]]="REAGENT")*Table_Process_Details[[#This Row],[Physical Mass per kg API]]</f>
        <v>0</v>
      </c>
      <c r="BS90" s="27">
        <f ca="1">(Table_Process_Details[[#This Row],[Material Class]]="METAL")*Table_Process_Details[[#This Row],[Physical Mass per kg API]]</f>
        <v>0</v>
      </c>
      <c r="BT90" s="27">
        <f ca="1">(Table_Process_Details[[#This Row],[Material Class]]="SOLVENT")*Table_Process_Details[[#This Row],[Physical Mass per kg API]]</f>
        <v>0</v>
      </c>
      <c r="BU90" s="27">
        <f ca="1">(Table_Process_Details[[#This Row],[Material Class]]="WATER")*Table_Process_Details[[#This Row],[Physical Mass per kg API]]</f>
        <v>0</v>
      </c>
      <c r="BV90" s="27">
        <f ca="1">(Table_Process_Details[[#This Row],[Material Class]]="ENZ&amp;PLNT")*Table_Process_Details[[#This Row],[Physical Mass per kg API]]</f>
        <v>0</v>
      </c>
      <c r="BW90" s="27">
        <f ca="1">(Table_Process_Details[[#This Row],[Material Class]]="OTHER")*Table_Process_Details[[#This Row],[Physical Mass per kg API]]</f>
        <v>0</v>
      </c>
      <c r="BX9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2.2022389429253093</v>
      </c>
      <c r="BY9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2.092126995779044</v>
      </c>
      <c r="BZ9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0.11011194714626546</v>
      </c>
      <c r="CC9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0" s="1">
        <f ca="1">SUMIFS(Table_Process_Details[RV Physical Mass per kg API],Table_Process_Details[Display Name],Table_Process_Details[[#This Row],[Unique Process Inputs]],Table_Process_Details[Input or Output],"Input")</f>
        <v>0</v>
      </c>
      <c r="CF90" s="1">
        <f ca="1">SUMIFS(Table_Process_Details[RV Physical Mass per kg API (REAGENT)],Table_Process_Details[Display Name],Table_Process_Details[[#This Row],[Unique Process Inputs]],Table_Process_Details[Input or Output],"Input")</f>
        <v>0</v>
      </c>
      <c r="CG90" s="1">
        <f ca="1">SUMIFS(Table_Process_Details[RV Physical Mass per kg API (METAL)],Table_Process_Details[Display Name],Table_Process_Details[[#This Row],[Unique Process Inputs]],Table_Process_Details[Input or Output],"Input")</f>
        <v>0</v>
      </c>
      <c r="CH90" s="1">
        <f ca="1">SUMIFS(Table_Process_Details[RV Physical Mass per kg API (SOLVENT)],Table_Process_Details[Display Name],Table_Process_Details[[#This Row],[Unique Process Inputs]],Table_Process_Details[Input or Output],"Input")</f>
        <v>0</v>
      </c>
      <c r="CI90" s="1">
        <f ca="1">SUMIFS(Table_Process_Details[RV Physical Mass per kg API (WATER)],Table_Process_Details[Display Name],Table_Process_Details[[#This Row],[Unique Process Inputs]],Table_Process_Details[Input or Output],"Input")</f>
        <v>0</v>
      </c>
      <c r="CJ90" s="1">
        <f ca="1">SUMIFS(Table_Process_Details[RV Physical Mass per kg API (ENZ&amp;PLNT)],Table_Process_Details[Display Name],Table_Process_Details[[#This Row],[Unique Process Inputs]],Table_Process_Details[Input or Output],"Input")</f>
        <v>0</v>
      </c>
      <c r="CK90" s="1">
        <f ca="1">SUMIFS(Table_Process_Details[RV Physical Mass per kg API (OTHER)],Table_Process_Details[Display Name],Table_Process_Details[[#This Row],[Unique Process Inputs]],Table_Process_Details[Input or Output],"Input")</f>
        <v>0</v>
      </c>
      <c r="CL90" s="22" t="e">
        <f ca="1">INDEX(Table_Process_Details[Unique Process Inputs],MATCH(Table_Process_Details[[#This Row],['[Physical Mass per kg API'] of Unique Inputs Sorted by '[Physical Mass per kg API']]],Table_Process_Details[Total '[Physical Mass per kg API'] of Unique Inputs],0))</f>
        <v>#N/A</v>
      </c>
      <c r="CM90" s="22" t="e">
        <f ca="1">IF(LARGE(Table_Process_Details[Total '[Physical Mass per kg API'] of Unique Inputs],Table_Process_Details[[#This Row],[Table Row]])=0,NA(),LARGE(Table_Process_Details[Total '[Physical Mass per kg API'] of Unique Inputs],Table_Process_Details[[#This Row],[Table Row]]))</f>
        <v>#N/A</v>
      </c>
      <c r="CN90" s="22" t="e">
        <f ca="1">SUM(OFFSET(Table_Process_Details['[Physical Mass per kg API'] of Unique Inputs Sorted by '[Physical Mass per kg API']],0,0,Table_Process_Details[[#This Row],[Table Row]]))</f>
        <v>#N/A</v>
      </c>
      <c r="CO90" s="22" t="e">
        <f ca="1">"("&amp;TEXT(Table_Process_Details[[#This Row],['[Physical Mass per kg API'] of Unique Inputs Sorted by '[Physical Mass per kg API']]]/SUMIF(Table_Process_Details['[Physical Mass per kg API'] of Unique Inputs Sorted by '[Physical Mass per kg API']],"&lt;&gt;#N/A"),"0%")&amp;")"</f>
        <v>#N/A</v>
      </c>
      <c r="CP90" s="22" t="e">
        <f ca="1">INDEX(Table_Process_Details[Total '[Physical Mass per kg API'] of Unique Inputs (REAGENT)],MATCH(Table_Process_Details[[#This Row],[Unique Inputs Sorted by '[Physical Mass per kg API']]],Table_Process_Details[Unique Process Inputs],0))</f>
        <v>#N/A</v>
      </c>
      <c r="CQ90" s="22" t="e">
        <f ca="1">INDEX(Table_Process_Details[Total '[Physical Mass per kg API'] of Unique Inputs (METAL)],MATCH(Table_Process_Details[[#This Row],[Unique Inputs Sorted by '[Physical Mass per kg API']]],Table_Process_Details[Unique Process Inputs],0))</f>
        <v>#N/A</v>
      </c>
      <c r="CR90" s="22" t="e">
        <f ca="1">INDEX(Table_Process_Details[Total '[Physical Mass per kg API'] of Unique Inputs (SOLVENT)],MATCH(Table_Process_Details[[#This Row],[Unique Inputs Sorted by '[Physical Mass per kg API']]],Table_Process_Details[Unique Process Inputs],0))</f>
        <v>#N/A</v>
      </c>
      <c r="CS90" s="22" t="e">
        <f ca="1">INDEX(Table_Process_Details[Total '[Physical Mass per kg API'] of Unique Inputs (WATER)],MATCH(Table_Process_Details[[#This Row],[Unique Inputs Sorted by '[Physical Mass per kg API']]],Table_Process_Details[Unique Process Inputs],0))</f>
        <v>#N/A</v>
      </c>
      <c r="CT90" s="22" t="e">
        <f ca="1">INDEX(Table_Process_Details[Total '[Physical Mass per kg API'] of Unique Inputs (ENZ&amp;PLNT)],MATCH(Table_Process_Details[[#This Row],[Unique Inputs Sorted by '[Physical Mass per kg API']]],Table_Process_Details[Unique Process Inputs],0))</f>
        <v>#N/A</v>
      </c>
      <c r="CU90" s="22" t="e">
        <f ca="1">INDEX(Table_Process_Details[Total '[Physical Mass per kg API'] of Unique Inputs (OTHER)],MATCH(Table_Process_Details[[#This Row],[Unique Inputs Sorted by '[Physical Mass per kg API']]],Table_Process_Details[Unique Process Inputs],0))</f>
        <v>#N/A</v>
      </c>
      <c r="CV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2.8036186748357519</v>
      </c>
      <c r="CW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2.8034501743439186</v>
      </c>
      <c r="CX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1.6850049183336405E-4</v>
      </c>
      <c r="DA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0" s="22">
        <f ca="1">SUMIFS(Table_Process_Details[RV Mass Net (kg) per kg API],Table_Process_Details[Display Name],Table_Process_Details[[#This Row],[Unique Process Inputs]],Table_Process_Details[Input or Output],"Input")</f>
        <v>0</v>
      </c>
      <c r="DD90" s="22">
        <f ca="1">SUMIFS(Table_Process_Details[RV Mass Net (kg) per kg API (REAGENT)],Table_Process_Details[Display Name],Table_Process_Details[[#This Row],[Unique Process Inputs]],Table_Process_Details[Input or Output],"Input")</f>
        <v>0</v>
      </c>
      <c r="DE90" s="22">
        <f ca="1">SUMIFS(Table_Process_Details[RV Mass Net (kg) per kg API (METAL)],Table_Process_Details[Display Name],Table_Process_Details[[#This Row],[Unique Process Inputs]],Table_Process_Details[Input or Output],"Input")</f>
        <v>0</v>
      </c>
      <c r="DF90" s="22">
        <f ca="1">SUMIFS(Table_Process_Details[RV Mass Net (kg) per kg API (SOLVENT)],Table_Process_Details[Display Name],Table_Process_Details[[#This Row],[Unique Process Inputs]],Table_Process_Details[Input or Output],"Input")</f>
        <v>0</v>
      </c>
      <c r="DG90" s="22">
        <f ca="1">SUMIFS(Table_Process_Details[RV Mass Net (kg) per kg API (WATER)],Table_Process_Details[Display Name],Table_Process_Details[[#This Row],[Unique Process Inputs]],Table_Process_Details[Input or Output],"Input")</f>
        <v>0</v>
      </c>
      <c r="DH90" s="22">
        <f ca="1">SUMIFS(Table_Process_Details[RV Mass Net (kg) per kg API (ENZ&amp;PLNT)],Table_Process_Details[Display Name],Table_Process_Details[[#This Row],[Unique Process Inputs]],Table_Process_Details[Input or Output],"Input")</f>
        <v>0</v>
      </c>
      <c r="DI90" s="22">
        <f ca="1">SUMIFS(Table_Process_Details[RV Mass Net (kg) per kg API (OTHER)],Table_Process_Details[Display Name],Table_Process_Details[[#This Row],[Unique Process Inputs]],Table_Process_Details[Input or Output],"Input")</f>
        <v>0</v>
      </c>
      <c r="DJ90" s="22" t="e">
        <f ca="1">INDEX(Table_Process_Details[Unique Process Inputs],MATCH(Table_Process_Details[[#This Row],['[Mass Net (kg) per kg API'] of Unique Inputs Sorted by '[Mass Net (kg) per kg API']]],Table_Process_Details[Total '[Mass Net (kg) per kg API'] of Unique Inputs],0))</f>
        <v>#N/A</v>
      </c>
      <c r="DK90" s="22" t="e">
        <f ca="1">IF(LARGE(Table_Process_Details[Total '[Mass Net (kg) per kg API'] of Unique Inputs],Table_Process_Details[[#This Row],[Table Row]])=0,NA(),LARGE(Table_Process_Details[Total '[Mass Net (kg) per kg API'] of Unique Inputs],Table_Process_Details[[#This Row],[Table Row]]))</f>
        <v>#N/A</v>
      </c>
      <c r="DL90" s="22" t="e">
        <f ca="1">SUM(OFFSET(Table_Process_Details['[Mass Net (kg) per kg API'] of Unique Inputs Sorted by '[Mass Net (kg) per kg API']],0,0,Table_Process_Details[[#This Row],[Table Row]]))</f>
        <v>#N/A</v>
      </c>
      <c r="DM90" s="22" t="e">
        <f ca="1">"("&amp;TEXT(Table_Process_Details[[#This Row],['[Mass Net (kg) per kg API'] of Unique Inputs Sorted by '[Mass Net (kg) per kg API']]]/SUMIF(Table_Process_Details['[Mass Net (kg) per kg API'] of Unique Inputs Sorted by '[Mass Net (kg) per kg API']],"&lt;&gt;#N/A"),"0%")&amp;")"</f>
        <v>#N/A</v>
      </c>
      <c r="DN90" s="22" t="e">
        <f ca="1">INDEX(Table_Process_Details[Total '[Mass Net (kg) per kg API'] of Unique Inputs (REAGENT)], MATCH(Table_Process_Details[[#This Row],[Unique Inputs Sorted by '[Mass Net (kg) per kg API']]],Table_Process_Details[Unique Process Inputs],0))</f>
        <v>#N/A</v>
      </c>
      <c r="DO90" s="22" t="e">
        <f ca="1">INDEX(Table_Process_Details[Total '[Mass Net (kg) per kg API'] of Unique Inputs (METAL)], MATCH(Table_Process_Details[[#This Row],[Unique Inputs Sorted by '[Mass Net (kg) per kg API']]],Table_Process_Details[Unique Process Inputs],0))</f>
        <v>#N/A</v>
      </c>
      <c r="DP90" s="22" t="e">
        <f ca="1">INDEX(Table_Process_Details[Total '[Mass Net (kg) per kg API'] of Unique Inputs (SOLVENT)], MATCH(Table_Process_Details[[#This Row],[Unique Inputs Sorted by '[Mass Net (kg) per kg API']]],Table_Process_Details[Unique Process Inputs],0))</f>
        <v>#N/A</v>
      </c>
      <c r="DQ90" s="22" t="e">
        <f ca="1">INDEX(Table_Process_Details[Total '[Mass Net (kg) per kg API'] of Unique Inputs (WATER)], MATCH(Table_Process_Details[[#This Row],[Unique Inputs Sorted by '[Mass Net (kg) per kg API']]],Table_Process_Details[Unique Process Inputs],0))</f>
        <v>#N/A</v>
      </c>
      <c r="DR90" s="22" t="e">
        <f ca="1">INDEX(Table_Process_Details[Total '[Mass Net (kg) per kg API'] of Unique Inputs (ENZ&amp;PLNT)], MATCH(Table_Process_Details[[#This Row],[Unique Inputs Sorted by '[Mass Net (kg) per kg API']]],Table_Process_Details[Unique Process Inputs],0))</f>
        <v>#N/A</v>
      </c>
      <c r="DS90" s="22" t="e">
        <f ca="1">INDEX(Table_Process_Details[Total '[Mass Net (kg) per kg API'] of Unique Inputs (OTHER)], MATCH(Table_Process_Details[[#This Row],[Unique Inputs Sorted by '[Mass Net (kg) per kg API']]],Table_Process_Details[Unique Process Inputs],0))</f>
        <v>#N/A</v>
      </c>
      <c r="DT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22.241408499761445</v>
      </c>
      <c r="DU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22.239309965131238</v>
      </c>
      <c r="DV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2.0985346302073793E-3</v>
      </c>
      <c r="DY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0" s="1">
        <f ca="1">SUMIFS(Table_Process_Details[RV Energy (MJ) per kg API],Table_Process_Details[Display Name],Table_Process_Details[[#This Row],[Unique Process Inputs]],Table_Process_Details[Input or Output],"Input")</f>
        <v>0</v>
      </c>
      <c r="EB90" s="1">
        <f ca="1">SUMIFS(Table_Process_Details[RV Energy (MJ) per kg API (REAGENT)],Table_Process_Details[Display Name],Table_Process_Details[[#This Row],[Unique Process Inputs]],Table_Process_Details[Input or Output],"Input")</f>
        <v>0</v>
      </c>
      <c r="EC90" s="1">
        <f ca="1">SUMIFS(Table_Process_Details[RV Energy (MJ) per kg API (METAL)],Table_Process_Details[Display Name],Table_Process_Details[[#This Row],[Unique Process Inputs]],Table_Process_Details[Input or Output],"Input")</f>
        <v>0</v>
      </c>
      <c r="ED90" s="1">
        <f ca="1">SUMIFS(Table_Process_Details[RV Energy (MJ) per kg API (SOLVENT)],Table_Process_Details[Display Name],Table_Process_Details[[#This Row],[Unique Process Inputs]],Table_Process_Details[Input or Output],"Input")</f>
        <v>0</v>
      </c>
      <c r="EE90" s="1">
        <f ca="1">SUMIFS(Table_Process_Details[RV Energy (MJ) per kg API (WATER)],Table_Process_Details[Display Name],Table_Process_Details[[#This Row],[Unique Process Inputs]],Table_Process_Details[Input or Output],"Input")</f>
        <v>0</v>
      </c>
      <c r="EF90" s="1">
        <f ca="1">SUMIFS(Table_Process_Details[RV Energy (MJ) per kg API (ENZ&amp;PLNT)],Table_Process_Details[Display Name],Table_Process_Details[[#This Row],[Unique Process Inputs]],Table_Process_Details[Input or Output],"Input")</f>
        <v>0</v>
      </c>
      <c r="EG90" s="1">
        <f ca="1">SUMIFS(Table_Process_Details[RV Energy (MJ) per kg API (OTHER)],Table_Process_Details[Display Name],Table_Process_Details[[#This Row],[Unique Process Inputs]],Table_Process_Details[Input or Output],"Input")</f>
        <v>0</v>
      </c>
      <c r="EH90" s="1" t="e">
        <f ca="1">INDEX(Table_Process_Details[Unique Process Inputs],MATCH(Table_Process_Details[[#This Row],['[Energy (MJ) per kg API'] of Unique Inputs Sorted by '[Energy (MJ) per kg API']]],Table_Process_Details[Total '[Energy (MJ) per kg API'] of Unique Inputs],0))</f>
        <v>#N/A</v>
      </c>
      <c r="EI90" s="22" t="e">
        <f ca="1">IF(LARGE(Table_Process_Details[Total '[Energy (MJ) per kg API'] of Unique Inputs],Table_Process_Details[[#This Row],[Table Row]])=0,NA(),LARGE(Table_Process_Details[Total '[Energy (MJ) per kg API'] of Unique Inputs],Table_Process_Details[[#This Row],[Table Row]]))</f>
        <v>#N/A</v>
      </c>
      <c r="EJ90" s="22" t="e">
        <f ca="1">SUM(OFFSET(Table_Process_Details['[Energy (MJ) per kg API'] of Unique Inputs Sorted by '[Energy (MJ) per kg API']],0,0,Table_Process_Details[[#This Row],[Table Row]]))</f>
        <v>#N/A</v>
      </c>
      <c r="EK90" s="22" t="e">
        <f ca="1">"("&amp;TEXT(Table_Process_Details[[#This Row],['[Energy (MJ) per kg API'] of Unique Inputs Sorted by '[Energy (MJ) per kg API']]]/SUMIF(Table_Process_Details['[Energy (MJ) per kg API'] of Unique Inputs Sorted by '[Energy (MJ) per kg API']],"&lt;&gt;#N/A"),"0%")&amp;")"</f>
        <v>#N/A</v>
      </c>
      <c r="EL90" s="22" t="e">
        <f ca="1">INDEX(Table_Process_Details[Total '[Energy (MJ) per kg API'] of Unique Inputs (REAGENT)], MATCH(Table_Process_Details[[#This Row],[Unique Inputs Sorted by '[Energy (MJ) per kg API']]],Table_Process_Details[Unique Process Inputs],0))</f>
        <v>#N/A</v>
      </c>
      <c r="EM90" s="22" t="e">
        <f ca="1">INDEX(Table_Process_Details[Total '[Energy (MJ) per kg API'] of Unique Inputs (METAL)], MATCH(Table_Process_Details[[#This Row],[Unique Inputs Sorted by '[Energy (MJ) per kg API']]],Table_Process_Details[Unique Process Inputs],0))</f>
        <v>#N/A</v>
      </c>
      <c r="EN90" s="22" t="e">
        <f ca="1">INDEX(Table_Process_Details[Total '[Energy (MJ) per kg API'] of Unique Inputs (SOLVENT)], MATCH(Table_Process_Details[[#This Row],[Unique Inputs Sorted by '[Energy (MJ) per kg API']]],Table_Process_Details[Unique Process Inputs],0))</f>
        <v>#N/A</v>
      </c>
      <c r="EO90" s="22" t="e">
        <f ca="1">INDEX(Table_Process_Details[Total '[Energy (MJ) per kg API'] of Unique Inputs (WATER)], MATCH(Table_Process_Details[[#This Row],[Unique Inputs Sorted by '[Energy (MJ) per kg API']]],Table_Process_Details[Unique Process Inputs],0))</f>
        <v>#N/A</v>
      </c>
      <c r="EP90" s="22" t="e">
        <f ca="1">INDEX(Table_Process_Details[Total '[Energy (MJ) per kg API'] of Unique Inputs (ENZ&amp;PLNT)], MATCH(Table_Process_Details[[#This Row],[Unique Inputs Sorted by '[Energy (MJ) per kg API']]],Table_Process_Details[Unique Process Inputs],0))</f>
        <v>#N/A</v>
      </c>
      <c r="EQ90" s="22" t="e">
        <f ca="1">INDEX(Table_Process_Details[Total '[Energy (MJ) per kg API'] of Unique Inputs (OTHER)], MATCH(Table_Process_Details[[#This Row],[Unique Inputs Sorted by '[Energy (MJ) per kg API']]],Table_Process_Details[Unique Process Inputs],0))</f>
        <v>#N/A</v>
      </c>
      <c r="ER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2.898544585281706</v>
      </c>
      <c r="ES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2.8984327399522876</v>
      </c>
      <c r="ET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1.1184532941824198E-4</v>
      </c>
      <c r="EW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0" s="22">
        <f ca="1">SUMIFS(Table_Process_Details[RV GWP (kg CO2 equiv.) per kg API],Table_Process_Details[Display Name],Table_Process_Details[[#This Row],[Unique Process Inputs]],Table_Process_Details[Input or Output],"Input")</f>
        <v>0</v>
      </c>
      <c r="EZ90" s="1">
        <f ca="1">SUMIFS(Table_Process_Details[RV GWP (kg CO2 equiv.) per kg API (REAGENT)],Table_Process_Details[Display Name],Table_Process_Details[[#This Row],[Unique Process Inputs]],Table_Process_Details[Input or Output],"Input")</f>
        <v>0</v>
      </c>
      <c r="FA90" s="1">
        <f ca="1">SUMIFS(Table_Process_Details[RV GWP (kg CO2 equiv.) per kg API (METAL)],Table_Process_Details[Display Name],Table_Process_Details[[#This Row],[Unique Process Inputs]],Table_Process_Details[Input or Output],"Input")</f>
        <v>0</v>
      </c>
      <c r="FB90" s="1">
        <f ca="1">SUMIFS(Table_Process_Details[RV GWP (kg CO2 equiv.) per kg API (SOLVENT)],Table_Process_Details[Display Name],Table_Process_Details[[#This Row],[Unique Process Inputs]],Table_Process_Details[Input or Output],"Input")</f>
        <v>0</v>
      </c>
      <c r="FC90" s="1">
        <f ca="1">SUMIFS(Table_Process_Details[RV GWP (kg CO2 equiv.) per kg API (WATER)],Table_Process_Details[Display Name],Table_Process_Details[[#This Row],[Unique Process Inputs]],Table_Process_Details[Input or Output],"Input")</f>
        <v>0</v>
      </c>
      <c r="FD90" s="1">
        <f ca="1">SUMIFS(Table_Process_Details[RV GWP (kg CO2 equiv.) per kg API (ENZ&amp;PLNT)],Table_Process_Details[Display Name],Table_Process_Details[[#This Row],[Unique Process Inputs]],Table_Process_Details[Input or Output],"Input")</f>
        <v>0</v>
      </c>
      <c r="FE90" s="1">
        <f ca="1">SUMIFS(Table_Process_Details[RV GWP (kg CO2 equiv.) per kg API (OTHER)],Table_Process_Details[Display Name],Table_Process_Details[[#This Row],[Unique Process Inputs]],Table_Process_Details[Input or Output],"Input")</f>
        <v>0</v>
      </c>
      <c r="FF90" s="22" t="e">
        <f ca="1">INDEX(Table_Process_Details[Unique Process Inputs],MATCH(Table_Process_Details[[#This Row],['[GWP (kg CO2 equiv.) per kg API'] of Unique Inputs Sorted by '[GWP (kg CO2 equiv.) per kg API']]],Table_Process_Details[Total '[GWP (kg CO2 equiv.) per kg API'] of Unique Inputs],0))</f>
        <v>#N/A</v>
      </c>
      <c r="FG90" s="22" t="e">
        <f ca="1">IF(LARGE(Table_Process_Details[Total '[GWP (kg CO2 equiv.) per kg API'] of Unique Inputs],Table_Process_Details[[#This Row],[Table Row]])=0,NA(),LARGE(Table_Process_Details[Total '[GWP (kg CO2 equiv.) per kg API'] of Unique Inputs],Table_Process_Details[[#This Row],[Table Row]]))</f>
        <v>#N/A</v>
      </c>
      <c r="FH90" s="22" t="e">
        <f ca="1">SUM(OFFSET(Table_Process_Details['[GWP (kg CO2 equiv.) per kg API'] of Unique Inputs Sorted by '[GWP (kg CO2 equiv.) per kg API']],0,0,Table_Process_Details[[#This Row],[Table Row]]))</f>
        <v>#N/A</v>
      </c>
      <c r="FI90" s="22" t="e">
        <f ca="1">"("&amp;TEXT(Table_Process_Details[[#This Row],['[GWP (kg CO2 equiv.) per kg API'] of Unique Inputs Sorted by '[GWP (kg CO2 equiv.) per kg API']]]/SUMIF(Table_Process_Details['[GWP (kg CO2 equiv.) per kg API'] of Unique Inputs Sorted by '[GWP (kg CO2 equiv.) per kg API']],"&lt;&gt;#N/A"),"0%")&amp;")"</f>
        <v>#N/A</v>
      </c>
      <c r="FJ90" s="22" t="e">
        <f ca="1">INDEX(Table_Process_Details[Total '[GWP (kg CO2 equiv.) per kg API'] of Unique Inputs (REAGENT)], MATCH(Table_Process_Details[[#This Row],[Unique Inputs Sorted by '[GWP (kg CO2 equiv.) per kg API']]],Table_Process_Details[Unique Process Inputs],0))</f>
        <v>#N/A</v>
      </c>
      <c r="FK90" s="22" t="e">
        <f ca="1">INDEX(Table_Process_Details[Total '[GWP (kg CO2 equiv.) per kg API'] of Unique Inputs (METAL)], MATCH(Table_Process_Details[[#This Row],[Unique Inputs Sorted by '[GWP (kg CO2 equiv.) per kg API']]],Table_Process_Details[Unique Process Inputs],0))</f>
        <v>#N/A</v>
      </c>
      <c r="FL90" s="22" t="e">
        <f ca="1">INDEX(Table_Process_Details[Total '[GWP (kg CO2 equiv.) per kg API'] of Unique Inputs (SOLVENT)], MATCH(Table_Process_Details[[#This Row],[Unique Inputs Sorted by '[GWP (kg CO2 equiv.) per kg API']]],Table_Process_Details[Unique Process Inputs],0))</f>
        <v>#N/A</v>
      </c>
      <c r="FM90" s="22" t="e">
        <f ca="1">INDEX(Table_Process_Details[Total '[GWP (kg CO2 equiv.) per kg API'] of Unique Inputs (WATER)], MATCH(Table_Process_Details[[#This Row],[Unique Inputs Sorted by '[GWP (kg CO2 equiv.) per kg API']]],Table_Process_Details[Unique Process Inputs],0))</f>
        <v>#N/A</v>
      </c>
      <c r="FN90" s="22" t="e">
        <f ca="1">INDEX(Table_Process_Details[Total '[GWP (kg CO2 equiv.) per kg API'] of Unique Inputs (ENZ&amp;PLNT)], MATCH(Table_Process_Details[[#This Row],[Unique Inputs Sorted by '[GWP (kg CO2 equiv.) per kg API']]],Table_Process_Details[Unique Process Inputs],0))</f>
        <v>#N/A</v>
      </c>
      <c r="FO90" s="22" t="e">
        <f ca="1">INDEX(Table_Process_Details[Total '[GWP (kg CO2 equiv.) per kg API'] of Unique Inputs (OTHER)], MATCH(Table_Process_Details[[#This Row],[Unique Inputs Sorted by '[GWP (kg CO2 equiv.) per kg API']]],Table_Process_Details[Unique Process Inputs],0))</f>
        <v>#N/A</v>
      </c>
      <c r="FP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2.9080993734813754E-2</v>
      </c>
      <c r="FQ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2.908056524132871E-2</v>
      </c>
      <c r="FR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4.2849348504312751E-7</v>
      </c>
      <c r="FU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0" s="22">
        <f ca="1">SUMIFS(Table_Process_Details[RV Acidification (kg SO2 equiv.) per kg API],Table_Process_Details[Display Name],Table_Process_Details[[#This Row],[Unique Process Inputs]],Table_Process_Details[Input or Output],"Input")</f>
        <v>0</v>
      </c>
      <c r="FX90" s="1">
        <f ca="1">SUMIFS(Table_Process_Details[RV Acidification (kg SO2 equiv.) per kg API (REAGENT)],Table_Process_Details[Display Name],Table_Process_Details[[#This Row],[Unique Process Inputs]],Table_Process_Details[Input or Output],"Input")</f>
        <v>0</v>
      </c>
      <c r="FY90" s="1">
        <f ca="1">SUMIFS(Table_Process_Details[RV Acidification (kg SO2 equiv.) per kg API (METAL)],Table_Process_Details[Display Name],Table_Process_Details[[#This Row],[Unique Process Inputs]],Table_Process_Details[Input or Output],"Input")</f>
        <v>0</v>
      </c>
      <c r="FZ90" s="1">
        <f ca="1">SUMIFS(Table_Process_Details[RV Acidification (kg SO2 equiv.) per kg API (SOLVENT)],Table_Process_Details[Display Name],Table_Process_Details[[#This Row],[Unique Process Inputs]],Table_Process_Details[Input or Output],"Input")</f>
        <v>0</v>
      </c>
      <c r="GA90" s="1">
        <f ca="1">SUMIFS(Table_Process_Details[RV Acidification (kg SO2 equiv.) per kg API (WATER)],Table_Process_Details[Display Name],Table_Process_Details[[#This Row],[Unique Process Inputs]],Table_Process_Details[Input or Output],"Input")</f>
        <v>0</v>
      </c>
      <c r="GB90" s="1">
        <f ca="1">SUMIFS(Table_Process_Details[RV Acidification (kg SO2 equiv.) per kg API (ENZ&amp;PLNT)],Table_Process_Details[Display Name],Table_Process_Details[[#This Row],[Unique Process Inputs]],Table_Process_Details[Input or Output],"Input")</f>
        <v>0</v>
      </c>
      <c r="GC90" s="1">
        <f ca="1">SUMIFS(Table_Process_Details[RV Acidification (kg SO2 equiv.) per kg API (OTHER)],Table_Process_Details[Display Name],Table_Process_Details[[#This Row],[Unique Process Inputs]],Table_Process_Details[Input or Output],"Input")</f>
        <v>0</v>
      </c>
      <c r="GD9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0" s="22" t="e">
        <f ca="1">SUM(OFFSET(Table_Process_Details['[Acidification (kg SO2 equiv.) per kg API'] of Unique Inputs Sorted by '[Acidification (kg SO2 equiv.) per kg API']],0,0,Table_Process_Details[[#This Row],[Table Row]]))</f>
        <v>#N/A</v>
      </c>
      <c r="GG9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0" s="22" t="e">
        <f ca="1">INDEX(Table_Process_Details[Total '[Acidification (kg SO2 equiv.) per kg API'] of Unique Inputs (REAGENT)], MATCH(Table_Process_Details[[#This Row],[Unique Inputs Sorted by '[Acidification (kg SO2 equiv.) per kg API']]],Table_Process_Details[Unique Process Inputs],0))</f>
        <v>#N/A</v>
      </c>
      <c r="GI90" s="22" t="e">
        <f ca="1">INDEX(Table_Process_Details[Total '[Acidification (kg SO2 equiv.) per kg API'] of Unique Inputs (METAL)], MATCH(Table_Process_Details[[#This Row],[Unique Inputs Sorted by '[Acidification (kg SO2 equiv.) per kg API']]],Table_Process_Details[Unique Process Inputs],0))</f>
        <v>#N/A</v>
      </c>
      <c r="GJ90" s="22" t="e">
        <f ca="1">INDEX(Table_Process_Details[Total '[Acidification (kg SO2 equiv.) per kg API'] of Unique Inputs (SOLVENT)], MATCH(Table_Process_Details[[#This Row],[Unique Inputs Sorted by '[Acidification (kg SO2 equiv.) per kg API']]],Table_Process_Details[Unique Process Inputs],0))</f>
        <v>#N/A</v>
      </c>
      <c r="GK90" s="22" t="e">
        <f ca="1">INDEX(Table_Process_Details[Total '[Acidification (kg SO2 equiv.) per kg API'] of Unique Inputs (WATER)], MATCH(Table_Process_Details[[#This Row],[Unique Inputs Sorted by '[Acidification (kg SO2 equiv.) per kg API']]],Table_Process_Details[Unique Process Inputs],0))</f>
        <v>#N/A</v>
      </c>
      <c r="GL90" s="22" t="e">
        <f ca="1">INDEX(Table_Process_Details[Total '[Acidification (kg SO2 equiv.) per kg API'] of Unique Inputs (ENZ&amp;PLNT)], MATCH(Table_Process_Details[[#This Row],[Unique Inputs Sorted by '[Acidification (kg SO2 equiv.) per kg API']]],Table_Process_Details[Unique Process Inputs],0))</f>
        <v>#N/A</v>
      </c>
      <c r="GM90" s="22" t="e">
        <f ca="1">INDEX(Table_Process_Details[Total '[Acidification (kg SO2 equiv.) per kg API'] of Unique Inputs (OTHER)], MATCH(Table_Process_Details[[#This Row],[Unique Inputs Sorted by '[Acidification (kg SO2 equiv.) per kg API']]],Table_Process_Details[Unique Process Inputs],0))</f>
        <v>#N/A</v>
      </c>
      <c r="GN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1.4647441551917796E-3</v>
      </c>
      <c r="GO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1.4644888970453307E-3</v>
      </c>
      <c r="GP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2.552581464488899E-7</v>
      </c>
      <c r="GS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0" s="22">
        <f ca="1">SUMIFS(Table_Process_Details[RV Eutrophication (kg phosphate equiv.) per kg API],Table_Process_Details[Display Name],Table_Process_Details[[#This Row],[Unique Process Inputs]],Table_Process_Details[Input or Output],"Input")</f>
        <v>0</v>
      </c>
      <c r="GV90" s="1">
        <f ca="1">SUMIFS(Table_Process_Details[RV Eutrophication (kg phosphate equiv.) per kg API (REAGENT)],Table_Process_Details[Display Name],Table_Process_Details[[#This Row],[Unique Process Inputs]],Table_Process_Details[Input or Output],"Input")</f>
        <v>0</v>
      </c>
      <c r="GW90" s="1">
        <f ca="1">SUMIFS(Table_Process_Details[RV Eutrophication (kg phosphate equiv.) per kg API (METAL)],Table_Process_Details[Display Name],Table_Process_Details[[#This Row],[Unique Process Inputs]],Table_Process_Details[Input or Output],"Input")</f>
        <v>0</v>
      </c>
      <c r="GX90" s="1">
        <f ca="1">SUMIFS(Table_Process_Details[RV Eutrophication (kg phosphate equiv.) per kg API (SOLVENT)],Table_Process_Details[Display Name],Table_Process_Details[[#This Row],[Unique Process Inputs]],Table_Process_Details[Input or Output],"Input")</f>
        <v>0</v>
      </c>
      <c r="GY90" s="1">
        <f ca="1">SUMIFS(Table_Process_Details[RV Eutrophication (kg phosphate equiv.) per kg API (WATER)],Table_Process_Details[Display Name],Table_Process_Details[[#This Row],[Unique Process Inputs]],Table_Process_Details[Input or Output],"Input")</f>
        <v>0</v>
      </c>
      <c r="GZ90" s="1">
        <f ca="1">SUMIFS(Table_Process_Details[RV Eutrophication (kg phosphate equiv.) per kg API (ENZ&amp;PLNT)],Table_Process_Details[Display Name],Table_Process_Details[[#This Row],[Unique Process Inputs]],Table_Process_Details[Input or Output],"Input")</f>
        <v>0</v>
      </c>
      <c r="HA90" s="1">
        <f ca="1">SUMIFS(Table_Process_Details[RV Eutrophication (kg phosphate equiv.) per kg API (OTHER)],Table_Process_Details[Display Name],Table_Process_Details[[#This Row],[Unique Process Inputs]],Table_Process_Details[Input or Output],"Input")</f>
        <v>0</v>
      </c>
      <c r="HB9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0" s="22" t="e">
        <f ca="1">SUM(OFFSET(Table_Process_Details['[Eutrophication (kg posphate equiv.) per kg API'] of Unique Inputs Sorted by '[Eutrophication (kg posphate equiv.) per kg API']],0,0,Table_Process_Details[[#This Row],[Table Row]]))</f>
        <v>#N/A</v>
      </c>
      <c r="HE9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0" s="1" t="e">
        <f ca="1">INDEX(Table_Process_Details[Total '[Eutrophication (kg posphate equiv.) per kg API'] of Unique Inputs (REAGENT)], MATCH(Table_Process_Details[[#This Row],[Unique Inputs Sorted by '[Eutrophication (kg posphate equiv.) per kg API']]],Table_Process_Details[Unique Process Inputs],0))</f>
        <v>#N/A</v>
      </c>
      <c r="HG90" s="1" t="e">
        <f ca="1">INDEX(Table_Process_Details[Total '[Eutrophication (kg posphate equiv.) per kg API'] of Unique Inputs (METAL)], MATCH(Table_Process_Details[[#This Row],[Unique Inputs Sorted by '[Eutrophication (kg posphate equiv.) per kg API']]],Table_Process_Details[Unique Process Inputs],0))</f>
        <v>#N/A</v>
      </c>
      <c r="HH90" s="1" t="e">
        <f ca="1">INDEX(Table_Process_Details[Total '[Eutrophication (kg posphate equiv.) per kg API'] of Unique Inputs (SOLVENT)], MATCH(Table_Process_Details[[#This Row],[Unique Inputs Sorted by '[Eutrophication (kg posphate equiv.) per kg API']]],Table_Process_Details[Unique Process Inputs],0))</f>
        <v>#N/A</v>
      </c>
      <c r="HI90" s="1" t="e">
        <f ca="1">INDEX(Table_Process_Details[Total '[Eutrophication (kg posphate equiv.) per kg API'] of Unique Inputs (WATER)], MATCH(Table_Process_Details[[#This Row],[Unique Inputs Sorted by '[Eutrophication (kg posphate equiv.) per kg API']]],Table_Process_Details[Unique Process Inputs],0))</f>
        <v>#N/A</v>
      </c>
      <c r="HJ90" s="1" t="e">
        <f ca="1">INDEX(Table_Process_Details[Total '[Eutrophication (kg posphate equiv.) per kg API'] of Unique Inputs (ENZ&amp;PLNT)], MATCH(Table_Process_Details[[#This Row],[Unique Inputs Sorted by '[Eutrophication (kg posphate equiv.) per kg API']]],Table_Process_Details[Unique Process Inputs],0))</f>
        <v>#N/A</v>
      </c>
      <c r="HK90" s="1" t="e">
        <f ca="1">INDEX(Table_Process_Details[Total '[Eutrophication (kg posphate equiv.) per kg API'] of Unique Inputs (OTHER)], MATCH(Table_Process_Details[[#This Row],[Unique Inputs Sorted by '[Eutrophication (kg posphate equiv.) per kg API']]],Table_Process_Details[Unique Process Inputs],0))</f>
        <v>#N/A</v>
      </c>
      <c r="HL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1.5852507726188305</v>
      </c>
      <c r="HM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1.4461409432923484</v>
      </c>
      <c r="HN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0.13910982932648203</v>
      </c>
      <c r="HQ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0" s="1">
        <f ca="1">SUMIFS(Table_Process_Details[RV Water (kg) per kg API],Table_Process_Details[Display Name],Table_Process_Details[[#This Row],[Unique Process Inputs]],Table_Process_Details[Input or Output],"Input")</f>
        <v>0</v>
      </c>
      <c r="HT90" s="1">
        <f ca="1">SUMIFS(Table_Process_Details[RV Water (kg) per kg API (REAGENT)],Table_Process_Details[Display Name],Table_Process_Details[[#This Row],[Unique Process Inputs]],Table_Process_Details[Input or Output],"Input")</f>
        <v>0</v>
      </c>
      <c r="HU90" s="1">
        <f ca="1">SUMIFS(Table_Process_Details[RV Water (kg) per kg API (METAL)],Table_Process_Details[Display Name],Table_Process_Details[[#This Row],[Unique Process Inputs]],Table_Process_Details[Input or Output],"Input")</f>
        <v>0</v>
      </c>
      <c r="HV90" s="1">
        <f ca="1">SUMIFS(Table_Process_Details[RV Water (kg) per kg API (SOLVENT)],Table_Process_Details[Display Name],Table_Process_Details[[#This Row],[Unique Process Inputs]],Table_Process_Details[Input or Output],"Input")</f>
        <v>0</v>
      </c>
      <c r="HW90" s="1">
        <f ca="1">SUMIFS(Table_Process_Details[RV Water (kg) per kg API (WATER)],Table_Process_Details[Display Name],Table_Process_Details[[#This Row],[Unique Process Inputs]],Table_Process_Details[Input or Output],"Input")</f>
        <v>0</v>
      </c>
      <c r="HX90" s="1">
        <f ca="1">SUMIFS(Table_Process_Details[RV Water (kg) per kg API (ENZ&amp;PLNT)],Table_Process_Details[Display Name],Table_Process_Details[[#This Row],[Unique Process Inputs]],Table_Process_Details[Input or Output],"Input")</f>
        <v>0</v>
      </c>
      <c r="HY90" s="1">
        <f ca="1">SUMIFS(Table_Process_Details[RV Water (kg) per kg API (OTHER)],Table_Process_Details[Display Name],Table_Process_Details[[#This Row],[Unique Process Inputs]],Table_Process_Details[Input or Output],"Input")</f>
        <v>0</v>
      </c>
      <c r="HZ90" s="22" t="e">
        <f ca="1">INDEX(Table_Process_Details[Unique Process Inputs],MATCH(Table_Process_Details[[#This Row],['[Water (kg) per kg API'] of Unique Inputs Sorted by '[Water (kg) per kg API']]],Table_Process_Details[Total '[Water (kg) per kg API'] of Unique Inputs],0))</f>
        <v>#N/A</v>
      </c>
      <c r="IA90" s="22" t="e">
        <f ca="1">IF(LARGE(Table_Process_Details[Total '[Water (kg) per kg API'] of Unique Inputs],Table_Process_Details[[#This Row],[Table Row]])=0,NA(),LARGE(Table_Process_Details[Total '[Water (kg) per kg API'] of Unique Inputs],Table_Process_Details[[#This Row],[Table Row]]))</f>
        <v>#N/A</v>
      </c>
      <c r="IB90" s="1" t="e">
        <f ca="1">SUM(OFFSET(Table_Process_Details['[Water (kg) per kg API'] of Unique Inputs Sorted by '[Water (kg) per kg API']],0,0,Table_Process_Details[[#This Row],[Table Row]]))</f>
        <v>#N/A</v>
      </c>
      <c r="IC90" s="1" t="e">
        <f ca="1">"("&amp;TEXT(Table_Process_Details[[#This Row],['[Water (kg) per kg API'] of Unique Inputs Sorted by '[Water (kg) per kg API']]]/SUMIF(Table_Process_Details['[Water (kg) per kg API'] of Unique Inputs Sorted by '[Water (kg) per kg API']],"&lt;&gt;#N/A"),"0%")&amp;")"</f>
        <v>#N/A</v>
      </c>
      <c r="ID90" s="1" t="e">
        <f ca="1">INDEX(Table_Process_Details[Total '[Water (kg) per kg API'] of Unique Inputs (REAGENT)], MATCH(Table_Process_Details[[#This Row],[Unique Inputs Sorted by '[Water (kg) per kg API']]],Table_Process_Details[Unique Process Inputs],0))</f>
        <v>#N/A</v>
      </c>
      <c r="IE90" s="1" t="e">
        <f ca="1">INDEX(Table_Process_Details[Total '[Water (kg) per kg API'] of Unique Inputs (METAL)], MATCH(Table_Process_Details[[#This Row],[Unique Inputs Sorted by '[Water (kg) per kg API']]],Table_Process_Details[Unique Process Inputs],0))</f>
        <v>#N/A</v>
      </c>
      <c r="IF90" s="1" t="e">
        <f ca="1">INDEX(Table_Process_Details[Total '[Water (kg) per kg API'] of Unique Inputs (SOLVENT)], MATCH(Table_Process_Details[[#This Row],[Unique Inputs Sorted by '[Water (kg) per kg API']]],Table_Process_Details[Unique Process Inputs],0))</f>
        <v>#N/A</v>
      </c>
      <c r="IG90" s="1" t="e">
        <f ca="1">INDEX(Table_Process_Details[Total '[Water (kg) per kg API'] of Unique Inputs (WATER)], MATCH(Table_Process_Details[[#This Row],[Unique Inputs Sorted by '[Water (kg) per kg API']]],Table_Process_Details[Unique Process Inputs],0))</f>
        <v>#N/A</v>
      </c>
      <c r="IH90" s="1" t="e">
        <f ca="1">INDEX(Table_Process_Details[Total '[Water (kg) per kg API'] of Unique Inputs (ENZ&amp;PLNT)], MATCH(Table_Process_Details[[#This Row],[Unique Inputs Sorted by '[Water (kg) per kg API']]],Table_Process_Details[Unique Process Inputs],0))</f>
        <v>#N/A</v>
      </c>
      <c r="II90" s="1" t="e">
        <f ca="1">INDEX(Table_Process_Details[Total '[Water (kg) per kg API'] of Unique Inputs (OTHER)], MATCH(Table_Process_Details[[#This Row],[Unique Inputs Sorted by '[Water (kg) per kg API']]],Table_Process_Details[Unique Process Inputs],0))</f>
        <v>#N/A</v>
      </c>
    </row>
    <row r="91" spans="1:243" customFormat="1" x14ac:dyDescent="0.25">
      <c r="A91" s="22" t="str">
        <f t="shared" si="3"/>
        <v>4) Synthesis of Intermediate (4)</v>
      </c>
      <c r="B91" s="21" t="s">
        <v>4</v>
      </c>
      <c r="C91" s="21" t="s">
        <v>6</v>
      </c>
      <c r="D91" s="22" t="s">
        <v>52</v>
      </c>
      <c r="E91" s="22" t="s">
        <v>812</v>
      </c>
      <c r="F91" s="26">
        <v>260</v>
      </c>
      <c r="G91" s="26"/>
      <c r="H91" s="26"/>
      <c r="I91" s="26"/>
      <c r="J91" s="26" t="str">
        <f>INDEX(Process_Steps[Reference],MATCH(Table_Process_Details[[#This Row],[Step Name]],Process_Steps[Name],0))</f>
        <v>Penultimate Reference Document</v>
      </c>
      <c r="K91" s="27" t="str">
        <f>INDEX(Process_Steps[Real or Virtual?],MATCH(Table_Process_Details[[#This Row],[Step Name]],Process_Steps[Name],0))</f>
        <v>Real</v>
      </c>
      <c r="L91"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75-05-8</v>
      </c>
      <c r="M91"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91" s="26">
        <f>INDEX(Table_Process_Details[Physical Mass (kg)],MATCH(1,INDEX(((Table_Process_Details[Step Name]=Table_Process_Details[[#This Row],[Step Name]])*(Table_Process_Details[Input or Output]="Output")),0),0))</f>
        <v>54.49</v>
      </c>
      <c r="O91" s="29">
        <f ca="1">INDEX(Process_Steps[Step Scale Factor for 1kg Packaged API],MATCH(Table_Process_Details[[#This Row],[Step Name]],Process_Steps[Name],0))</f>
        <v>2.2022389429253091E-2</v>
      </c>
      <c r="P91"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18.333333333333332</v>
      </c>
      <c r="Q91"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1.3333333333333321</v>
      </c>
      <c r="R91" s="26">
        <f ca="1">_xlfn.SWITCH(Run_Reset_PNG,"Reset",Table_Process_Details[[#This Row],[X Init]],"Run",Table_Process_Details[[#This Row],[X Moved]],"Freeze",Table_Process_Details[[#This Row],[X Mover]])</f>
        <v>19.275343482308465</v>
      </c>
      <c r="S91" s="26">
        <f ca="1">_xlfn.SWITCH(Run_Reset_PNG,"Reset",Table_Process_Details[[#This Row],[Y Init]],"Run",Table_Process_Details[[#This Row],[Y Moved]],"Freeze",Table_Process_Details[[#This Row],[Y Mover]])</f>
        <v>-4.3446498380520522</v>
      </c>
      <c r="T91" s="26" cm="1">
        <f t="array" aca="1" ref="T9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0.79013446734163362</v>
      </c>
      <c r="U91" s="26" cm="1">
        <f t="array" aca="1" ref="U9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-2.9364050069178398</v>
      </c>
      <c r="V91" s="26" cm="1">
        <f t="array" aca="1" ref="V91" ca="1">SUM(--(SQRT((Table_Process_Details[[#This Row],[X Mover]]-Table_Process_Details[X Mover])^2+(Table_Process_Details[[#This Row],[Y Mover]]-Table_Process_Details[Y Mover])^2)&lt;Collision_Distance))</f>
        <v>14</v>
      </c>
      <c r="W91" s="26" cm="1">
        <f t="array" aca="1" ref="W9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1.802046098233433E-2</v>
      </c>
      <c r="X91" s="26" cm="1">
        <f t="array" aca="1" ref="X9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0.16587718940673757</v>
      </c>
      <c r="Y91" s="26" cm="1">
        <f t="array" aca="1" ref="Y9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1" s="26">
        <f>0</f>
        <v>0</v>
      </c>
      <c r="AA91" s="26">
        <f>0</f>
        <v>0</v>
      </c>
      <c r="AB91"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-9.6376717411542323</v>
      </c>
      <c r="AC91" s="26" cm="1">
        <f t="array" aca="1" ref="AC9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2.1723249190260261</v>
      </c>
      <c r="AD91" s="26">
        <f>MIN(1,COUNTA(Table_Process_Details[[#This Row],[target x]]),COUNTA(Table_Process_Details[[#This Row],[target y]]))*COUNTA(Table_Process_Details[Step Name])</f>
        <v>98</v>
      </c>
      <c r="AE91"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19.251458530334038</v>
      </c>
      <c r="AF91"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-4.3663492826187724</v>
      </c>
      <c r="AG91"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1" s="26" cm="1">
        <f t="array" aca="1" ref="AH91" ca="1">INDEX(Table_Process_Details[X Mover],MATCH(1,INDEX((Table_Process_Details[Input or Output]="Output")*(Table_Process_Details[Step Name]=Table_Process_Details[[#This Row],[Step Name]])*(Table_Process_Details[[#This Row],[Input or Output]]="Input"),0),0))</f>
        <v>19.635390140975865</v>
      </c>
      <c r="AI91" s="26" cm="1">
        <f t="array" aca="1" ref="AI91" ca="1">INDEX(Table_Process_Details[Y Mover],MATCH(1,INDEX((Table_Process_Details[Input or Output]="Output")*(Table_Process_Details[Step Name]=Table_Process_Details[[#This Row],[Step Name]])*(Table_Process_Details[[#This Row],[Input or Output]]="Input"),0),0))</f>
        <v>-1.0304434005151315</v>
      </c>
      <c r="AJ91" s="26">
        <f ca="1">SQRT((Table_Process_Details[[#This Row],[X End (To Node Center)]]-Table_Process_Details[[#This Row],[X Guide]])^2+(Table_Process_Details[[#This Row],[Y End (to Node Center)]]-Table_Process_Details[[#This Row],[Y Guide]])^2)</f>
        <v>3.3337063318517917</v>
      </c>
      <c r="AK91" s="26" t="e" cm="1">
        <f t="array" ref="AK91">INDEX(Table_Process_Details[X Mover],MATCH(1,INDEX((Table_Process_Details[Step Name]=Table_Process_Details[[#This Row],[LCA Data Source Subclass]])*(Table_Process_Details[Input or Output]="Output"),0)*(Table_Process_Details[[#This Row],[Input or Output]]="Input"),0))</f>
        <v>#N/A</v>
      </c>
      <c r="AL91" s="26" cm="1">
        <f t="array" aca="1" ref="AL91" ca="1">INDEX(Table_Process_Details[X Mover],MATCH(1,INDEX(((Table_Process_Details[Table Row]=Table_Process_Details[[#This Row],[Table Row]])*(1)),0)*(Table_Process_Details[[#This Row],[Input or Output]]="Input"),0))</f>
        <v>19.275343482308465</v>
      </c>
      <c r="AM91" s="26" cm="1">
        <f t="array" aca="1" ref="AM91" ca="1">(Table_Process_Details[[#This Row],[X End (To Node Center)]]*Table_Process_Details[[#This Row],[r0]]-Table_Process_Details[[#This Row],[X End (To Node Center)]]*Arrow_Offset+Table_Process_Details[[#This Row],[X Guide]]*Arrow_Offset)/Table_Process_Details[[#This Row],[r0]]</f>
        <v>19.548988611188474</v>
      </c>
      <c r="AN91" s="26" t="e">
        <f>IF(NOT(Table_Process_Details[[#This Row],[Display As]]="None"),Table_Process_Details[[#This Row],[X Start Prefilter]],NA())</f>
        <v>#N/A</v>
      </c>
      <c r="AO91" s="26">
        <f ca="1">IF(NOT(Table_Process_Details[[#This Row],[Display As]]="None"),Table_Process_Details[[#This Row],[X Guide Prefilter]],NA())</f>
        <v>19.275343482308465</v>
      </c>
      <c r="AP91" s="26">
        <f ca="1">IF(NOT(Table_Process_Details[[#This Row],[Display As]]="None"),Table_Process_Details[[#This Row],[X End (to Stop Radius) Prefilter]],NA())</f>
        <v>19.548988611188474</v>
      </c>
      <c r="AQ91" s="26" t="e">
        <f>NA()</f>
        <v>#N/A</v>
      </c>
      <c r="AR91" s="26" t="e" cm="1">
        <f t="array" ref="AR91">INDEX(Table_Process_Details[Y Mover],MATCH(1,INDEX((Table_Process_Details[Step Name]=Table_Process_Details[[#This Row],[LCA Data Source Subclass]])*(Table_Process_Details[Input or Output]="Output"),0)*(Table_Process_Details[[#This Row],[Input or Output]]="Input"),0))</f>
        <v>#N/A</v>
      </c>
      <c r="AS91" s="26" cm="1">
        <f t="array" aca="1" ref="AS91" ca="1">INDEX(Table_Process_Details[Y Mover],MATCH(1,INDEX(((Table_Process_Details[Table Row]=Table_Process_Details[[#This Row],[Table Row]])*(1)),0)*(Table_Process_Details[[#This Row],[Input or Output]]="Input"),0))</f>
        <v>-4.3446498380520522</v>
      </c>
      <c r="AT91" s="26" cm="1">
        <f t="array" aca="1" ref="AT91" ca="1">(Table_Process_Details[[#This Row],[Y Guide]]*Arrow_Offset-Table_Process_Details[[#This Row],[Y End (to Node Center)]]*Arrow_Offset+Table_Process_Details[[#This Row],[Y End (to Node Center)]]*Table_Process_Details[[#This Row],[r0]])/Table_Process_Details[[#This Row],[r0]]</f>
        <v>-1.8257639495080504</v>
      </c>
      <c r="AU91" s="26" t="e">
        <f>IF(NOT(Table_Process_Details[[#This Row],[Display As]]="None"),Table_Process_Details[[#This Row],[Y Start Prefilter]],NA())</f>
        <v>#N/A</v>
      </c>
      <c r="AV91" s="26">
        <f ca="1">IF(NOT(Table_Process_Details[[#This Row],[Display As]]="None"),Table_Process_Details[[#This Row],[Y Guide Prefilter]],NA())</f>
        <v>-4.3446498380520522</v>
      </c>
      <c r="AW91" s="26">
        <f ca="1">IF(NOT(Table_Process_Details[[#This Row],[Display As]]="None"),Table_Process_Details[[#This Row],[Y End (to Stop Radius) Prefilter]],NA())</f>
        <v>-1.8257639495080504</v>
      </c>
      <c r="AX91" s="26" t="e">
        <f>NA()</f>
        <v>#N/A</v>
      </c>
      <c r="AY91" s="26" t="e">
        <f>IF(Table_Process_Details[[#This Row],[Display As]]="Real Step",Table_Process_Details[[#This Row],[X Mover]],NA())</f>
        <v>#N/A</v>
      </c>
      <c r="AZ91" s="26" t="e">
        <f>IF(Table_Process_Details[[#This Row],[Display As]]="Real Step",Table_Process_Details[[#This Row],[Y Mover]],NA())</f>
        <v>#N/A</v>
      </c>
      <c r="BA91" s="26">
        <f ca="1">IF(Table_Process_Details[[#This Row],[Display As]]="Raw Material",Table_Process_Details[[#This Row],[X Mover]],NA())</f>
        <v>19.275343482308465</v>
      </c>
      <c r="BB91" s="26">
        <f ca="1">IF(Table_Process_Details[[#This Row],[Display As]]="Raw Material",Table_Process_Details[[#This Row],[Y Mover]],NA())</f>
        <v>-4.3446498380520522</v>
      </c>
      <c r="BC91" s="26">
        <f ca="1">IF(OR(Table_Process_Details[[#This Row],[Display As]]="Real Step",Table_Process_Details[[#This Row],[Display As]]="Raw Material"),Table_Process_Details[[#This Row],[X Mover]],NA())</f>
        <v>19.275343482308465</v>
      </c>
      <c r="BD91" s="26">
        <f ca="1">IF(OR(Table_Process_Details[[#This Row],[Display As]]="Real Step",Table_Process_Details[[#This Row],[Display As]]="Raw Material"),Table_Process_Details[[#This Row],[Y Mover]],NA())</f>
        <v>-4.3446498380520522</v>
      </c>
      <c r="BE91" s="22">
        <f>ROW()-ROW(Table_Process_Details[[#Headers],[Table Row]])</f>
        <v>87</v>
      </c>
      <c r="BF91" s="23" t="e" cm="1">
        <f t="array" aca="1" ref="BF91" ca="1">INDEX(Table_Process_Details[Display Name],MATCH(0,IF(Table_Process_Details[Input or Output]="Input",INDEX(COUNTIF(OFFSET(Table_Process_Details[[#Headers],[Unique Process Inputs]],0,0,Table_Process_Details[[#This Row],[Table Row]],1),Table_Process_Details[Display Name]),),""),0))</f>
        <v>#N/A</v>
      </c>
      <c r="BG91" s="23">
        <f ca="1">Table_Process_Details[[#This Row],[Physical Mass (kg)]]*Table_Process_Details[[#This Row],[Step Scale Factor for 1kg Packaged API]]</f>
        <v>5.7258212516058036</v>
      </c>
      <c r="BH91"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1" s="23">
        <f ca="1">MATCH(Table_Process_Details[[#This Row],[LCA Data Source Class]],INDIRECT(Table_Process_Details[[#This Row],[Input or Output]]),0)</f>
        <v>2</v>
      </c>
      <c r="BJ91" s="23">
        <f ca="1">MATCH(Table_Process_Details[[#This Row],[LCA Data Source Subclass]],INDIRECT(Table_Process_Details[[#This Row],[LCA Data Source Class]]&amp;"[Name]"),0)</f>
        <v>16</v>
      </c>
      <c r="BK91" s="23">
        <f ca="1">IFERROR(INDEX(INDIRECT(Table_Process_Details[[#This Row],[LCA Data Source Class]]&amp;"[Mass Net (kg)]"),MATCH(Table_Process_Details[[#This Row],[LCA Data Source Subclass]],INDIRECT(Table_Process_Details[[#This Row],[LCA Data Source Class]]&amp;"[Name]"),0)),0)</f>
        <v>2.0349157</v>
      </c>
      <c r="BL91" s="23">
        <f ca="1">IFERROR(INDEX(INDIRECT(Table_Process_Details[[#This Row],[LCA Data Source Class]]&amp;"[Energy (MJ)]"),MATCH(Table_Process_Details[[#This Row],[LCA Data Source Subclass]],INDIRECT(Table_Process_Details[[#This Row],[LCA Data Source Class]]&amp;"[Name]"),0)),0)</f>
        <v>86.671193000000002</v>
      </c>
      <c r="BM91" s="23">
        <f ca="1">IFERROR(INDEX(INDIRECT(Table_Process_Details[[#This Row],[LCA Data Source Class]]&amp;"[GWP (kg CO2 equiv.)]"),MATCH(Table_Process_Details[[#This Row],[LCA Data Source Subclass]],INDIRECT(Table_Process_Details[[#This Row],[LCA Data Source Class]]&amp;"[Name]"),0)),0)</f>
        <v>3.0474101999999998</v>
      </c>
      <c r="BN91" s="23">
        <f ca="1">IFERROR(INDEX(INDIRECT(Table_Process_Details[[#This Row],[LCA Data Source Class]]&amp;"[Acidification (kg SO2 equiv.)]"),MATCH(Table_Process_Details[[#This Row],[LCA Data Source Subclass]],INDIRECT(Table_Process_Details[[#This Row],[LCA Data Source Class]]&amp;"[Name]"),0)),0)</f>
        <v>1.4095072E-2</v>
      </c>
      <c r="BO91" s="23">
        <f ca="1">IFERROR(INDEX(INDIRECT(Table_Process_Details[[#This Row],[LCA Data Source Class]]&amp;"[Eutrophication (kg posphate equiv.)]"),MATCH(Table_Process_Details[[#This Row],[LCA Data Source Subclass]],INDIRECT(Table_Process_Details[[#This Row],[LCA Data Source Class]]&amp;"[Name]"),0)),0)</f>
        <v>8.3054054000000002E-3</v>
      </c>
      <c r="BP91" s="23">
        <f ca="1">IFERROR(INDEX(INDIRECT(Table_Process_Details[[#This Row],[LCA Data Source Class]]&amp;"[Water (kg)]"),MATCH(Table_Process_Details[[#This Row],[LCA Data Source Subclass]],INDIRECT(Table_Process_Details[[#This Row],[LCA Data Source Class]]&amp;"[Name]"),0)),0)</f>
        <v>11.94215</v>
      </c>
      <c r="BQ91" s="27">
        <f ca="1">(Table_Process_Details[[#This Row],[Input or Output]]="Input")*(Table_Process_Details[[#This Row],[LCA Data Source Class]]&lt;&gt;"Process_Steps")*Table_Process_Details[[#This Row],[Scaled Physical Mass per kg API for All Inputs &amp; Outputs]]</f>
        <v>5.7258212516058036</v>
      </c>
      <c r="BR91" s="27">
        <f ca="1">(Table_Process_Details[[#This Row],[Material Class]]="REAGENT")*Table_Process_Details[[#This Row],[Physical Mass per kg API]]</f>
        <v>0</v>
      </c>
      <c r="BS91" s="27">
        <f ca="1">(Table_Process_Details[[#This Row],[Material Class]]="METAL")*Table_Process_Details[[#This Row],[Physical Mass per kg API]]</f>
        <v>0</v>
      </c>
      <c r="BT91" s="27">
        <f ca="1">(Table_Process_Details[[#This Row],[Material Class]]="SOLVENT")*Table_Process_Details[[#This Row],[Physical Mass per kg API]]</f>
        <v>5.7258212516058036</v>
      </c>
      <c r="BU91" s="27">
        <f ca="1">(Table_Process_Details[[#This Row],[Material Class]]="WATER")*Table_Process_Details[[#This Row],[Physical Mass per kg API]]</f>
        <v>0</v>
      </c>
      <c r="BV91" s="27">
        <f ca="1">(Table_Process_Details[[#This Row],[Material Class]]="ENZ&amp;PLNT")*Table_Process_Details[[#This Row],[Physical Mass per kg API]]</f>
        <v>0</v>
      </c>
      <c r="BW91" s="27">
        <f ca="1">(Table_Process_Details[[#This Row],[Material Class]]="OTHER")*Table_Process_Details[[#This Row],[Physical Mass per kg API]]</f>
        <v>0</v>
      </c>
      <c r="BX91"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5.7258212516058036</v>
      </c>
      <c r="BY91"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1"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1"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5.7258212516058036</v>
      </c>
      <c r="CB91"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1"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1"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1" s="1">
        <f ca="1">SUMIFS(Table_Process_Details[RV Physical Mass per kg API],Table_Process_Details[Display Name],Table_Process_Details[[#This Row],[Unique Process Inputs]],Table_Process_Details[Input or Output],"Input")</f>
        <v>0</v>
      </c>
      <c r="CF91" s="1">
        <f ca="1">SUMIFS(Table_Process_Details[RV Physical Mass per kg API (REAGENT)],Table_Process_Details[Display Name],Table_Process_Details[[#This Row],[Unique Process Inputs]],Table_Process_Details[Input or Output],"Input")</f>
        <v>0</v>
      </c>
      <c r="CG91" s="1">
        <f ca="1">SUMIFS(Table_Process_Details[RV Physical Mass per kg API (METAL)],Table_Process_Details[Display Name],Table_Process_Details[[#This Row],[Unique Process Inputs]],Table_Process_Details[Input or Output],"Input")</f>
        <v>0</v>
      </c>
      <c r="CH91" s="1">
        <f ca="1">SUMIFS(Table_Process_Details[RV Physical Mass per kg API (SOLVENT)],Table_Process_Details[Display Name],Table_Process_Details[[#This Row],[Unique Process Inputs]],Table_Process_Details[Input or Output],"Input")</f>
        <v>0</v>
      </c>
      <c r="CI91" s="1">
        <f ca="1">SUMIFS(Table_Process_Details[RV Physical Mass per kg API (WATER)],Table_Process_Details[Display Name],Table_Process_Details[[#This Row],[Unique Process Inputs]],Table_Process_Details[Input or Output],"Input")</f>
        <v>0</v>
      </c>
      <c r="CJ91" s="1">
        <f ca="1">SUMIFS(Table_Process_Details[RV Physical Mass per kg API (ENZ&amp;PLNT)],Table_Process_Details[Display Name],Table_Process_Details[[#This Row],[Unique Process Inputs]],Table_Process_Details[Input or Output],"Input")</f>
        <v>0</v>
      </c>
      <c r="CK91" s="1">
        <f ca="1">SUMIFS(Table_Process_Details[RV Physical Mass per kg API (OTHER)],Table_Process_Details[Display Name],Table_Process_Details[[#This Row],[Unique Process Inputs]],Table_Process_Details[Input or Output],"Input")</f>
        <v>0</v>
      </c>
      <c r="CL91" s="22" t="e">
        <f ca="1">INDEX(Table_Process_Details[Unique Process Inputs],MATCH(Table_Process_Details[[#This Row],['[Physical Mass per kg API'] of Unique Inputs Sorted by '[Physical Mass per kg API']]],Table_Process_Details[Total '[Physical Mass per kg API'] of Unique Inputs],0))</f>
        <v>#N/A</v>
      </c>
      <c r="CM91" s="22" t="e">
        <f ca="1">IF(LARGE(Table_Process_Details[Total '[Physical Mass per kg API'] of Unique Inputs],Table_Process_Details[[#This Row],[Table Row]])=0,NA(),LARGE(Table_Process_Details[Total '[Physical Mass per kg API'] of Unique Inputs],Table_Process_Details[[#This Row],[Table Row]]))</f>
        <v>#N/A</v>
      </c>
      <c r="CN91" s="22" t="e">
        <f ca="1">SUM(OFFSET(Table_Process_Details['[Physical Mass per kg API'] of Unique Inputs Sorted by '[Physical Mass per kg API']],0,0,Table_Process_Details[[#This Row],[Table Row]]))</f>
        <v>#N/A</v>
      </c>
      <c r="CO91" s="22" t="e">
        <f ca="1">"("&amp;TEXT(Table_Process_Details[[#This Row],['[Physical Mass per kg API'] of Unique Inputs Sorted by '[Physical Mass per kg API']]]/SUMIF(Table_Process_Details['[Physical Mass per kg API'] of Unique Inputs Sorted by '[Physical Mass per kg API']],"&lt;&gt;#N/A"),"0%")&amp;")"</f>
        <v>#N/A</v>
      </c>
      <c r="CP91" s="22" t="e">
        <f ca="1">INDEX(Table_Process_Details[Total '[Physical Mass per kg API'] of Unique Inputs (REAGENT)],MATCH(Table_Process_Details[[#This Row],[Unique Inputs Sorted by '[Physical Mass per kg API']]],Table_Process_Details[Unique Process Inputs],0))</f>
        <v>#N/A</v>
      </c>
      <c r="CQ91" s="22" t="e">
        <f ca="1">INDEX(Table_Process_Details[Total '[Physical Mass per kg API'] of Unique Inputs (METAL)],MATCH(Table_Process_Details[[#This Row],[Unique Inputs Sorted by '[Physical Mass per kg API']]],Table_Process_Details[Unique Process Inputs],0))</f>
        <v>#N/A</v>
      </c>
      <c r="CR91" s="22" t="e">
        <f ca="1">INDEX(Table_Process_Details[Total '[Physical Mass per kg API'] of Unique Inputs (SOLVENT)],MATCH(Table_Process_Details[[#This Row],[Unique Inputs Sorted by '[Physical Mass per kg API']]],Table_Process_Details[Unique Process Inputs],0))</f>
        <v>#N/A</v>
      </c>
      <c r="CS91" s="22" t="e">
        <f ca="1">INDEX(Table_Process_Details[Total '[Physical Mass per kg API'] of Unique Inputs (WATER)],MATCH(Table_Process_Details[[#This Row],[Unique Inputs Sorted by '[Physical Mass per kg API']]],Table_Process_Details[Unique Process Inputs],0))</f>
        <v>#N/A</v>
      </c>
      <c r="CT91" s="22" t="e">
        <f ca="1">INDEX(Table_Process_Details[Total '[Physical Mass per kg API'] of Unique Inputs (ENZ&amp;PLNT)],MATCH(Table_Process_Details[[#This Row],[Unique Inputs Sorted by '[Physical Mass per kg API']]],Table_Process_Details[Unique Process Inputs],0))</f>
        <v>#N/A</v>
      </c>
      <c r="CU91" s="22" t="e">
        <f ca="1">INDEX(Table_Process_Details[Total '[Physical Mass per kg API'] of Unique Inputs (OTHER)],MATCH(Table_Process_Details[[#This Row],[Unique Inputs Sorted by '[Physical Mass per kg API']]],Table_Process_Details[Unique Process Inputs],0))</f>
        <v>#N/A</v>
      </c>
      <c r="CV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11.6515635602863</v>
      </c>
      <c r="CW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11.6515635602863</v>
      </c>
      <c r="CZ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1"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1" s="22">
        <f ca="1">SUMIFS(Table_Process_Details[RV Mass Net (kg) per kg API],Table_Process_Details[Display Name],Table_Process_Details[[#This Row],[Unique Process Inputs]],Table_Process_Details[Input or Output],"Input")</f>
        <v>0</v>
      </c>
      <c r="DD91" s="22">
        <f ca="1">SUMIFS(Table_Process_Details[RV Mass Net (kg) per kg API (REAGENT)],Table_Process_Details[Display Name],Table_Process_Details[[#This Row],[Unique Process Inputs]],Table_Process_Details[Input or Output],"Input")</f>
        <v>0</v>
      </c>
      <c r="DE91" s="22">
        <f ca="1">SUMIFS(Table_Process_Details[RV Mass Net (kg) per kg API (METAL)],Table_Process_Details[Display Name],Table_Process_Details[[#This Row],[Unique Process Inputs]],Table_Process_Details[Input or Output],"Input")</f>
        <v>0</v>
      </c>
      <c r="DF91" s="22">
        <f ca="1">SUMIFS(Table_Process_Details[RV Mass Net (kg) per kg API (SOLVENT)],Table_Process_Details[Display Name],Table_Process_Details[[#This Row],[Unique Process Inputs]],Table_Process_Details[Input or Output],"Input")</f>
        <v>0</v>
      </c>
      <c r="DG91" s="22">
        <f ca="1">SUMIFS(Table_Process_Details[RV Mass Net (kg) per kg API (WATER)],Table_Process_Details[Display Name],Table_Process_Details[[#This Row],[Unique Process Inputs]],Table_Process_Details[Input or Output],"Input")</f>
        <v>0</v>
      </c>
      <c r="DH91" s="22">
        <f ca="1">SUMIFS(Table_Process_Details[RV Mass Net (kg) per kg API (ENZ&amp;PLNT)],Table_Process_Details[Display Name],Table_Process_Details[[#This Row],[Unique Process Inputs]],Table_Process_Details[Input or Output],"Input")</f>
        <v>0</v>
      </c>
      <c r="DI91" s="22">
        <f ca="1">SUMIFS(Table_Process_Details[RV Mass Net (kg) per kg API (OTHER)],Table_Process_Details[Display Name],Table_Process_Details[[#This Row],[Unique Process Inputs]],Table_Process_Details[Input or Output],"Input")</f>
        <v>0</v>
      </c>
      <c r="DJ91" s="22" t="e">
        <f ca="1">INDEX(Table_Process_Details[Unique Process Inputs],MATCH(Table_Process_Details[[#This Row],['[Mass Net (kg) per kg API'] of Unique Inputs Sorted by '[Mass Net (kg) per kg API']]],Table_Process_Details[Total '[Mass Net (kg) per kg API'] of Unique Inputs],0))</f>
        <v>#N/A</v>
      </c>
      <c r="DK91" s="22" t="e">
        <f ca="1">IF(LARGE(Table_Process_Details[Total '[Mass Net (kg) per kg API'] of Unique Inputs],Table_Process_Details[[#This Row],[Table Row]])=0,NA(),LARGE(Table_Process_Details[Total '[Mass Net (kg) per kg API'] of Unique Inputs],Table_Process_Details[[#This Row],[Table Row]]))</f>
        <v>#N/A</v>
      </c>
      <c r="DL91" s="22" t="e">
        <f ca="1">SUM(OFFSET(Table_Process_Details['[Mass Net (kg) per kg API'] of Unique Inputs Sorted by '[Mass Net (kg) per kg API']],0,0,Table_Process_Details[[#This Row],[Table Row]]))</f>
        <v>#N/A</v>
      </c>
      <c r="DM91" s="22" t="e">
        <f ca="1">"("&amp;TEXT(Table_Process_Details[[#This Row],['[Mass Net (kg) per kg API'] of Unique Inputs Sorted by '[Mass Net (kg) per kg API']]]/SUMIF(Table_Process_Details['[Mass Net (kg) per kg API'] of Unique Inputs Sorted by '[Mass Net (kg) per kg API']],"&lt;&gt;#N/A"),"0%")&amp;")"</f>
        <v>#N/A</v>
      </c>
      <c r="DN91" s="22" t="e">
        <f ca="1">INDEX(Table_Process_Details[Total '[Mass Net (kg) per kg API'] of Unique Inputs (REAGENT)], MATCH(Table_Process_Details[[#This Row],[Unique Inputs Sorted by '[Mass Net (kg) per kg API']]],Table_Process_Details[Unique Process Inputs],0))</f>
        <v>#N/A</v>
      </c>
      <c r="DO91" s="22" t="e">
        <f ca="1">INDEX(Table_Process_Details[Total '[Mass Net (kg) per kg API'] of Unique Inputs (METAL)], MATCH(Table_Process_Details[[#This Row],[Unique Inputs Sorted by '[Mass Net (kg) per kg API']]],Table_Process_Details[Unique Process Inputs],0))</f>
        <v>#N/A</v>
      </c>
      <c r="DP91" s="22" t="e">
        <f ca="1">INDEX(Table_Process_Details[Total '[Mass Net (kg) per kg API'] of Unique Inputs (SOLVENT)], MATCH(Table_Process_Details[[#This Row],[Unique Inputs Sorted by '[Mass Net (kg) per kg API']]],Table_Process_Details[Unique Process Inputs],0))</f>
        <v>#N/A</v>
      </c>
      <c r="DQ91" s="22" t="e">
        <f ca="1">INDEX(Table_Process_Details[Total '[Mass Net (kg) per kg API'] of Unique Inputs (WATER)], MATCH(Table_Process_Details[[#This Row],[Unique Inputs Sorted by '[Mass Net (kg) per kg API']]],Table_Process_Details[Unique Process Inputs],0))</f>
        <v>#N/A</v>
      </c>
      <c r="DR91" s="22" t="e">
        <f ca="1">INDEX(Table_Process_Details[Total '[Mass Net (kg) per kg API'] of Unique Inputs (ENZ&amp;PLNT)], MATCH(Table_Process_Details[[#This Row],[Unique Inputs Sorted by '[Mass Net (kg) per kg API']]],Table_Process_Details[Unique Process Inputs],0))</f>
        <v>#N/A</v>
      </c>
      <c r="DS91" s="22" t="e">
        <f ca="1">INDEX(Table_Process_Details[Total '[Mass Net (kg) per kg API'] of Unique Inputs (OTHER)], MATCH(Table_Process_Details[[#This Row],[Unique Inputs Sorted by '[Mass Net (kg) per kg API']]],Table_Process_Details[Unique Process Inputs],0))</f>
        <v>#N/A</v>
      </c>
      <c r="DT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496.26375878142818</v>
      </c>
      <c r="DU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496.26375878142818</v>
      </c>
      <c r="DX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1"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1" s="1">
        <f ca="1">SUMIFS(Table_Process_Details[RV Energy (MJ) per kg API],Table_Process_Details[Display Name],Table_Process_Details[[#This Row],[Unique Process Inputs]],Table_Process_Details[Input or Output],"Input")</f>
        <v>0</v>
      </c>
      <c r="EB91" s="1">
        <f ca="1">SUMIFS(Table_Process_Details[RV Energy (MJ) per kg API (REAGENT)],Table_Process_Details[Display Name],Table_Process_Details[[#This Row],[Unique Process Inputs]],Table_Process_Details[Input or Output],"Input")</f>
        <v>0</v>
      </c>
      <c r="EC91" s="1">
        <f ca="1">SUMIFS(Table_Process_Details[RV Energy (MJ) per kg API (METAL)],Table_Process_Details[Display Name],Table_Process_Details[[#This Row],[Unique Process Inputs]],Table_Process_Details[Input or Output],"Input")</f>
        <v>0</v>
      </c>
      <c r="ED91" s="1">
        <f ca="1">SUMIFS(Table_Process_Details[RV Energy (MJ) per kg API (SOLVENT)],Table_Process_Details[Display Name],Table_Process_Details[[#This Row],[Unique Process Inputs]],Table_Process_Details[Input or Output],"Input")</f>
        <v>0</v>
      </c>
      <c r="EE91" s="1">
        <f ca="1">SUMIFS(Table_Process_Details[RV Energy (MJ) per kg API (WATER)],Table_Process_Details[Display Name],Table_Process_Details[[#This Row],[Unique Process Inputs]],Table_Process_Details[Input or Output],"Input")</f>
        <v>0</v>
      </c>
      <c r="EF91" s="1">
        <f ca="1">SUMIFS(Table_Process_Details[RV Energy (MJ) per kg API (ENZ&amp;PLNT)],Table_Process_Details[Display Name],Table_Process_Details[[#This Row],[Unique Process Inputs]],Table_Process_Details[Input or Output],"Input")</f>
        <v>0</v>
      </c>
      <c r="EG91" s="1">
        <f ca="1">SUMIFS(Table_Process_Details[RV Energy (MJ) per kg API (OTHER)],Table_Process_Details[Display Name],Table_Process_Details[[#This Row],[Unique Process Inputs]],Table_Process_Details[Input or Output],"Input")</f>
        <v>0</v>
      </c>
      <c r="EH91" s="1" t="e">
        <f ca="1">INDEX(Table_Process_Details[Unique Process Inputs],MATCH(Table_Process_Details[[#This Row],['[Energy (MJ) per kg API'] of Unique Inputs Sorted by '[Energy (MJ) per kg API']]],Table_Process_Details[Total '[Energy (MJ) per kg API'] of Unique Inputs],0))</f>
        <v>#N/A</v>
      </c>
      <c r="EI91" s="22" t="e">
        <f ca="1">IF(LARGE(Table_Process_Details[Total '[Energy (MJ) per kg API'] of Unique Inputs],Table_Process_Details[[#This Row],[Table Row]])=0,NA(),LARGE(Table_Process_Details[Total '[Energy (MJ) per kg API'] of Unique Inputs],Table_Process_Details[[#This Row],[Table Row]]))</f>
        <v>#N/A</v>
      </c>
      <c r="EJ91" s="22" t="e">
        <f ca="1">SUM(OFFSET(Table_Process_Details['[Energy (MJ) per kg API'] of Unique Inputs Sorted by '[Energy (MJ) per kg API']],0,0,Table_Process_Details[[#This Row],[Table Row]]))</f>
        <v>#N/A</v>
      </c>
      <c r="EK91" s="22" t="e">
        <f ca="1">"("&amp;TEXT(Table_Process_Details[[#This Row],['[Energy (MJ) per kg API'] of Unique Inputs Sorted by '[Energy (MJ) per kg API']]]/SUMIF(Table_Process_Details['[Energy (MJ) per kg API'] of Unique Inputs Sorted by '[Energy (MJ) per kg API']],"&lt;&gt;#N/A"),"0%")&amp;")"</f>
        <v>#N/A</v>
      </c>
      <c r="EL91" s="22" t="e">
        <f ca="1">INDEX(Table_Process_Details[Total '[Energy (MJ) per kg API'] of Unique Inputs (REAGENT)], MATCH(Table_Process_Details[[#This Row],[Unique Inputs Sorted by '[Energy (MJ) per kg API']]],Table_Process_Details[Unique Process Inputs],0))</f>
        <v>#N/A</v>
      </c>
      <c r="EM91" s="22" t="e">
        <f ca="1">INDEX(Table_Process_Details[Total '[Energy (MJ) per kg API'] of Unique Inputs (METAL)], MATCH(Table_Process_Details[[#This Row],[Unique Inputs Sorted by '[Energy (MJ) per kg API']]],Table_Process_Details[Unique Process Inputs],0))</f>
        <v>#N/A</v>
      </c>
      <c r="EN91" s="22" t="e">
        <f ca="1">INDEX(Table_Process_Details[Total '[Energy (MJ) per kg API'] of Unique Inputs (SOLVENT)], MATCH(Table_Process_Details[[#This Row],[Unique Inputs Sorted by '[Energy (MJ) per kg API']]],Table_Process_Details[Unique Process Inputs],0))</f>
        <v>#N/A</v>
      </c>
      <c r="EO91" s="22" t="e">
        <f ca="1">INDEX(Table_Process_Details[Total '[Energy (MJ) per kg API'] of Unique Inputs (WATER)], MATCH(Table_Process_Details[[#This Row],[Unique Inputs Sorted by '[Energy (MJ) per kg API']]],Table_Process_Details[Unique Process Inputs],0))</f>
        <v>#N/A</v>
      </c>
      <c r="EP91" s="22" t="e">
        <f ca="1">INDEX(Table_Process_Details[Total '[Energy (MJ) per kg API'] of Unique Inputs (ENZ&amp;PLNT)], MATCH(Table_Process_Details[[#This Row],[Unique Inputs Sorted by '[Energy (MJ) per kg API']]],Table_Process_Details[Unique Process Inputs],0))</f>
        <v>#N/A</v>
      </c>
      <c r="EQ91" s="22" t="e">
        <f ca="1">INDEX(Table_Process_Details[Total '[Energy (MJ) per kg API'] of Unique Inputs (OTHER)], MATCH(Table_Process_Details[[#This Row],[Unique Inputs Sorted by '[Energy (MJ) per kg API']]],Table_Process_Details[Unique Process Inputs],0))</f>
        <v>#N/A</v>
      </c>
      <c r="ER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17.448926085520291</v>
      </c>
      <c r="ES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17.448926085520291</v>
      </c>
      <c r="EV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1"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1" s="22">
        <f ca="1">SUMIFS(Table_Process_Details[RV GWP (kg CO2 equiv.) per kg API],Table_Process_Details[Display Name],Table_Process_Details[[#This Row],[Unique Process Inputs]],Table_Process_Details[Input or Output],"Input")</f>
        <v>0</v>
      </c>
      <c r="EZ91" s="1">
        <f ca="1">SUMIFS(Table_Process_Details[RV GWP (kg CO2 equiv.) per kg API (REAGENT)],Table_Process_Details[Display Name],Table_Process_Details[[#This Row],[Unique Process Inputs]],Table_Process_Details[Input or Output],"Input")</f>
        <v>0</v>
      </c>
      <c r="FA91" s="1">
        <f ca="1">SUMIFS(Table_Process_Details[RV GWP (kg CO2 equiv.) per kg API (METAL)],Table_Process_Details[Display Name],Table_Process_Details[[#This Row],[Unique Process Inputs]],Table_Process_Details[Input or Output],"Input")</f>
        <v>0</v>
      </c>
      <c r="FB91" s="1">
        <f ca="1">SUMIFS(Table_Process_Details[RV GWP (kg CO2 equiv.) per kg API (SOLVENT)],Table_Process_Details[Display Name],Table_Process_Details[[#This Row],[Unique Process Inputs]],Table_Process_Details[Input or Output],"Input")</f>
        <v>0</v>
      </c>
      <c r="FC91" s="1">
        <f ca="1">SUMIFS(Table_Process_Details[RV GWP (kg CO2 equiv.) per kg API (WATER)],Table_Process_Details[Display Name],Table_Process_Details[[#This Row],[Unique Process Inputs]],Table_Process_Details[Input or Output],"Input")</f>
        <v>0</v>
      </c>
      <c r="FD91" s="1">
        <f ca="1">SUMIFS(Table_Process_Details[RV GWP (kg CO2 equiv.) per kg API (ENZ&amp;PLNT)],Table_Process_Details[Display Name],Table_Process_Details[[#This Row],[Unique Process Inputs]],Table_Process_Details[Input or Output],"Input")</f>
        <v>0</v>
      </c>
      <c r="FE91" s="1">
        <f ca="1">SUMIFS(Table_Process_Details[RV GWP (kg CO2 equiv.) per kg API (OTHER)],Table_Process_Details[Display Name],Table_Process_Details[[#This Row],[Unique Process Inputs]],Table_Process_Details[Input or Output],"Input")</f>
        <v>0</v>
      </c>
      <c r="FF91" s="22" t="e">
        <f ca="1">INDEX(Table_Process_Details[Unique Process Inputs],MATCH(Table_Process_Details[[#This Row],['[GWP (kg CO2 equiv.) per kg API'] of Unique Inputs Sorted by '[GWP (kg CO2 equiv.) per kg API']]],Table_Process_Details[Total '[GWP (kg CO2 equiv.) per kg API'] of Unique Inputs],0))</f>
        <v>#N/A</v>
      </c>
      <c r="FG91" s="22" t="e">
        <f ca="1">IF(LARGE(Table_Process_Details[Total '[GWP (kg CO2 equiv.) per kg API'] of Unique Inputs],Table_Process_Details[[#This Row],[Table Row]])=0,NA(),LARGE(Table_Process_Details[Total '[GWP (kg CO2 equiv.) per kg API'] of Unique Inputs],Table_Process_Details[[#This Row],[Table Row]]))</f>
        <v>#N/A</v>
      </c>
      <c r="FH91" s="22" t="e">
        <f ca="1">SUM(OFFSET(Table_Process_Details['[GWP (kg CO2 equiv.) per kg API'] of Unique Inputs Sorted by '[GWP (kg CO2 equiv.) per kg API']],0,0,Table_Process_Details[[#This Row],[Table Row]]))</f>
        <v>#N/A</v>
      </c>
      <c r="FI91" s="22" t="e">
        <f ca="1">"("&amp;TEXT(Table_Process_Details[[#This Row],['[GWP (kg CO2 equiv.) per kg API'] of Unique Inputs Sorted by '[GWP (kg CO2 equiv.) per kg API']]]/SUMIF(Table_Process_Details['[GWP (kg CO2 equiv.) per kg API'] of Unique Inputs Sorted by '[GWP (kg CO2 equiv.) per kg API']],"&lt;&gt;#N/A"),"0%")&amp;")"</f>
        <v>#N/A</v>
      </c>
      <c r="FJ91" s="22" t="e">
        <f ca="1">INDEX(Table_Process_Details[Total '[GWP (kg CO2 equiv.) per kg API'] of Unique Inputs (REAGENT)], MATCH(Table_Process_Details[[#This Row],[Unique Inputs Sorted by '[GWP (kg CO2 equiv.) per kg API']]],Table_Process_Details[Unique Process Inputs],0))</f>
        <v>#N/A</v>
      </c>
      <c r="FK91" s="22" t="e">
        <f ca="1">INDEX(Table_Process_Details[Total '[GWP (kg CO2 equiv.) per kg API'] of Unique Inputs (METAL)], MATCH(Table_Process_Details[[#This Row],[Unique Inputs Sorted by '[GWP (kg CO2 equiv.) per kg API']]],Table_Process_Details[Unique Process Inputs],0))</f>
        <v>#N/A</v>
      </c>
      <c r="FL91" s="22" t="e">
        <f ca="1">INDEX(Table_Process_Details[Total '[GWP (kg CO2 equiv.) per kg API'] of Unique Inputs (SOLVENT)], MATCH(Table_Process_Details[[#This Row],[Unique Inputs Sorted by '[GWP (kg CO2 equiv.) per kg API']]],Table_Process_Details[Unique Process Inputs],0))</f>
        <v>#N/A</v>
      </c>
      <c r="FM91" s="22" t="e">
        <f ca="1">INDEX(Table_Process_Details[Total '[GWP (kg CO2 equiv.) per kg API'] of Unique Inputs (WATER)], MATCH(Table_Process_Details[[#This Row],[Unique Inputs Sorted by '[GWP (kg CO2 equiv.) per kg API']]],Table_Process_Details[Unique Process Inputs],0))</f>
        <v>#N/A</v>
      </c>
      <c r="FN91" s="22" t="e">
        <f ca="1">INDEX(Table_Process_Details[Total '[GWP (kg CO2 equiv.) per kg API'] of Unique Inputs (ENZ&amp;PLNT)], MATCH(Table_Process_Details[[#This Row],[Unique Inputs Sorted by '[GWP (kg CO2 equiv.) per kg API']]],Table_Process_Details[Unique Process Inputs],0))</f>
        <v>#N/A</v>
      </c>
      <c r="FO91" s="22" t="e">
        <f ca="1">INDEX(Table_Process_Details[Total '[GWP (kg CO2 equiv.) per kg API'] of Unique Inputs (OTHER)], MATCH(Table_Process_Details[[#This Row],[Unique Inputs Sorted by '[GWP (kg CO2 equiv.) per kg API']]],Table_Process_Details[Unique Process Inputs],0))</f>
        <v>#N/A</v>
      </c>
      <c r="FP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8.0705862800513922E-2</v>
      </c>
      <c r="FQ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8.0705862800513922E-2</v>
      </c>
      <c r="FT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1"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1" s="22">
        <f ca="1">SUMIFS(Table_Process_Details[RV Acidification (kg SO2 equiv.) per kg API],Table_Process_Details[Display Name],Table_Process_Details[[#This Row],[Unique Process Inputs]],Table_Process_Details[Input or Output],"Input")</f>
        <v>0</v>
      </c>
      <c r="FX91" s="1">
        <f ca="1">SUMIFS(Table_Process_Details[RV Acidification (kg SO2 equiv.) per kg API (REAGENT)],Table_Process_Details[Display Name],Table_Process_Details[[#This Row],[Unique Process Inputs]],Table_Process_Details[Input or Output],"Input")</f>
        <v>0</v>
      </c>
      <c r="FY91" s="1">
        <f ca="1">SUMIFS(Table_Process_Details[RV Acidification (kg SO2 equiv.) per kg API (METAL)],Table_Process_Details[Display Name],Table_Process_Details[[#This Row],[Unique Process Inputs]],Table_Process_Details[Input or Output],"Input")</f>
        <v>0</v>
      </c>
      <c r="FZ91" s="1">
        <f ca="1">SUMIFS(Table_Process_Details[RV Acidification (kg SO2 equiv.) per kg API (SOLVENT)],Table_Process_Details[Display Name],Table_Process_Details[[#This Row],[Unique Process Inputs]],Table_Process_Details[Input or Output],"Input")</f>
        <v>0</v>
      </c>
      <c r="GA91" s="1">
        <f ca="1">SUMIFS(Table_Process_Details[RV Acidification (kg SO2 equiv.) per kg API (WATER)],Table_Process_Details[Display Name],Table_Process_Details[[#This Row],[Unique Process Inputs]],Table_Process_Details[Input or Output],"Input")</f>
        <v>0</v>
      </c>
      <c r="GB91" s="1">
        <f ca="1">SUMIFS(Table_Process_Details[RV Acidification (kg SO2 equiv.) per kg API (ENZ&amp;PLNT)],Table_Process_Details[Display Name],Table_Process_Details[[#This Row],[Unique Process Inputs]],Table_Process_Details[Input or Output],"Input")</f>
        <v>0</v>
      </c>
      <c r="GC91" s="1">
        <f ca="1">SUMIFS(Table_Process_Details[RV Acidification (kg SO2 equiv.) per kg API (OTHER)],Table_Process_Details[Display Name],Table_Process_Details[[#This Row],[Unique Process Inputs]],Table_Process_Details[Input or Output],"Input")</f>
        <v>0</v>
      </c>
      <c r="GD91"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1"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1" s="22" t="e">
        <f ca="1">SUM(OFFSET(Table_Process_Details['[Acidification (kg SO2 equiv.) per kg API'] of Unique Inputs Sorted by '[Acidification (kg SO2 equiv.) per kg API']],0,0,Table_Process_Details[[#This Row],[Table Row]]))</f>
        <v>#N/A</v>
      </c>
      <c r="GG91"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1" s="22" t="e">
        <f ca="1">INDEX(Table_Process_Details[Total '[Acidification (kg SO2 equiv.) per kg API'] of Unique Inputs (REAGENT)], MATCH(Table_Process_Details[[#This Row],[Unique Inputs Sorted by '[Acidification (kg SO2 equiv.) per kg API']]],Table_Process_Details[Unique Process Inputs],0))</f>
        <v>#N/A</v>
      </c>
      <c r="GI91" s="22" t="e">
        <f ca="1">INDEX(Table_Process_Details[Total '[Acidification (kg SO2 equiv.) per kg API'] of Unique Inputs (METAL)], MATCH(Table_Process_Details[[#This Row],[Unique Inputs Sorted by '[Acidification (kg SO2 equiv.) per kg API']]],Table_Process_Details[Unique Process Inputs],0))</f>
        <v>#N/A</v>
      </c>
      <c r="GJ91" s="22" t="e">
        <f ca="1">INDEX(Table_Process_Details[Total '[Acidification (kg SO2 equiv.) per kg API'] of Unique Inputs (SOLVENT)], MATCH(Table_Process_Details[[#This Row],[Unique Inputs Sorted by '[Acidification (kg SO2 equiv.) per kg API']]],Table_Process_Details[Unique Process Inputs],0))</f>
        <v>#N/A</v>
      </c>
      <c r="GK91" s="22" t="e">
        <f ca="1">INDEX(Table_Process_Details[Total '[Acidification (kg SO2 equiv.) per kg API'] of Unique Inputs (WATER)], MATCH(Table_Process_Details[[#This Row],[Unique Inputs Sorted by '[Acidification (kg SO2 equiv.) per kg API']]],Table_Process_Details[Unique Process Inputs],0))</f>
        <v>#N/A</v>
      </c>
      <c r="GL91" s="22" t="e">
        <f ca="1">INDEX(Table_Process_Details[Total '[Acidification (kg SO2 equiv.) per kg API'] of Unique Inputs (ENZ&amp;PLNT)], MATCH(Table_Process_Details[[#This Row],[Unique Inputs Sorted by '[Acidification (kg SO2 equiv.) per kg API']]],Table_Process_Details[Unique Process Inputs],0))</f>
        <v>#N/A</v>
      </c>
      <c r="GM91" s="22" t="e">
        <f ca="1">INDEX(Table_Process_Details[Total '[Acidification (kg SO2 equiv.) per kg API'] of Unique Inputs (OTHER)], MATCH(Table_Process_Details[[#This Row],[Unique Inputs Sorted by '[Acidification (kg SO2 equiv.) per kg API']]],Table_Process_Details[Unique Process Inputs],0))</f>
        <v>#N/A</v>
      </c>
      <c r="GN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4.7555266742521599E-2</v>
      </c>
      <c r="GO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4.7555266742521599E-2</v>
      </c>
      <c r="GR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1"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1" s="22">
        <f ca="1">SUMIFS(Table_Process_Details[RV Eutrophication (kg phosphate equiv.) per kg API],Table_Process_Details[Display Name],Table_Process_Details[[#This Row],[Unique Process Inputs]],Table_Process_Details[Input or Output],"Input")</f>
        <v>0</v>
      </c>
      <c r="GV91" s="1">
        <f ca="1">SUMIFS(Table_Process_Details[RV Eutrophication (kg phosphate equiv.) per kg API (REAGENT)],Table_Process_Details[Display Name],Table_Process_Details[[#This Row],[Unique Process Inputs]],Table_Process_Details[Input or Output],"Input")</f>
        <v>0</v>
      </c>
      <c r="GW91" s="1">
        <f ca="1">SUMIFS(Table_Process_Details[RV Eutrophication (kg phosphate equiv.) per kg API (METAL)],Table_Process_Details[Display Name],Table_Process_Details[[#This Row],[Unique Process Inputs]],Table_Process_Details[Input or Output],"Input")</f>
        <v>0</v>
      </c>
      <c r="GX91" s="1">
        <f ca="1">SUMIFS(Table_Process_Details[RV Eutrophication (kg phosphate equiv.) per kg API (SOLVENT)],Table_Process_Details[Display Name],Table_Process_Details[[#This Row],[Unique Process Inputs]],Table_Process_Details[Input or Output],"Input")</f>
        <v>0</v>
      </c>
      <c r="GY91" s="1">
        <f ca="1">SUMIFS(Table_Process_Details[RV Eutrophication (kg phosphate equiv.) per kg API (WATER)],Table_Process_Details[Display Name],Table_Process_Details[[#This Row],[Unique Process Inputs]],Table_Process_Details[Input or Output],"Input")</f>
        <v>0</v>
      </c>
      <c r="GZ91" s="1">
        <f ca="1">SUMIFS(Table_Process_Details[RV Eutrophication (kg phosphate equiv.) per kg API (ENZ&amp;PLNT)],Table_Process_Details[Display Name],Table_Process_Details[[#This Row],[Unique Process Inputs]],Table_Process_Details[Input or Output],"Input")</f>
        <v>0</v>
      </c>
      <c r="HA91" s="1">
        <f ca="1">SUMIFS(Table_Process_Details[RV Eutrophication (kg phosphate equiv.) per kg API (OTHER)],Table_Process_Details[Display Name],Table_Process_Details[[#This Row],[Unique Process Inputs]],Table_Process_Details[Input or Output],"Input")</f>
        <v>0</v>
      </c>
      <c r="HB91"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1"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1" s="22" t="e">
        <f ca="1">SUM(OFFSET(Table_Process_Details['[Eutrophication (kg posphate equiv.) per kg API'] of Unique Inputs Sorted by '[Eutrophication (kg posphate equiv.) per kg API']],0,0,Table_Process_Details[[#This Row],[Table Row]]))</f>
        <v>#N/A</v>
      </c>
      <c r="HE91"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1" s="1" t="e">
        <f ca="1">INDEX(Table_Process_Details[Total '[Eutrophication (kg posphate equiv.) per kg API'] of Unique Inputs (REAGENT)], MATCH(Table_Process_Details[[#This Row],[Unique Inputs Sorted by '[Eutrophication (kg posphate equiv.) per kg API']]],Table_Process_Details[Unique Process Inputs],0))</f>
        <v>#N/A</v>
      </c>
      <c r="HG91" s="1" t="e">
        <f ca="1">INDEX(Table_Process_Details[Total '[Eutrophication (kg posphate equiv.) per kg API'] of Unique Inputs (METAL)], MATCH(Table_Process_Details[[#This Row],[Unique Inputs Sorted by '[Eutrophication (kg posphate equiv.) per kg API']]],Table_Process_Details[Unique Process Inputs],0))</f>
        <v>#N/A</v>
      </c>
      <c r="HH91" s="1" t="e">
        <f ca="1">INDEX(Table_Process_Details[Total '[Eutrophication (kg posphate equiv.) per kg API'] of Unique Inputs (SOLVENT)], MATCH(Table_Process_Details[[#This Row],[Unique Inputs Sorted by '[Eutrophication (kg posphate equiv.) per kg API']]],Table_Process_Details[Unique Process Inputs],0))</f>
        <v>#N/A</v>
      </c>
      <c r="HI91" s="1" t="e">
        <f ca="1">INDEX(Table_Process_Details[Total '[Eutrophication (kg posphate equiv.) per kg API'] of Unique Inputs (WATER)], MATCH(Table_Process_Details[[#This Row],[Unique Inputs Sorted by '[Eutrophication (kg posphate equiv.) per kg API']]],Table_Process_Details[Unique Process Inputs],0))</f>
        <v>#N/A</v>
      </c>
      <c r="HJ91" s="1" t="e">
        <f ca="1">INDEX(Table_Process_Details[Total '[Eutrophication (kg posphate equiv.) per kg API'] of Unique Inputs (ENZ&amp;PLNT)], MATCH(Table_Process_Details[[#This Row],[Unique Inputs Sorted by '[Eutrophication (kg posphate equiv.) per kg API']]],Table_Process_Details[Unique Process Inputs],0))</f>
        <v>#N/A</v>
      </c>
      <c r="HK91" s="1" t="e">
        <f ca="1">INDEX(Table_Process_Details[Total '[Eutrophication (kg posphate equiv.) per kg API'] of Unique Inputs (OTHER)], MATCH(Table_Process_Details[[#This Row],[Unique Inputs Sorted by '[Eutrophication (kg posphate equiv.) per kg API']]],Table_Process_Details[Unique Process Inputs],0))</f>
        <v>#N/A</v>
      </c>
      <c r="HL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68.378616259864245</v>
      </c>
      <c r="HM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68.378616259864245</v>
      </c>
      <c r="HP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1"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1" s="1">
        <f ca="1">SUMIFS(Table_Process_Details[RV Water (kg) per kg API],Table_Process_Details[Display Name],Table_Process_Details[[#This Row],[Unique Process Inputs]],Table_Process_Details[Input or Output],"Input")</f>
        <v>0</v>
      </c>
      <c r="HT91" s="1">
        <f ca="1">SUMIFS(Table_Process_Details[RV Water (kg) per kg API (REAGENT)],Table_Process_Details[Display Name],Table_Process_Details[[#This Row],[Unique Process Inputs]],Table_Process_Details[Input or Output],"Input")</f>
        <v>0</v>
      </c>
      <c r="HU91" s="1">
        <f ca="1">SUMIFS(Table_Process_Details[RV Water (kg) per kg API (METAL)],Table_Process_Details[Display Name],Table_Process_Details[[#This Row],[Unique Process Inputs]],Table_Process_Details[Input or Output],"Input")</f>
        <v>0</v>
      </c>
      <c r="HV91" s="1">
        <f ca="1">SUMIFS(Table_Process_Details[RV Water (kg) per kg API (SOLVENT)],Table_Process_Details[Display Name],Table_Process_Details[[#This Row],[Unique Process Inputs]],Table_Process_Details[Input or Output],"Input")</f>
        <v>0</v>
      </c>
      <c r="HW91" s="1">
        <f ca="1">SUMIFS(Table_Process_Details[RV Water (kg) per kg API (WATER)],Table_Process_Details[Display Name],Table_Process_Details[[#This Row],[Unique Process Inputs]],Table_Process_Details[Input or Output],"Input")</f>
        <v>0</v>
      </c>
      <c r="HX91" s="1">
        <f ca="1">SUMIFS(Table_Process_Details[RV Water (kg) per kg API (ENZ&amp;PLNT)],Table_Process_Details[Display Name],Table_Process_Details[[#This Row],[Unique Process Inputs]],Table_Process_Details[Input or Output],"Input")</f>
        <v>0</v>
      </c>
      <c r="HY91" s="1">
        <f ca="1">SUMIFS(Table_Process_Details[RV Water (kg) per kg API (OTHER)],Table_Process_Details[Display Name],Table_Process_Details[[#This Row],[Unique Process Inputs]],Table_Process_Details[Input or Output],"Input")</f>
        <v>0</v>
      </c>
      <c r="HZ91" s="22" t="e">
        <f ca="1">INDEX(Table_Process_Details[Unique Process Inputs],MATCH(Table_Process_Details[[#This Row],['[Water (kg) per kg API'] of Unique Inputs Sorted by '[Water (kg) per kg API']]],Table_Process_Details[Total '[Water (kg) per kg API'] of Unique Inputs],0))</f>
        <v>#N/A</v>
      </c>
      <c r="IA91" s="22" t="e">
        <f ca="1">IF(LARGE(Table_Process_Details[Total '[Water (kg) per kg API'] of Unique Inputs],Table_Process_Details[[#This Row],[Table Row]])=0,NA(),LARGE(Table_Process_Details[Total '[Water (kg) per kg API'] of Unique Inputs],Table_Process_Details[[#This Row],[Table Row]]))</f>
        <v>#N/A</v>
      </c>
      <c r="IB91" s="1" t="e">
        <f ca="1">SUM(OFFSET(Table_Process_Details['[Water (kg) per kg API'] of Unique Inputs Sorted by '[Water (kg) per kg API']],0,0,Table_Process_Details[[#This Row],[Table Row]]))</f>
        <v>#N/A</v>
      </c>
      <c r="IC91" s="1" t="e">
        <f ca="1">"("&amp;TEXT(Table_Process_Details[[#This Row],['[Water (kg) per kg API'] of Unique Inputs Sorted by '[Water (kg) per kg API']]]/SUMIF(Table_Process_Details['[Water (kg) per kg API'] of Unique Inputs Sorted by '[Water (kg) per kg API']],"&lt;&gt;#N/A"),"0%")&amp;")"</f>
        <v>#N/A</v>
      </c>
      <c r="ID91" s="1" t="e">
        <f ca="1">INDEX(Table_Process_Details[Total '[Water (kg) per kg API'] of Unique Inputs (REAGENT)], MATCH(Table_Process_Details[[#This Row],[Unique Inputs Sorted by '[Water (kg) per kg API']]],Table_Process_Details[Unique Process Inputs],0))</f>
        <v>#N/A</v>
      </c>
      <c r="IE91" s="1" t="e">
        <f ca="1">INDEX(Table_Process_Details[Total '[Water (kg) per kg API'] of Unique Inputs (METAL)], MATCH(Table_Process_Details[[#This Row],[Unique Inputs Sorted by '[Water (kg) per kg API']]],Table_Process_Details[Unique Process Inputs],0))</f>
        <v>#N/A</v>
      </c>
      <c r="IF91" s="1" t="e">
        <f ca="1">INDEX(Table_Process_Details[Total '[Water (kg) per kg API'] of Unique Inputs (SOLVENT)], MATCH(Table_Process_Details[[#This Row],[Unique Inputs Sorted by '[Water (kg) per kg API']]],Table_Process_Details[Unique Process Inputs],0))</f>
        <v>#N/A</v>
      </c>
      <c r="IG91" s="1" t="e">
        <f ca="1">INDEX(Table_Process_Details[Total '[Water (kg) per kg API'] of Unique Inputs (WATER)], MATCH(Table_Process_Details[[#This Row],[Unique Inputs Sorted by '[Water (kg) per kg API']]],Table_Process_Details[Unique Process Inputs],0))</f>
        <v>#N/A</v>
      </c>
      <c r="IH91" s="1" t="e">
        <f ca="1">INDEX(Table_Process_Details[Total '[Water (kg) per kg API'] of Unique Inputs (ENZ&amp;PLNT)], MATCH(Table_Process_Details[[#This Row],[Unique Inputs Sorted by '[Water (kg) per kg API']]],Table_Process_Details[Unique Process Inputs],0))</f>
        <v>#N/A</v>
      </c>
      <c r="II91" s="1" t="e">
        <f ca="1">INDEX(Table_Process_Details[Total '[Water (kg) per kg API'] of Unique Inputs (OTHER)], MATCH(Table_Process_Details[[#This Row],[Unique Inputs Sorted by '[Water (kg) per kg API']]],Table_Process_Details[Unique Process Inputs],0))</f>
        <v>#N/A</v>
      </c>
    </row>
    <row r="92" spans="1:243" customFormat="1" x14ac:dyDescent="0.25">
      <c r="A92" s="22" t="str">
        <f t="shared" si="3"/>
        <v>4) Synthesis of Intermediate (4)</v>
      </c>
      <c r="B92" s="21" t="s">
        <v>4</v>
      </c>
      <c r="C92" s="21" t="s">
        <v>6</v>
      </c>
      <c r="D92" s="22" t="s">
        <v>146</v>
      </c>
      <c r="E92" s="22" t="s">
        <v>814</v>
      </c>
      <c r="F92" s="26">
        <v>914</v>
      </c>
      <c r="G92" s="26"/>
      <c r="H92" s="26"/>
      <c r="I92" s="26"/>
      <c r="J92" s="26" t="str">
        <f>INDEX(Process_Steps[Reference],MATCH(Table_Process_Details[[#This Row],[Step Name]],Process_Steps[Name],0))</f>
        <v>Penultimate Reference Document</v>
      </c>
      <c r="K92" s="27" t="str">
        <f>INDEX(Process_Steps[Real or Virtual?],MATCH(Table_Process_Details[[#This Row],[Step Name]],Process_Steps[Name],0))</f>
        <v>Real</v>
      </c>
      <c r="L92"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7732-18-5</v>
      </c>
      <c r="M92"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WATER</v>
      </c>
      <c r="N92" s="26">
        <f>INDEX(Table_Process_Details[Physical Mass (kg)],MATCH(1,INDEX(((Table_Process_Details[Step Name]=Table_Process_Details[[#This Row],[Step Name]])*(Table_Process_Details[Input or Output]="Output")),0),0))</f>
        <v>54.49</v>
      </c>
      <c r="O92" s="29">
        <f ca="1">INDEX(Process_Steps[Step Scale Factor for 1kg Packaged API],MATCH(Table_Process_Details[[#This Row],[Step Name]],Process_Steps[Name],0))</f>
        <v>2.2022389429253091E-2</v>
      </c>
      <c r="P92"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18.666666666666668</v>
      </c>
      <c r="Q92"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1.6666666666666679</v>
      </c>
      <c r="R92" s="26">
        <f ca="1">_xlfn.SWITCH(Run_Reset_PNG,"Reset",Table_Process_Details[[#This Row],[X Init]],"Run",Table_Process_Details[[#This Row],[X Moved]],"Freeze",Table_Process_Details[[#This Row],[X Mover]])</f>
        <v>23.062925324887381</v>
      </c>
      <c r="S92" s="26">
        <f ca="1">_xlfn.SWITCH(Run_Reset_PNG,"Reset",Table_Process_Details[[#This Row],[Y Init]],"Run",Table_Process_Details[[#This Row],[Y Moved]],"Freeze",Table_Process_Details[[#This Row],[Y Mover]])</f>
        <v>-1.4984424713521245</v>
      </c>
      <c r="T92" s="26" cm="1">
        <f t="array" aca="1" ref="T9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4.5844996000298597</v>
      </c>
      <c r="U92" s="26" cm="1">
        <f t="array" aca="1" ref="U9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-0.47566499072493551</v>
      </c>
      <c r="V92" s="26" cm="1">
        <f t="array" aca="1" ref="V92" ca="1">SUM(--(SQRT((Table_Process_Details[[#This Row],[X Mover]]-Table_Process_Details[X Mover])^2+(Table_Process_Details[[#This Row],[Y Mover]]-Table_Process_Details[Y Mover])^2)&lt;Collision_Distance))</f>
        <v>15</v>
      </c>
      <c r="W92" s="26" cm="1">
        <f t="array" aca="1" ref="W9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-0.22755765099296552</v>
      </c>
      <c r="X92" s="26" cm="1">
        <f t="array" aca="1" ref="X9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3.1070948513217619E-2</v>
      </c>
      <c r="Y92" s="26" cm="1">
        <f t="array" aca="1" ref="Y9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2" s="26">
        <f>0</f>
        <v>0</v>
      </c>
      <c r="AA92" s="26">
        <f>0</f>
        <v>0</v>
      </c>
      <c r="AB92"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-11.53146266244369</v>
      </c>
      <c r="AC92" s="26" cm="1">
        <f t="array" aca="1" ref="AC9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0.74922123567606225</v>
      </c>
      <c r="AD92" s="26">
        <f>MIN(1,COUNTA(Table_Process_Details[[#This Row],[target x]]),COUNTA(Table_Process_Details[[#This Row],[target y]]))*COUNTA(Table_Process_Details[Step Name])</f>
        <v>98</v>
      </c>
      <c r="AE92"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23.023332994211604</v>
      </c>
      <c r="AF92"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-1.4914374075708134</v>
      </c>
      <c r="AG92"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2" s="26" cm="1">
        <f t="array" aca="1" ref="AH92" ca="1">INDEX(Table_Process_Details[X Mover],MATCH(1,INDEX((Table_Process_Details[Input or Output]="Output")*(Table_Process_Details[Step Name]=Table_Process_Details[[#This Row],[Step Name]])*(Table_Process_Details[[#This Row],[Input or Output]]="Input"),0),0))</f>
        <v>19.635390140975865</v>
      </c>
      <c r="AI92" s="26" cm="1">
        <f t="array" aca="1" ref="AI92" ca="1">INDEX(Table_Process_Details[Y Mover],MATCH(1,INDEX((Table_Process_Details[Input or Output]="Output")*(Table_Process_Details[Step Name]=Table_Process_Details[[#This Row],[Step Name]])*(Table_Process_Details[[#This Row],[Input or Output]]="Input"),0),0))</f>
        <v>-1.0304434005151315</v>
      </c>
      <c r="AJ92" s="26">
        <f ca="1">SQRT((Table_Process_Details[[#This Row],[X End (To Node Center)]]-Table_Process_Details[[#This Row],[X Guide]])^2+(Table_Process_Details[[#This Row],[Y End (to Node Center)]]-Table_Process_Details[[#This Row],[Y Guide]])^2)</f>
        <v>3.4593381689646412</v>
      </c>
      <c r="AK92" s="26" t="e" cm="1">
        <f t="array" ref="AK92">INDEX(Table_Process_Details[X Mover],MATCH(1,INDEX((Table_Process_Details[Step Name]=Table_Process_Details[[#This Row],[LCA Data Source Subclass]])*(Table_Process_Details[Input or Output]="Output"),0)*(Table_Process_Details[[#This Row],[Input or Output]]="Input"),0))</f>
        <v>#N/A</v>
      </c>
      <c r="AL92" s="26" cm="1">
        <f t="array" aca="1" ref="AL92" ca="1">INDEX(Table_Process_Details[X Mover],MATCH(1,INDEX(((Table_Process_Details[Table Row]=Table_Process_Details[[#This Row],[Table Row]])*(1)),0)*(Table_Process_Details[[#This Row],[Input or Output]]="Input"),0))</f>
        <v>23.062925324887381</v>
      </c>
      <c r="AM92" s="26" cm="1">
        <f t="array" aca="1" ref="AM92" ca="1">(Table_Process_Details[[#This Row],[X End (To Node Center)]]*Table_Process_Details[[#This Row],[r0]]-Table_Process_Details[[#This Row],[X End (To Node Center)]]*Arrow_Offset+Table_Process_Details[[#This Row],[X Guide]]*Arrow_Offset)/Table_Process_Details[[#This Row],[r0]]</f>
        <v>20.428035442822686</v>
      </c>
      <c r="AN92" s="26" t="e">
        <f>IF(NOT(Table_Process_Details[[#This Row],[Display As]]="None"),Table_Process_Details[[#This Row],[X Start Prefilter]],NA())</f>
        <v>#N/A</v>
      </c>
      <c r="AO92" s="26">
        <f ca="1">IF(NOT(Table_Process_Details[[#This Row],[Display As]]="None"),Table_Process_Details[[#This Row],[X Guide Prefilter]],NA())</f>
        <v>23.062925324887381</v>
      </c>
      <c r="AP92" s="26">
        <f ca="1">IF(NOT(Table_Process_Details[[#This Row],[Display As]]="None"),Table_Process_Details[[#This Row],[X End (to Stop Radius) Prefilter]],NA())</f>
        <v>20.428035442822686</v>
      </c>
      <c r="AQ92" s="26" t="e">
        <f>NA()</f>
        <v>#N/A</v>
      </c>
      <c r="AR92" s="26" t="e" cm="1">
        <f t="array" ref="AR92">INDEX(Table_Process_Details[Y Mover],MATCH(1,INDEX((Table_Process_Details[Step Name]=Table_Process_Details[[#This Row],[LCA Data Source Subclass]])*(Table_Process_Details[Input or Output]="Output"),0)*(Table_Process_Details[[#This Row],[Input or Output]]="Input"),0))</f>
        <v>#N/A</v>
      </c>
      <c r="AS92" s="26" cm="1">
        <f t="array" aca="1" ref="AS92" ca="1">INDEX(Table_Process_Details[Y Mover],MATCH(1,INDEX(((Table_Process_Details[Table Row]=Table_Process_Details[[#This Row],[Table Row]])*(1)),0)*(Table_Process_Details[[#This Row],[Input or Output]]="Input"),0))</f>
        <v>-1.4984424713521245</v>
      </c>
      <c r="AT92" s="26" cm="1">
        <f t="array" aca="1" ref="AT92" ca="1">(Table_Process_Details[[#This Row],[Y Guide]]*Arrow_Offset-Table_Process_Details[[#This Row],[Y End (to Node Center)]]*Arrow_Offset+Table_Process_Details[[#This Row],[Y End (to Node Center)]]*Table_Process_Details[[#This Row],[r0]])/Table_Process_Details[[#This Row],[r0]]</f>
        <v>-1.138671980197947</v>
      </c>
      <c r="AU92" s="26" t="e">
        <f>IF(NOT(Table_Process_Details[[#This Row],[Display As]]="None"),Table_Process_Details[[#This Row],[Y Start Prefilter]],NA())</f>
        <v>#N/A</v>
      </c>
      <c r="AV92" s="26">
        <f ca="1">IF(NOT(Table_Process_Details[[#This Row],[Display As]]="None"),Table_Process_Details[[#This Row],[Y Guide Prefilter]],NA())</f>
        <v>-1.4984424713521245</v>
      </c>
      <c r="AW92" s="26">
        <f ca="1">IF(NOT(Table_Process_Details[[#This Row],[Display As]]="None"),Table_Process_Details[[#This Row],[Y End (to Stop Radius) Prefilter]],NA())</f>
        <v>-1.138671980197947</v>
      </c>
      <c r="AX92" s="26" t="e">
        <f>NA()</f>
        <v>#N/A</v>
      </c>
      <c r="AY92" s="26" t="e">
        <f>IF(Table_Process_Details[[#This Row],[Display As]]="Real Step",Table_Process_Details[[#This Row],[X Mover]],NA())</f>
        <v>#N/A</v>
      </c>
      <c r="AZ92" s="26" t="e">
        <f>IF(Table_Process_Details[[#This Row],[Display As]]="Real Step",Table_Process_Details[[#This Row],[Y Mover]],NA())</f>
        <v>#N/A</v>
      </c>
      <c r="BA92" s="26">
        <f ca="1">IF(Table_Process_Details[[#This Row],[Display As]]="Raw Material",Table_Process_Details[[#This Row],[X Mover]],NA())</f>
        <v>23.062925324887381</v>
      </c>
      <c r="BB92" s="26">
        <f ca="1">IF(Table_Process_Details[[#This Row],[Display As]]="Raw Material",Table_Process_Details[[#This Row],[Y Mover]],NA())</f>
        <v>-1.4984424713521245</v>
      </c>
      <c r="BC92" s="26">
        <f ca="1">IF(OR(Table_Process_Details[[#This Row],[Display As]]="Real Step",Table_Process_Details[[#This Row],[Display As]]="Raw Material"),Table_Process_Details[[#This Row],[X Mover]],NA())</f>
        <v>23.062925324887381</v>
      </c>
      <c r="BD92" s="26">
        <f ca="1">IF(OR(Table_Process_Details[[#This Row],[Display As]]="Real Step",Table_Process_Details[[#This Row],[Display As]]="Raw Material"),Table_Process_Details[[#This Row],[Y Mover]],NA())</f>
        <v>-1.4984424713521245</v>
      </c>
      <c r="BE92" s="22">
        <f>ROW()-ROW(Table_Process_Details[[#Headers],[Table Row]])</f>
        <v>88</v>
      </c>
      <c r="BF92" s="23" t="e" cm="1">
        <f t="array" aca="1" ref="BF92" ca="1">INDEX(Table_Process_Details[Display Name],MATCH(0,IF(Table_Process_Details[Input or Output]="Input",INDEX(COUNTIF(OFFSET(Table_Process_Details[[#Headers],[Unique Process Inputs]],0,0,Table_Process_Details[[#This Row],[Table Row]],1),Table_Process_Details[Display Name]),),""),0))</f>
        <v>#N/A</v>
      </c>
      <c r="BG92" s="23">
        <f ca="1">Table_Process_Details[[#This Row],[Physical Mass (kg)]]*Table_Process_Details[[#This Row],[Step Scale Factor for 1kg Packaged API]]</f>
        <v>20.128463938337326</v>
      </c>
      <c r="BH92"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2" s="23">
        <f ca="1">MATCH(Table_Process_Details[[#This Row],[LCA Data Source Class]],INDIRECT(Table_Process_Details[[#This Row],[Input or Output]]),0)</f>
        <v>2</v>
      </c>
      <c r="BJ92" s="23">
        <f ca="1">MATCH(Table_Process_Details[[#This Row],[LCA Data Source Subclass]],INDIRECT(Table_Process_Details[[#This Row],[LCA Data Source Class]]&amp;"[Name]"),0)</f>
        <v>64</v>
      </c>
      <c r="BK92" s="23">
        <f ca="1">IFERROR(INDEX(INDIRECT(Table_Process_Details[[#This Row],[LCA Data Source Class]]&amp;"[Mass Net (kg)]"),MATCH(Table_Process_Details[[#This Row],[LCA Data Source Subclass]],INDIRECT(Table_Process_Details[[#This Row],[LCA Data Source Class]]&amp;"[Name]"),0)),0)</f>
        <v>1.5302652999999999E-3</v>
      </c>
      <c r="BL92" s="23">
        <f ca="1">IFERROR(INDEX(INDIRECT(Table_Process_Details[[#This Row],[LCA Data Source Class]]&amp;"[Energy (MJ)]"),MATCH(Table_Process_Details[[#This Row],[LCA Data Source Subclass]],INDIRECT(Table_Process_Details[[#This Row],[LCA Data Source Class]]&amp;"[Name]"),0)),0)</f>
        <v>1.9058192000000002E-2</v>
      </c>
      <c r="BM92" s="23">
        <f ca="1">IFERROR(INDEX(INDIRECT(Table_Process_Details[[#This Row],[LCA Data Source Class]]&amp;"[GWP (kg CO2 equiv.)]"),MATCH(Table_Process_Details[[#This Row],[LCA Data Source Subclass]],INDIRECT(Table_Process_Details[[#This Row],[LCA Data Source Class]]&amp;"[Name]"),0)),0)</f>
        <v>1.015742E-3</v>
      </c>
      <c r="BN92" s="23">
        <f ca="1">IFERROR(INDEX(INDIRECT(Table_Process_Details[[#This Row],[LCA Data Source Class]]&amp;"[Acidification (kg SO2 equiv.)]"),MATCH(Table_Process_Details[[#This Row],[LCA Data Source Subclass]],INDIRECT(Table_Process_Details[[#This Row],[LCA Data Source Class]]&amp;"[Name]"),0)),0)</f>
        <v>3.8914349999999996E-6</v>
      </c>
      <c r="BO92" s="23">
        <f ca="1">IFERROR(INDEX(INDIRECT(Table_Process_Details[[#This Row],[LCA Data Source Class]]&amp;"[Eutrophication (kg posphate equiv.)]"),MATCH(Table_Process_Details[[#This Row],[LCA Data Source Subclass]],INDIRECT(Table_Process_Details[[#This Row],[LCA Data Source Class]]&amp;"[Name]"),0)),0)</f>
        <v>2.3181694000000001E-6</v>
      </c>
      <c r="BP92" s="23">
        <f ca="1">IFERROR(INDEX(INDIRECT(Table_Process_Details[[#This Row],[LCA Data Source Class]]&amp;"[Water (kg)]"),MATCH(Table_Process_Details[[#This Row],[LCA Data Source Subclass]],INDIRECT(Table_Process_Details[[#This Row],[LCA Data Source Class]]&amp;"[Name]"),0)),0)</f>
        <v>1.2633490999999999</v>
      </c>
      <c r="BQ92" s="27">
        <f ca="1">(Table_Process_Details[[#This Row],[Input or Output]]="Input")*(Table_Process_Details[[#This Row],[LCA Data Source Class]]&lt;&gt;"Process_Steps")*Table_Process_Details[[#This Row],[Scaled Physical Mass per kg API for All Inputs &amp; Outputs]]</f>
        <v>20.128463938337326</v>
      </c>
      <c r="BR92" s="27">
        <f ca="1">(Table_Process_Details[[#This Row],[Material Class]]="REAGENT")*Table_Process_Details[[#This Row],[Physical Mass per kg API]]</f>
        <v>0</v>
      </c>
      <c r="BS92" s="27">
        <f ca="1">(Table_Process_Details[[#This Row],[Material Class]]="METAL")*Table_Process_Details[[#This Row],[Physical Mass per kg API]]</f>
        <v>0</v>
      </c>
      <c r="BT92" s="27">
        <f ca="1">(Table_Process_Details[[#This Row],[Material Class]]="SOLVENT")*Table_Process_Details[[#This Row],[Physical Mass per kg API]]</f>
        <v>0</v>
      </c>
      <c r="BU92" s="27">
        <f ca="1">(Table_Process_Details[[#This Row],[Material Class]]="WATER")*Table_Process_Details[[#This Row],[Physical Mass per kg API]]</f>
        <v>20.128463938337326</v>
      </c>
      <c r="BV92" s="27">
        <f ca="1">(Table_Process_Details[[#This Row],[Material Class]]="ENZ&amp;PLNT")*Table_Process_Details[[#This Row],[Physical Mass per kg API]]</f>
        <v>0</v>
      </c>
      <c r="BW92" s="27">
        <f ca="1">(Table_Process_Details[[#This Row],[Material Class]]="OTHER")*Table_Process_Details[[#This Row],[Physical Mass per kg API]]</f>
        <v>0</v>
      </c>
      <c r="BX92"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20.128463938337326</v>
      </c>
      <c r="BY92"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2"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2"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2"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20.128463938337326</v>
      </c>
      <c r="CC92"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2"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2" s="1">
        <f ca="1">SUMIFS(Table_Process_Details[RV Physical Mass per kg API],Table_Process_Details[Display Name],Table_Process_Details[[#This Row],[Unique Process Inputs]],Table_Process_Details[Input or Output],"Input")</f>
        <v>0</v>
      </c>
      <c r="CF92" s="1">
        <f ca="1">SUMIFS(Table_Process_Details[RV Physical Mass per kg API (REAGENT)],Table_Process_Details[Display Name],Table_Process_Details[[#This Row],[Unique Process Inputs]],Table_Process_Details[Input or Output],"Input")</f>
        <v>0</v>
      </c>
      <c r="CG92" s="1">
        <f ca="1">SUMIFS(Table_Process_Details[RV Physical Mass per kg API (METAL)],Table_Process_Details[Display Name],Table_Process_Details[[#This Row],[Unique Process Inputs]],Table_Process_Details[Input or Output],"Input")</f>
        <v>0</v>
      </c>
      <c r="CH92" s="1">
        <f ca="1">SUMIFS(Table_Process_Details[RV Physical Mass per kg API (SOLVENT)],Table_Process_Details[Display Name],Table_Process_Details[[#This Row],[Unique Process Inputs]],Table_Process_Details[Input or Output],"Input")</f>
        <v>0</v>
      </c>
      <c r="CI92" s="1">
        <f ca="1">SUMIFS(Table_Process_Details[RV Physical Mass per kg API (WATER)],Table_Process_Details[Display Name],Table_Process_Details[[#This Row],[Unique Process Inputs]],Table_Process_Details[Input or Output],"Input")</f>
        <v>0</v>
      </c>
      <c r="CJ92" s="1">
        <f ca="1">SUMIFS(Table_Process_Details[RV Physical Mass per kg API (ENZ&amp;PLNT)],Table_Process_Details[Display Name],Table_Process_Details[[#This Row],[Unique Process Inputs]],Table_Process_Details[Input or Output],"Input")</f>
        <v>0</v>
      </c>
      <c r="CK92" s="1">
        <f ca="1">SUMIFS(Table_Process_Details[RV Physical Mass per kg API (OTHER)],Table_Process_Details[Display Name],Table_Process_Details[[#This Row],[Unique Process Inputs]],Table_Process_Details[Input or Output],"Input")</f>
        <v>0</v>
      </c>
      <c r="CL92" s="22" t="e">
        <f ca="1">INDEX(Table_Process_Details[Unique Process Inputs],MATCH(Table_Process_Details[[#This Row],['[Physical Mass per kg API'] of Unique Inputs Sorted by '[Physical Mass per kg API']]],Table_Process_Details[Total '[Physical Mass per kg API'] of Unique Inputs],0))</f>
        <v>#N/A</v>
      </c>
      <c r="CM92" s="22" t="e">
        <f ca="1">IF(LARGE(Table_Process_Details[Total '[Physical Mass per kg API'] of Unique Inputs],Table_Process_Details[[#This Row],[Table Row]])=0,NA(),LARGE(Table_Process_Details[Total '[Physical Mass per kg API'] of Unique Inputs],Table_Process_Details[[#This Row],[Table Row]]))</f>
        <v>#N/A</v>
      </c>
      <c r="CN92" s="22" t="e">
        <f ca="1">SUM(OFFSET(Table_Process_Details['[Physical Mass per kg API'] of Unique Inputs Sorted by '[Physical Mass per kg API']],0,0,Table_Process_Details[[#This Row],[Table Row]]))</f>
        <v>#N/A</v>
      </c>
      <c r="CO92" s="22" t="e">
        <f ca="1">"("&amp;TEXT(Table_Process_Details[[#This Row],['[Physical Mass per kg API'] of Unique Inputs Sorted by '[Physical Mass per kg API']]]/SUMIF(Table_Process_Details['[Physical Mass per kg API'] of Unique Inputs Sorted by '[Physical Mass per kg API']],"&lt;&gt;#N/A"),"0%")&amp;")"</f>
        <v>#N/A</v>
      </c>
      <c r="CP92" s="22" t="e">
        <f ca="1">INDEX(Table_Process_Details[Total '[Physical Mass per kg API'] of Unique Inputs (REAGENT)],MATCH(Table_Process_Details[[#This Row],[Unique Inputs Sorted by '[Physical Mass per kg API']]],Table_Process_Details[Unique Process Inputs],0))</f>
        <v>#N/A</v>
      </c>
      <c r="CQ92" s="22" t="e">
        <f ca="1">INDEX(Table_Process_Details[Total '[Physical Mass per kg API'] of Unique Inputs (METAL)],MATCH(Table_Process_Details[[#This Row],[Unique Inputs Sorted by '[Physical Mass per kg API']]],Table_Process_Details[Unique Process Inputs],0))</f>
        <v>#N/A</v>
      </c>
      <c r="CR92" s="22" t="e">
        <f ca="1">INDEX(Table_Process_Details[Total '[Physical Mass per kg API'] of Unique Inputs (SOLVENT)],MATCH(Table_Process_Details[[#This Row],[Unique Inputs Sorted by '[Physical Mass per kg API']]],Table_Process_Details[Unique Process Inputs],0))</f>
        <v>#N/A</v>
      </c>
      <c r="CS92" s="22" t="e">
        <f ca="1">INDEX(Table_Process_Details[Total '[Physical Mass per kg API'] of Unique Inputs (WATER)],MATCH(Table_Process_Details[[#This Row],[Unique Inputs Sorted by '[Physical Mass per kg API']]],Table_Process_Details[Unique Process Inputs],0))</f>
        <v>#N/A</v>
      </c>
      <c r="CT92" s="22" t="e">
        <f ca="1">INDEX(Table_Process_Details[Total '[Physical Mass per kg API'] of Unique Inputs (ENZ&amp;PLNT)],MATCH(Table_Process_Details[[#This Row],[Unique Inputs Sorted by '[Physical Mass per kg API']]],Table_Process_Details[Unique Process Inputs],0))</f>
        <v>#N/A</v>
      </c>
      <c r="CU92" s="22" t="e">
        <f ca="1">INDEX(Table_Process_Details[Total '[Physical Mass per kg API'] of Unique Inputs (OTHER)],MATCH(Table_Process_Details[[#This Row],[Unique Inputs Sorted by '[Physical Mass per kg API']]],Table_Process_Details[Unique Process Inputs],0))</f>
        <v>#N/A</v>
      </c>
      <c r="CV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3.080188990713895E-2</v>
      </c>
      <c r="CW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3.080188990713895E-2</v>
      </c>
      <c r="DA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2"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2" s="22">
        <f ca="1">SUMIFS(Table_Process_Details[RV Mass Net (kg) per kg API],Table_Process_Details[Display Name],Table_Process_Details[[#This Row],[Unique Process Inputs]],Table_Process_Details[Input or Output],"Input")</f>
        <v>0</v>
      </c>
      <c r="DD92" s="22">
        <f ca="1">SUMIFS(Table_Process_Details[RV Mass Net (kg) per kg API (REAGENT)],Table_Process_Details[Display Name],Table_Process_Details[[#This Row],[Unique Process Inputs]],Table_Process_Details[Input or Output],"Input")</f>
        <v>0</v>
      </c>
      <c r="DE92" s="22">
        <f ca="1">SUMIFS(Table_Process_Details[RV Mass Net (kg) per kg API (METAL)],Table_Process_Details[Display Name],Table_Process_Details[[#This Row],[Unique Process Inputs]],Table_Process_Details[Input or Output],"Input")</f>
        <v>0</v>
      </c>
      <c r="DF92" s="22">
        <f ca="1">SUMIFS(Table_Process_Details[RV Mass Net (kg) per kg API (SOLVENT)],Table_Process_Details[Display Name],Table_Process_Details[[#This Row],[Unique Process Inputs]],Table_Process_Details[Input or Output],"Input")</f>
        <v>0</v>
      </c>
      <c r="DG92" s="22">
        <f ca="1">SUMIFS(Table_Process_Details[RV Mass Net (kg) per kg API (WATER)],Table_Process_Details[Display Name],Table_Process_Details[[#This Row],[Unique Process Inputs]],Table_Process_Details[Input or Output],"Input")</f>
        <v>0</v>
      </c>
      <c r="DH92" s="22">
        <f ca="1">SUMIFS(Table_Process_Details[RV Mass Net (kg) per kg API (ENZ&amp;PLNT)],Table_Process_Details[Display Name],Table_Process_Details[[#This Row],[Unique Process Inputs]],Table_Process_Details[Input or Output],"Input")</f>
        <v>0</v>
      </c>
      <c r="DI92" s="22">
        <f ca="1">SUMIFS(Table_Process_Details[RV Mass Net (kg) per kg API (OTHER)],Table_Process_Details[Display Name],Table_Process_Details[[#This Row],[Unique Process Inputs]],Table_Process_Details[Input or Output],"Input")</f>
        <v>0</v>
      </c>
      <c r="DJ92" s="22" t="e">
        <f ca="1">INDEX(Table_Process_Details[Unique Process Inputs],MATCH(Table_Process_Details[[#This Row],['[Mass Net (kg) per kg API'] of Unique Inputs Sorted by '[Mass Net (kg) per kg API']]],Table_Process_Details[Total '[Mass Net (kg) per kg API'] of Unique Inputs],0))</f>
        <v>#N/A</v>
      </c>
      <c r="DK92" s="22" t="e">
        <f ca="1">IF(LARGE(Table_Process_Details[Total '[Mass Net (kg) per kg API'] of Unique Inputs],Table_Process_Details[[#This Row],[Table Row]])=0,NA(),LARGE(Table_Process_Details[Total '[Mass Net (kg) per kg API'] of Unique Inputs],Table_Process_Details[[#This Row],[Table Row]]))</f>
        <v>#N/A</v>
      </c>
      <c r="DL92" s="22" t="e">
        <f ca="1">SUM(OFFSET(Table_Process_Details['[Mass Net (kg) per kg API'] of Unique Inputs Sorted by '[Mass Net (kg) per kg API']],0,0,Table_Process_Details[[#This Row],[Table Row]]))</f>
        <v>#N/A</v>
      </c>
      <c r="DM92" s="22" t="e">
        <f ca="1">"("&amp;TEXT(Table_Process_Details[[#This Row],['[Mass Net (kg) per kg API'] of Unique Inputs Sorted by '[Mass Net (kg) per kg API']]]/SUMIF(Table_Process_Details['[Mass Net (kg) per kg API'] of Unique Inputs Sorted by '[Mass Net (kg) per kg API']],"&lt;&gt;#N/A"),"0%")&amp;")"</f>
        <v>#N/A</v>
      </c>
      <c r="DN92" s="22" t="e">
        <f ca="1">INDEX(Table_Process_Details[Total '[Mass Net (kg) per kg API'] of Unique Inputs (REAGENT)], MATCH(Table_Process_Details[[#This Row],[Unique Inputs Sorted by '[Mass Net (kg) per kg API']]],Table_Process_Details[Unique Process Inputs],0))</f>
        <v>#N/A</v>
      </c>
      <c r="DO92" s="22" t="e">
        <f ca="1">INDEX(Table_Process_Details[Total '[Mass Net (kg) per kg API'] of Unique Inputs (METAL)], MATCH(Table_Process_Details[[#This Row],[Unique Inputs Sorted by '[Mass Net (kg) per kg API']]],Table_Process_Details[Unique Process Inputs],0))</f>
        <v>#N/A</v>
      </c>
      <c r="DP92" s="22" t="e">
        <f ca="1">INDEX(Table_Process_Details[Total '[Mass Net (kg) per kg API'] of Unique Inputs (SOLVENT)], MATCH(Table_Process_Details[[#This Row],[Unique Inputs Sorted by '[Mass Net (kg) per kg API']]],Table_Process_Details[Unique Process Inputs],0))</f>
        <v>#N/A</v>
      </c>
      <c r="DQ92" s="22" t="e">
        <f ca="1">INDEX(Table_Process_Details[Total '[Mass Net (kg) per kg API'] of Unique Inputs (WATER)], MATCH(Table_Process_Details[[#This Row],[Unique Inputs Sorted by '[Mass Net (kg) per kg API']]],Table_Process_Details[Unique Process Inputs],0))</f>
        <v>#N/A</v>
      </c>
      <c r="DR92" s="22" t="e">
        <f ca="1">INDEX(Table_Process_Details[Total '[Mass Net (kg) per kg API'] of Unique Inputs (ENZ&amp;PLNT)], MATCH(Table_Process_Details[[#This Row],[Unique Inputs Sorted by '[Mass Net (kg) per kg API']]],Table_Process_Details[Unique Process Inputs],0))</f>
        <v>#N/A</v>
      </c>
      <c r="DS92" s="22" t="e">
        <f ca="1">INDEX(Table_Process_Details[Total '[Mass Net (kg) per kg API'] of Unique Inputs (OTHER)], MATCH(Table_Process_Details[[#This Row],[Unique Inputs Sorted by '[Mass Net (kg) per kg API']]],Table_Process_Details[Unique Process Inputs],0))</f>
        <v>#N/A</v>
      </c>
      <c r="DT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0.38361213040190895</v>
      </c>
      <c r="DU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0.38361213040190895</v>
      </c>
      <c r="DY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2"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2" s="1">
        <f ca="1">SUMIFS(Table_Process_Details[RV Energy (MJ) per kg API],Table_Process_Details[Display Name],Table_Process_Details[[#This Row],[Unique Process Inputs]],Table_Process_Details[Input or Output],"Input")</f>
        <v>0</v>
      </c>
      <c r="EB92" s="1">
        <f ca="1">SUMIFS(Table_Process_Details[RV Energy (MJ) per kg API (REAGENT)],Table_Process_Details[Display Name],Table_Process_Details[[#This Row],[Unique Process Inputs]],Table_Process_Details[Input or Output],"Input")</f>
        <v>0</v>
      </c>
      <c r="EC92" s="1">
        <f ca="1">SUMIFS(Table_Process_Details[RV Energy (MJ) per kg API (METAL)],Table_Process_Details[Display Name],Table_Process_Details[[#This Row],[Unique Process Inputs]],Table_Process_Details[Input or Output],"Input")</f>
        <v>0</v>
      </c>
      <c r="ED92" s="1">
        <f ca="1">SUMIFS(Table_Process_Details[RV Energy (MJ) per kg API (SOLVENT)],Table_Process_Details[Display Name],Table_Process_Details[[#This Row],[Unique Process Inputs]],Table_Process_Details[Input or Output],"Input")</f>
        <v>0</v>
      </c>
      <c r="EE92" s="1">
        <f ca="1">SUMIFS(Table_Process_Details[RV Energy (MJ) per kg API (WATER)],Table_Process_Details[Display Name],Table_Process_Details[[#This Row],[Unique Process Inputs]],Table_Process_Details[Input or Output],"Input")</f>
        <v>0</v>
      </c>
      <c r="EF92" s="1">
        <f ca="1">SUMIFS(Table_Process_Details[RV Energy (MJ) per kg API (ENZ&amp;PLNT)],Table_Process_Details[Display Name],Table_Process_Details[[#This Row],[Unique Process Inputs]],Table_Process_Details[Input or Output],"Input")</f>
        <v>0</v>
      </c>
      <c r="EG92" s="1">
        <f ca="1">SUMIFS(Table_Process_Details[RV Energy (MJ) per kg API (OTHER)],Table_Process_Details[Display Name],Table_Process_Details[[#This Row],[Unique Process Inputs]],Table_Process_Details[Input or Output],"Input")</f>
        <v>0</v>
      </c>
      <c r="EH92" s="1" t="e">
        <f ca="1">INDEX(Table_Process_Details[Unique Process Inputs],MATCH(Table_Process_Details[[#This Row],['[Energy (MJ) per kg API'] of Unique Inputs Sorted by '[Energy (MJ) per kg API']]],Table_Process_Details[Total '[Energy (MJ) per kg API'] of Unique Inputs],0))</f>
        <v>#N/A</v>
      </c>
      <c r="EI92" s="22" t="e">
        <f ca="1">IF(LARGE(Table_Process_Details[Total '[Energy (MJ) per kg API'] of Unique Inputs],Table_Process_Details[[#This Row],[Table Row]])=0,NA(),LARGE(Table_Process_Details[Total '[Energy (MJ) per kg API'] of Unique Inputs],Table_Process_Details[[#This Row],[Table Row]]))</f>
        <v>#N/A</v>
      </c>
      <c r="EJ92" s="22" t="e">
        <f ca="1">SUM(OFFSET(Table_Process_Details['[Energy (MJ) per kg API'] of Unique Inputs Sorted by '[Energy (MJ) per kg API']],0,0,Table_Process_Details[[#This Row],[Table Row]]))</f>
        <v>#N/A</v>
      </c>
      <c r="EK92" s="22" t="e">
        <f ca="1">"("&amp;TEXT(Table_Process_Details[[#This Row],['[Energy (MJ) per kg API'] of Unique Inputs Sorted by '[Energy (MJ) per kg API']]]/SUMIF(Table_Process_Details['[Energy (MJ) per kg API'] of Unique Inputs Sorted by '[Energy (MJ) per kg API']],"&lt;&gt;#N/A"),"0%")&amp;")"</f>
        <v>#N/A</v>
      </c>
      <c r="EL92" s="22" t="e">
        <f ca="1">INDEX(Table_Process_Details[Total '[Energy (MJ) per kg API'] of Unique Inputs (REAGENT)], MATCH(Table_Process_Details[[#This Row],[Unique Inputs Sorted by '[Energy (MJ) per kg API']]],Table_Process_Details[Unique Process Inputs],0))</f>
        <v>#N/A</v>
      </c>
      <c r="EM92" s="22" t="e">
        <f ca="1">INDEX(Table_Process_Details[Total '[Energy (MJ) per kg API'] of Unique Inputs (METAL)], MATCH(Table_Process_Details[[#This Row],[Unique Inputs Sorted by '[Energy (MJ) per kg API']]],Table_Process_Details[Unique Process Inputs],0))</f>
        <v>#N/A</v>
      </c>
      <c r="EN92" s="22" t="e">
        <f ca="1">INDEX(Table_Process_Details[Total '[Energy (MJ) per kg API'] of Unique Inputs (SOLVENT)], MATCH(Table_Process_Details[[#This Row],[Unique Inputs Sorted by '[Energy (MJ) per kg API']]],Table_Process_Details[Unique Process Inputs],0))</f>
        <v>#N/A</v>
      </c>
      <c r="EO92" s="22" t="e">
        <f ca="1">INDEX(Table_Process_Details[Total '[Energy (MJ) per kg API'] of Unique Inputs (WATER)], MATCH(Table_Process_Details[[#This Row],[Unique Inputs Sorted by '[Energy (MJ) per kg API']]],Table_Process_Details[Unique Process Inputs],0))</f>
        <v>#N/A</v>
      </c>
      <c r="EP92" s="22" t="e">
        <f ca="1">INDEX(Table_Process_Details[Total '[Energy (MJ) per kg API'] of Unique Inputs (ENZ&amp;PLNT)], MATCH(Table_Process_Details[[#This Row],[Unique Inputs Sorted by '[Energy (MJ) per kg API']]],Table_Process_Details[Unique Process Inputs],0))</f>
        <v>#N/A</v>
      </c>
      <c r="EQ92" s="22" t="e">
        <f ca="1">INDEX(Table_Process_Details[Total '[Energy (MJ) per kg API'] of Unique Inputs (OTHER)], MATCH(Table_Process_Details[[#This Row],[Unique Inputs Sorted by '[Energy (MJ) per kg API']]],Table_Process_Details[Unique Process Inputs],0))</f>
        <v>#N/A</v>
      </c>
      <c r="ER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2.0445326217654634E-2</v>
      </c>
      <c r="ES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2.0445326217654634E-2</v>
      </c>
      <c r="EW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2"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2" s="22">
        <f ca="1">SUMIFS(Table_Process_Details[RV GWP (kg CO2 equiv.) per kg API],Table_Process_Details[Display Name],Table_Process_Details[[#This Row],[Unique Process Inputs]],Table_Process_Details[Input or Output],"Input")</f>
        <v>0</v>
      </c>
      <c r="EZ92" s="1">
        <f ca="1">SUMIFS(Table_Process_Details[RV GWP (kg CO2 equiv.) per kg API (REAGENT)],Table_Process_Details[Display Name],Table_Process_Details[[#This Row],[Unique Process Inputs]],Table_Process_Details[Input or Output],"Input")</f>
        <v>0</v>
      </c>
      <c r="FA92" s="1">
        <f ca="1">SUMIFS(Table_Process_Details[RV GWP (kg CO2 equiv.) per kg API (METAL)],Table_Process_Details[Display Name],Table_Process_Details[[#This Row],[Unique Process Inputs]],Table_Process_Details[Input or Output],"Input")</f>
        <v>0</v>
      </c>
      <c r="FB92" s="1">
        <f ca="1">SUMIFS(Table_Process_Details[RV GWP (kg CO2 equiv.) per kg API (SOLVENT)],Table_Process_Details[Display Name],Table_Process_Details[[#This Row],[Unique Process Inputs]],Table_Process_Details[Input or Output],"Input")</f>
        <v>0</v>
      </c>
      <c r="FC92" s="1">
        <f ca="1">SUMIFS(Table_Process_Details[RV GWP (kg CO2 equiv.) per kg API (WATER)],Table_Process_Details[Display Name],Table_Process_Details[[#This Row],[Unique Process Inputs]],Table_Process_Details[Input or Output],"Input")</f>
        <v>0</v>
      </c>
      <c r="FD92" s="1">
        <f ca="1">SUMIFS(Table_Process_Details[RV GWP (kg CO2 equiv.) per kg API (ENZ&amp;PLNT)],Table_Process_Details[Display Name],Table_Process_Details[[#This Row],[Unique Process Inputs]],Table_Process_Details[Input or Output],"Input")</f>
        <v>0</v>
      </c>
      <c r="FE92" s="1">
        <f ca="1">SUMIFS(Table_Process_Details[RV GWP (kg CO2 equiv.) per kg API (OTHER)],Table_Process_Details[Display Name],Table_Process_Details[[#This Row],[Unique Process Inputs]],Table_Process_Details[Input or Output],"Input")</f>
        <v>0</v>
      </c>
      <c r="FF92" s="22" t="e">
        <f ca="1">INDEX(Table_Process_Details[Unique Process Inputs],MATCH(Table_Process_Details[[#This Row],['[GWP (kg CO2 equiv.) per kg API'] of Unique Inputs Sorted by '[GWP (kg CO2 equiv.) per kg API']]],Table_Process_Details[Total '[GWP (kg CO2 equiv.) per kg API'] of Unique Inputs],0))</f>
        <v>#N/A</v>
      </c>
      <c r="FG92" s="22" t="e">
        <f ca="1">IF(LARGE(Table_Process_Details[Total '[GWP (kg CO2 equiv.) per kg API'] of Unique Inputs],Table_Process_Details[[#This Row],[Table Row]])=0,NA(),LARGE(Table_Process_Details[Total '[GWP (kg CO2 equiv.) per kg API'] of Unique Inputs],Table_Process_Details[[#This Row],[Table Row]]))</f>
        <v>#N/A</v>
      </c>
      <c r="FH92" s="22" t="e">
        <f ca="1">SUM(OFFSET(Table_Process_Details['[GWP (kg CO2 equiv.) per kg API'] of Unique Inputs Sorted by '[GWP (kg CO2 equiv.) per kg API']],0,0,Table_Process_Details[[#This Row],[Table Row]]))</f>
        <v>#N/A</v>
      </c>
      <c r="FI92" s="22" t="e">
        <f ca="1">"("&amp;TEXT(Table_Process_Details[[#This Row],['[GWP (kg CO2 equiv.) per kg API'] of Unique Inputs Sorted by '[GWP (kg CO2 equiv.) per kg API']]]/SUMIF(Table_Process_Details['[GWP (kg CO2 equiv.) per kg API'] of Unique Inputs Sorted by '[GWP (kg CO2 equiv.) per kg API']],"&lt;&gt;#N/A"),"0%")&amp;")"</f>
        <v>#N/A</v>
      </c>
      <c r="FJ92" s="22" t="e">
        <f ca="1">INDEX(Table_Process_Details[Total '[GWP (kg CO2 equiv.) per kg API'] of Unique Inputs (REAGENT)], MATCH(Table_Process_Details[[#This Row],[Unique Inputs Sorted by '[GWP (kg CO2 equiv.) per kg API']]],Table_Process_Details[Unique Process Inputs],0))</f>
        <v>#N/A</v>
      </c>
      <c r="FK92" s="22" t="e">
        <f ca="1">INDEX(Table_Process_Details[Total '[GWP (kg CO2 equiv.) per kg API'] of Unique Inputs (METAL)], MATCH(Table_Process_Details[[#This Row],[Unique Inputs Sorted by '[GWP (kg CO2 equiv.) per kg API']]],Table_Process_Details[Unique Process Inputs],0))</f>
        <v>#N/A</v>
      </c>
      <c r="FL92" s="22" t="e">
        <f ca="1">INDEX(Table_Process_Details[Total '[GWP (kg CO2 equiv.) per kg API'] of Unique Inputs (SOLVENT)], MATCH(Table_Process_Details[[#This Row],[Unique Inputs Sorted by '[GWP (kg CO2 equiv.) per kg API']]],Table_Process_Details[Unique Process Inputs],0))</f>
        <v>#N/A</v>
      </c>
      <c r="FM92" s="22" t="e">
        <f ca="1">INDEX(Table_Process_Details[Total '[GWP (kg CO2 equiv.) per kg API'] of Unique Inputs (WATER)], MATCH(Table_Process_Details[[#This Row],[Unique Inputs Sorted by '[GWP (kg CO2 equiv.) per kg API']]],Table_Process_Details[Unique Process Inputs],0))</f>
        <v>#N/A</v>
      </c>
      <c r="FN92" s="22" t="e">
        <f ca="1">INDEX(Table_Process_Details[Total '[GWP (kg CO2 equiv.) per kg API'] of Unique Inputs (ENZ&amp;PLNT)], MATCH(Table_Process_Details[[#This Row],[Unique Inputs Sorted by '[GWP (kg CO2 equiv.) per kg API']]],Table_Process_Details[Unique Process Inputs],0))</f>
        <v>#N/A</v>
      </c>
      <c r="FO92" s="22" t="e">
        <f ca="1">INDEX(Table_Process_Details[Total '[GWP (kg CO2 equiv.) per kg API'] of Unique Inputs (OTHER)], MATCH(Table_Process_Details[[#This Row],[Unique Inputs Sorted by '[GWP (kg CO2 equiv.) per kg API']]],Table_Process_Details[Unique Process Inputs],0))</f>
        <v>#N/A</v>
      </c>
      <c r="FP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7.8328609065883705E-5</v>
      </c>
      <c r="FQ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7.8328609065883705E-5</v>
      </c>
      <c r="FU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2"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2" s="22">
        <f ca="1">SUMIFS(Table_Process_Details[RV Acidification (kg SO2 equiv.) per kg API],Table_Process_Details[Display Name],Table_Process_Details[[#This Row],[Unique Process Inputs]],Table_Process_Details[Input or Output],"Input")</f>
        <v>0</v>
      </c>
      <c r="FX92" s="1">
        <f ca="1">SUMIFS(Table_Process_Details[RV Acidification (kg SO2 equiv.) per kg API (REAGENT)],Table_Process_Details[Display Name],Table_Process_Details[[#This Row],[Unique Process Inputs]],Table_Process_Details[Input or Output],"Input")</f>
        <v>0</v>
      </c>
      <c r="FY92" s="1">
        <f ca="1">SUMIFS(Table_Process_Details[RV Acidification (kg SO2 equiv.) per kg API (METAL)],Table_Process_Details[Display Name],Table_Process_Details[[#This Row],[Unique Process Inputs]],Table_Process_Details[Input or Output],"Input")</f>
        <v>0</v>
      </c>
      <c r="FZ92" s="1">
        <f ca="1">SUMIFS(Table_Process_Details[RV Acidification (kg SO2 equiv.) per kg API (SOLVENT)],Table_Process_Details[Display Name],Table_Process_Details[[#This Row],[Unique Process Inputs]],Table_Process_Details[Input or Output],"Input")</f>
        <v>0</v>
      </c>
      <c r="GA92" s="1">
        <f ca="1">SUMIFS(Table_Process_Details[RV Acidification (kg SO2 equiv.) per kg API (WATER)],Table_Process_Details[Display Name],Table_Process_Details[[#This Row],[Unique Process Inputs]],Table_Process_Details[Input or Output],"Input")</f>
        <v>0</v>
      </c>
      <c r="GB92" s="1">
        <f ca="1">SUMIFS(Table_Process_Details[RV Acidification (kg SO2 equiv.) per kg API (ENZ&amp;PLNT)],Table_Process_Details[Display Name],Table_Process_Details[[#This Row],[Unique Process Inputs]],Table_Process_Details[Input or Output],"Input")</f>
        <v>0</v>
      </c>
      <c r="GC92" s="1">
        <f ca="1">SUMIFS(Table_Process_Details[RV Acidification (kg SO2 equiv.) per kg API (OTHER)],Table_Process_Details[Display Name],Table_Process_Details[[#This Row],[Unique Process Inputs]],Table_Process_Details[Input or Output],"Input")</f>
        <v>0</v>
      </c>
      <c r="GD92"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2"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2" s="22" t="e">
        <f ca="1">SUM(OFFSET(Table_Process_Details['[Acidification (kg SO2 equiv.) per kg API'] of Unique Inputs Sorted by '[Acidification (kg SO2 equiv.) per kg API']],0,0,Table_Process_Details[[#This Row],[Table Row]]))</f>
        <v>#N/A</v>
      </c>
      <c r="GG92"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2" s="22" t="e">
        <f ca="1">INDEX(Table_Process_Details[Total '[Acidification (kg SO2 equiv.) per kg API'] of Unique Inputs (REAGENT)], MATCH(Table_Process_Details[[#This Row],[Unique Inputs Sorted by '[Acidification (kg SO2 equiv.) per kg API']]],Table_Process_Details[Unique Process Inputs],0))</f>
        <v>#N/A</v>
      </c>
      <c r="GI92" s="22" t="e">
        <f ca="1">INDEX(Table_Process_Details[Total '[Acidification (kg SO2 equiv.) per kg API'] of Unique Inputs (METAL)], MATCH(Table_Process_Details[[#This Row],[Unique Inputs Sorted by '[Acidification (kg SO2 equiv.) per kg API']]],Table_Process_Details[Unique Process Inputs],0))</f>
        <v>#N/A</v>
      </c>
      <c r="GJ92" s="22" t="e">
        <f ca="1">INDEX(Table_Process_Details[Total '[Acidification (kg SO2 equiv.) per kg API'] of Unique Inputs (SOLVENT)], MATCH(Table_Process_Details[[#This Row],[Unique Inputs Sorted by '[Acidification (kg SO2 equiv.) per kg API']]],Table_Process_Details[Unique Process Inputs],0))</f>
        <v>#N/A</v>
      </c>
      <c r="GK92" s="22" t="e">
        <f ca="1">INDEX(Table_Process_Details[Total '[Acidification (kg SO2 equiv.) per kg API'] of Unique Inputs (WATER)], MATCH(Table_Process_Details[[#This Row],[Unique Inputs Sorted by '[Acidification (kg SO2 equiv.) per kg API']]],Table_Process_Details[Unique Process Inputs],0))</f>
        <v>#N/A</v>
      </c>
      <c r="GL92" s="22" t="e">
        <f ca="1">INDEX(Table_Process_Details[Total '[Acidification (kg SO2 equiv.) per kg API'] of Unique Inputs (ENZ&amp;PLNT)], MATCH(Table_Process_Details[[#This Row],[Unique Inputs Sorted by '[Acidification (kg SO2 equiv.) per kg API']]],Table_Process_Details[Unique Process Inputs],0))</f>
        <v>#N/A</v>
      </c>
      <c r="GM92" s="22" t="e">
        <f ca="1">INDEX(Table_Process_Details[Total '[Acidification (kg SO2 equiv.) per kg API'] of Unique Inputs (OTHER)], MATCH(Table_Process_Details[[#This Row],[Unique Inputs Sorted by '[Acidification (kg SO2 equiv.) per kg API']]],Table_Process_Details[Unique Process Inputs],0))</f>
        <v>#N/A</v>
      </c>
      <c r="GN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4.6661189170857079E-5</v>
      </c>
      <c r="GO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4.6661189170857079E-5</v>
      </c>
      <c r="GS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2"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2" s="22">
        <f ca="1">SUMIFS(Table_Process_Details[RV Eutrophication (kg phosphate equiv.) per kg API],Table_Process_Details[Display Name],Table_Process_Details[[#This Row],[Unique Process Inputs]],Table_Process_Details[Input or Output],"Input")</f>
        <v>0</v>
      </c>
      <c r="GV92" s="1">
        <f ca="1">SUMIFS(Table_Process_Details[RV Eutrophication (kg phosphate equiv.) per kg API (REAGENT)],Table_Process_Details[Display Name],Table_Process_Details[[#This Row],[Unique Process Inputs]],Table_Process_Details[Input or Output],"Input")</f>
        <v>0</v>
      </c>
      <c r="GW92" s="1">
        <f ca="1">SUMIFS(Table_Process_Details[RV Eutrophication (kg phosphate equiv.) per kg API (METAL)],Table_Process_Details[Display Name],Table_Process_Details[[#This Row],[Unique Process Inputs]],Table_Process_Details[Input or Output],"Input")</f>
        <v>0</v>
      </c>
      <c r="GX92" s="1">
        <f ca="1">SUMIFS(Table_Process_Details[RV Eutrophication (kg phosphate equiv.) per kg API (SOLVENT)],Table_Process_Details[Display Name],Table_Process_Details[[#This Row],[Unique Process Inputs]],Table_Process_Details[Input or Output],"Input")</f>
        <v>0</v>
      </c>
      <c r="GY92" s="1">
        <f ca="1">SUMIFS(Table_Process_Details[RV Eutrophication (kg phosphate equiv.) per kg API (WATER)],Table_Process_Details[Display Name],Table_Process_Details[[#This Row],[Unique Process Inputs]],Table_Process_Details[Input or Output],"Input")</f>
        <v>0</v>
      </c>
      <c r="GZ92" s="1">
        <f ca="1">SUMIFS(Table_Process_Details[RV Eutrophication (kg phosphate equiv.) per kg API (ENZ&amp;PLNT)],Table_Process_Details[Display Name],Table_Process_Details[[#This Row],[Unique Process Inputs]],Table_Process_Details[Input or Output],"Input")</f>
        <v>0</v>
      </c>
      <c r="HA92" s="1">
        <f ca="1">SUMIFS(Table_Process_Details[RV Eutrophication (kg phosphate equiv.) per kg API (OTHER)],Table_Process_Details[Display Name],Table_Process_Details[[#This Row],[Unique Process Inputs]],Table_Process_Details[Input or Output],"Input")</f>
        <v>0</v>
      </c>
      <c r="HB92"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2"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2" s="22" t="e">
        <f ca="1">SUM(OFFSET(Table_Process_Details['[Eutrophication (kg posphate equiv.) per kg API'] of Unique Inputs Sorted by '[Eutrophication (kg posphate equiv.) per kg API']],0,0,Table_Process_Details[[#This Row],[Table Row]]))</f>
        <v>#N/A</v>
      </c>
      <c r="HE92"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2" s="1" t="e">
        <f ca="1">INDEX(Table_Process_Details[Total '[Eutrophication (kg posphate equiv.) per kg API'] of Unique Inputs (REAGENT)], MATCH(Table_Process_Details[[#This Row],[Unique Inputs Sorted by '[Eutrophication (kg posphate equiv.) per kg API']]],Table_Process_Details[Unique Process Inputs],0))</f>
        <v>#N/A</v>
      </c>
      <c r="HG92" s="1" t="e">
        <f ca="1">INDEX(Table_Process_Details[Total '[Eutrophication (kg posphate equiv.) per kg API'] of Unique Inputs (METAL)], MATCH(Table_Process_Details[[#This Row],[Unique Inputs Sorted by '[Eutrophication (kg posphate equiv.) per kg API']]],Table_Process_Details[Unique Process Inputs],0))</f>
        <v>#N/A</v>
      </c>
      <c r="HH92" s="1" t="e">
        <f ca="1">INDEX(Table_Process_Details[Total '[Eutrophication (kg posphate equiv.) per kg API'] of Unique Inputs (SOLVENT)], MATCH(Table_Process_Details[[#This Row],[Unique Inputs Sorted by '[Eutrophication (kg posphate equiv.) per kg API']]],Table_Process_Details[Unique Process Inputs],0))</f>
        <v>#N/A</v>
      </c>
      <c r="HI92" s="1" t="e">
        <f ca="1">INDEX(Table_Process_Details[Total '[Eutrophication (kg posphate equiv.) per kg API'] of Unique Inputs (WATER)], MATCH(Table_Process_Details[[#This Row],[Unique Inputs Sorted by '[Eutrophication (kg posphate equiv.) per kg API']]],Table_Process_Details[Unique Process Inputs],0))</f>
        <v>#N/A</v>
      </c>
      <c r="HJ92" s="1" t="e">
        <f ca="1">INDEX(Table_Process_Details[Total '[Eutrophication (kg posphate equiv.) per kg API'] of Unique Inputs (ENZ&amp;PLNT)], MATCH(Table_Process_Details[[#This Row],[Unique Inputs Sorted by '[Eutrophication (kg posphate equiv.) per kg API']]],Table_Process_Details[Unique Process Inputs],0))</f>
        <v>#N/A</v>
      </c>
      <c r="HK92" s="1" t="e">
        <f ca="1">INDEX(Table_Process_Details[Total '[Eutrophication (kg posphate equiv.) per kg API'] of Unique Inputs (OTHER)], MATCH(Table_Process_Details[[#This Row],[Unique Inputs Sorted by '[Eutrophication (kg posphate equiv.) per kg API']]],Table_Process_Details[Unique Process Inputs],0))</f>
        <v>#N/A</v>
      </c>
      <c r="HL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25.429276800880913</v>
      </c>
      <c r="HM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25.429276800880913</v>
      </c>
      <c r="HQ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2"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2" s="1">
        <f ca="1">SUMIFS(Table_Process_Details[RV Water (kg) per kg API],Table_Process_Details[Display Name],Table_Process_Details[[#This Row],[Unique Process Inputs]],Table_Process_Details[Input or Output],"Input")</f>
        <v>0</v>
      </c>
      <c r="HT92" s="1">
        <f ca="1">SUMIFS(Table_Process_Details[RV Water (kg) per kg API (REAGENT)],Table_Process_Details[Display Name],Table_Process_Details[[#This Row],[Unique Process Inputs]],Table_Process_Details[Input or Output],"Input")</f>
        <v>0</v>
      </c>
      <c r="HU92" s="1">
        <f ca="1">SUMIFS(Table_Process_Details[RV Water (kg) per kg API (METAL)],Table_Process_Details[Display Name],Table_Process_Details[[#This Row],[Unique Process Inputs]],Table_Process_Details[Input or Output],"Input")</f>
        <v>0</v>
      </c>
      <c r="HV92" s="1">
        <f ca="1">SUMIFS(Table_Process_Details[RV Water (kg) per kg API (SOLVENT)],Table_Process_Details[Display Name],Table_Process_Details[[#This Row],[Unique Process Inputs]],Table_Process_Details[Input or Output],"Input")</f>
        <v>0</v>
      </c>
      <c r="HW92" s="1">
        <f ca="1">SUMIFS(Table_Process_Details[RV Water (kg) per kg API (WATER)],Table_Process_Details[Display Name],Table_Process_Details[[#This Row],[Unique Process Inputs]],Table_Process_Details[Input or Output],"Input")</f>
        <v>0</v>
      </c>
      <c r="HX92" s="1">
        <f ca="1">SUMIFS(Table_Process_Details[RV Water (kg) per kg API (ENZ&amp;PLNT)],Table_Process_Details[Display Name],Table_Process_Details[[#This Row],[Unique Process Inputs]],Table_Process_Details[Input or Output],"Input")</f>
        <v>0</v>
      </c>
      <c r="HY92" s="1">
        <f ca="1">SUMIFS(Table_Process_Details[RV Water (kg) per kg API (OTHER)],Table_Process_Details[Display Name],Table_Process_Details[[#This Row],[Unique Process Inputs]],Table_Process_Details[Input or Output],"Input")</f>
        <v>0</v>
      </c>
      <c r="HZ92" s="22" t="e">
        <f ca="1">INDEX(Table_Process_Details[Unique Process Inputs],MATCH(Table_Process_Details[[#This Row],['[Water (kg) per kg API'] of Unique Inputs Sorted by '[Water (kg) per kg API']]],Table_Process_Details[Total '[Water (kg) per kg API'] of Unique Inputs],0))</f>
        <v>#N/A</v>
      </c>
      <c r="IA92" s="22" t="e">
        <f ca="1">IF(LARGE(Table_Process_Details[Total '[Water (kg) per kg API'] of Unique Inputs],Table_Process_Details[[#This Row],[Table Row]])=0,NA(),LARGE(Table_Process_Details[Total '[Water (kg) per kg API'] of Unique Inputs],Table_Process_Details[[#This Row],[Table Row]]))</f>
        <v>#N/A</v>
      </c>
      <c r="IB92" s="1" t="e">
        <f ca="1">SUM(OFFSET(Table_Process_Details['[Water (kg) per kg API'] of Unique Inputs Sorted by '[Water (kg) per kg API']],0,0,Table_Process_Details[[#This Row],[Table Row]]))</f>
        <v>#N/A</v>
      </c>
      <c r="IC92" s="1" t="e">
        <f ca="1">"("&amp;TEXT(Table_Process_Details[[#This Row],['[Water (kg) per kg API'] of Unique Inputs Sorted by '[Water (kg) per kg API']]]/SUMIF(Table_Process_Details['[Water (kg) per kg API'] of Unique Inputs Sorted by '[Water (kg) per kg API']],"&lt;&gt;#N/A"),"0%")&amp;")"</f>
        <v>#N/A</v>
      </c>
      <c r="ID92" s="1" t="e">
        <f ca="1">INDEX(Table_Process_Details[Total '[Water (kg) per kg API'] of Unique Inputs (REAGENT)], MATCH(Table_Process_Details[[#This Row],[Unique Inputs Sorted by '[Water (kg) per kg API']]],Table_Process_Details[Unique Process Inputs],0))</f>
        <v>#N/A</v>
      </c>
      <c r="IE92" s="1" t="e">
        <f ca="1">INDEX(Table_Process_Details[Total '[Water (kg) per kg API'] of Unique Inputs (METAL)], MATCH(Table_Process_Details[[#This Row],[Unique Inputs Sorted by '[Water (kg) per kg API']]],Table_Process_Details[Unique Process Inputs],0))</f>
        <v>#N/A</v>
      </c>
      <c r="IF92" s="1" t="e">
        <f ca="1">INDEX(Table_Process_Details[Total '[Water (kg) per kg API'] of Unique Inputs (SOLVENT)], MATCH(Table_Process_Details[[#This Row],[Unique Inputs Sorted by '[Water (kg) per kg API']]],Table_Process_Details[Unique Process Inputs],0))</f>
        <v>#N/A</v>
      </c>
      <c r="IG92" s="1" t="e">
        <f ca="1">INDEX(Table_Process_Details[Total '[Water (kg) per kg API'] of Unique Inputs (WATER)], MATCH(Table_Process_Details[[#This Row],[Unique Inputs Sorted by '[Water (kg) per kg API']]],Table_Process_Details[Unique Process Inputs],0))</f>
        <v>#N/A</v>
      </c>
      <c r="IH92" s="1" t="e">
        <f ca="1">INDEX(Table_Process_Details[Total '[Water (kg) per kg API'] of Unique Inputs (ENZ&amp;PLNT)], MATCH(Table_Process_Details[[#This Row],[Unique Inputs Sorted by '[Water (kg) per kg API']]],Table_Process_Details[Unique Process Inputs],0))</f>
        <v>#N/A</v>
      </c>
      <c r="II92" s="1" t="e">
        <f ca="1">INDEX(Table_Process_Details[Total '[Water (kg) per kg API'] of Unique Inputs (OTHER)], MATCH(Table_Process_Details[[#This Row],[Unique Inputs Sorted by '[Water (kg) per kg API']]],Table_Process_Details[Unique Process Inputs],0))</f>
        <v>#N/A</v>
      </c>
    </row>
    <row r="93" spans="1:243" s="139" customFormat="1" ht="15.75" thickBot="1" x14ac:dyDescent="0.3">
      <c r="A93" s="132" t="str">
        <f t="shared" si="3"/>
        <v>4) Synthesis of Intermediate (4)</v>
      </c>
      <c r="B93" s="133" t="s">
        <v>5</v>
      </c>
      <c r="C93" s="133" t="s">
        <v>155</v>
      </c>
      <c r="D93" s="132" t="s">
        <v>155</v>
      </c>
      <c r="E93" s="132" t="str">
        <f>'1. Define Process Steps'!C25</f>
        <v>Intermediate (4)</v>
      </c>
      <c r="F93" s="134">
        <v>54.49</v>
      </c>
      <c r="G93" s="134"/>
      <c r="H93" s="134"/>
      <c r="I93" s="134"/>
      <c r="J93" s="134" t="str">
        <f>INDEX(Process_Steps[Reference],MATCH(Table_Process_Details[[#This Row],[Step Name]],Process_Steps[Name],0))</f>
        <v>Penultimate Reference Document</v>
      </c>
      <c r="K93" s="135" t="str">
        <f>INDEX(Process_Steps[Real or Virtual?],MATCH(Table_Process_Details[[#This Row],[Step Name]],Process_Steps[Name],0))</f>
        <v>Real</v>
      </c>
      <c r="L93" s="134"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93" s="134"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93" s="134">
        <f>INDEX(Table_Process_Details[Physical Mass (kg)],MATCH(1,INDEX(((Table_Process_Details[Step Name]=Table_Process_Details[[#This Row],[Step Name]])*(Table_Process_Details[Input or Output]="Output")),0),0))</f>
        <v>54.49</v>
      </c>
      <c r="O93" s="136">
        <f ca="1">INDEX(Process_Steps[Step Scale Factor for 1kg Packaged API],MATCH(Table_Process_Details[[#This Row],[Step Name]],Process_Steps[Name],0))</f>
        <v>2.2022389429253091E-2</v>
      </c>
      <c r="P93" s="134">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v>
      </c>
      <c r="Q93" s="134">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v>
      </c>
      <c r="R93" s="134">
        <f ca="1">_xlfn.SWITCH(Run_Reset_PNG,"Reset",Table_Process_Details[[#This Row],[X Init]],"Run",Table_Process_Details[[#This Row],[X Moved]],"Freeze",Table_Process_Details[[#This Row],[X Mover]])</f>
        <v>19.635390140975865</v>
      </c>
      <c r="S93" s="134">
        <f ca="1">_xlfn.SWITCH(Run_Reset_PNG,"Reset",Table_Process_Details[[#This Row],[Y Init]],"Run",Table_Process_Details[[#This Row],[Y Moved]],"Freeze",Table_Process_Details[[#This Row],[Y Mover]])</f>
        <v>-1.0304434005151315</v>
      </c>
      <c r="T93" s="134" cm="1">
        <f t="array" aca="1" ref="T93"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1.2370969913747683</v>
      </c>
      <c r="U93" s="134" cm="1">
        <f t="array" aca="1" ref="U93"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2.3555449692678239</v>
      </c>
      <c r="V93" s="134" cm="1">
        <f t="array" aca="1" ref="V93" ca="1">SUM(--(SQRT((Table_Process_Details[[#This Row],[X Mover]]-Table_Process_Details[X Mover])^2+(Table_Process_Details[[#This Row],[Y Mover]]-Table_Process_Details[Y Mover])^2)&lt;Collision_Distance))</f>
        <v>14</v>
      </c>
      <c r="W93" s="134" cm="1">
        <f t="array" aca="1" ref="W93"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-0.15292405446408264</v>
      </c>
      <c r="X93" s="134" cm="1">
        <f t="array" aca="1" ref="X93"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-1.5169318337602959</v>
      </c>
      <c r="Y93" s="134" cm="1">
        <f t="array" aca="1" ref="Y93"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8</v>
      </c>
      <c r="Z93" s="134">
        <f>0</f>
        <v>0</v>
      </c>
      <c r="AA93" s="134">
        <f>0</f>
        <v>0</v>
      </c>
      <c r="AB93" s="134">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-9.8176950704879324</v>
      </c>
      <c r="AC93" s="134" cm="1">
        <f t="array" aca="1" ref="AC93"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0.51522170025756575</v>
      </c>
      <c r="AD93" s="134">
        <f>MIN(1,COUNTA(Table_Process_Details[[#This Row],[target x]]),COUNTA(Table_Process_Details[[#This Row],[target y]]))*COUNTA(Table_Process_Details[Step Name])</f>
        <v>98</v>
      </c>
      <c r="AE93" s="134">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19.604458143036585</v>
      </c>
      <c r="AF93" s="134">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-1.0465493033562672</v>
      </c>
      <c r="AG93" s="134"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93" s="134" t="e" cm="1">
        <f t="array" ref="AH93">INDEX(Table_Process_Details[X Mover],MATCH(1,INDEX((Table_Process_Details[Input or Output]="Output")*(Table_Process_Details[Step Name]=Table_Process_Details[[#This Row],[Step Name]])*(Table_Process_Details[[#This Row],[Input or Output]]="Input"),0),0))</f>
        <v>#N/A</v>
      </c>
      <c r="AI93" s="134" t="e" cm="1">
        <f t="array" ref="AI93">INDEX(Table_Process_Details[Y Mover],MATCH(1,INDEX((Table_Process_Details[Input or Output]="Output")*(Table_Process_Details[Step Name]=Table_Process_Details[[#This Row],[Step Name]])*(Table_Process_Details[[#This Row],[Input or Output]]="Input"),0),0))</f>
        <v>#N/A</v>
      </c>
      <c r="AJ93" s="134" t="e">
        <f>SQRT((Table_Process_Details[[#This Row],[X End (To Node Center)]]-Table_Process_Details[[#This Row],[X Guide]])^2+(Table_Process_Details[[#This Row],[Y End (to Node Center)]]-Table_Process_Details[[#This Row],[Y Guide]])^2)</f>
        <v>#N/A</v>
      </c>
      <c r="AK93" s="134" t="e" cm="1">
        <f t="array" ref="AK93">INDEX(Table_Process_Details[X Mover],MATCH(1,INDEX((Table_Process_Details[Step Name]=Table_Process_Details[[#This Row],[LCA Data Source Subclass]])*(Table_Process_Details[Input or Output]="Output"),0)*(Table_Process_Details[[#This Row],[Input or Output]]="Input"),0))</f>
        <v>#N/A</v>
      </c>
      <c r="AL93" s="134" t="e" cm="1">
        <f t="array" ref="AL93">INDEX(Table_Process_Details[X Mover],MATCH(1,INDEX(((Table_Process_Details[Table Row]=Table_Process_Details[[#This Row],[Table Row]])*(1)),0)*(Table_Process_Details[[#This Row],[Input or Output]]="Input"),0))</f>
        <v>#N/A</v>
      </c>
      <c r="AM93" s="134" t="e" cm="1">
        <f t="array" ref="AM93">(Table_Process_Details[[#This Row],[X End (To Node Center)]]*Table_Process_Details[[#This Row],[r0]]-Table_Process_Details[[#This Row],[X End (To Node Center)]]*Arrow_Offset+Table_Process_Details[[#This Row],[X Guide]]*Arrow_Offset)/Table_Process_Details[[#This Row],[r0]]</f>
        <v>#N/A</v>
      </c>
      <c r="AN93" s="134" t="e">
        <f>IF(NOT(Table_Process_Details[[#This Row],[Display As]]="None"),Table_Process_Details[[#This Row],[X Start Prefilter]],NA())</f>
        <v>#N/A</v>
      </c>
      <c r="AO93" s="134" t="e">
        <f>IF(NOT(Table_Process_Details[[#This Row],[Display As]]="None"),Table_Process_Details[[#This Row],[X Guide Prefilter]],NA())</f>
        <v>#N/A</v>
      </c>
      <c r="AP93" s="134" t="e">
        <f>IF(NOT(Table_Process_Details[[#This Row],[Display As]]="None"),Table_Process_Details[[#This Row],[X End (to Stop Radius) Prefilter]],NA())</f>
        <v>#N/A</v>
      </c>
      <c r="AQ93" s="134" t="e">
        <f>NA()</f>
        <v>#N/A</v>
      </c>
      <c r="AR93" s="134" t="e" cm="1">
        <f t="array" ref="AR93">INDEX(Table_Process_Details[Y Mover],MATCH(1,INDEX((Table_Process_Details[Step Name]=Table_Process_Details[[#This Row],[LCA Data Source Subclass]])*(Table_Process_Details[Input or Output]="Output"),0)*(Table_Process_Details[[#This Row],[Input or Output]]="Input"),0))</f>
        <v>#N/A</v>
      </c>
      <c r="AS93" s="134" t="e" cm="1">
        <f t="array" ref="AS93">INDEX(Table_Process_Details[Y Mover],MATCH(1,INDEX(((Table_Process_Details[Table Row]=Table_Process_Details[[#This Row],[Table Row]])*(1)),0)*(Table_Process_Details[[#This Row],[Input or Output]]="Input"),0))</f>
        <v>#N/A</v>
      </c>
      <c r="AT93" s="134" t="e" cm="1">
        <f t="array" ref="AT93">(Table_Process_Details[[#This Row],[Y Guide]]*Arrow_Offset-Table_Process_Details[[#This Row],[Y End (to Node Center)]]*Arrow_Offset+Table_Process_Details[[#This Row],[Y End (to Node Center)]]*Table_Process_Details[[#This Row],[r0]])/Table_Process_Details[[#This Row],[r0]]</f>
        <v>#N/A</v>
      </c>
      <c r="AU93" s="134" t="e">
        <f>IF(NOT(Table_Process_Details[[#This Row],[Display As]]="None"),Table_Process_Details[[#This Row],[Y Start Prefilter]],NA())</f>
        <v>#N/A</v>
      </c>
      <c r="AV93" s="134" t="e">
        <f>IF(NOT(Table_Process_Details[[#This Row],[Display As]]="None"),Table_Process_Details[[#This Row],[Y Guide Prefilter]],NA())</f>
        <v>#N/A</v>
      </c>
      <c r="AW93" s="134" t="e">
        <f>IF(NOT(Table_Process_Details[[#This Row],[Display As]]="None"),Table_Process_Details[[#This Row],[Y End (to Stop Radius) Prefilter]],NA())</f>
        <v>#N/A</v>
      </c>
      <c r="AX93" s="134" t="e">
        <f>NA()</f>
        <v>#N/A</v>
      </c>
      <c r="AY93" s="134">
        <f ca="1">IF(Table_Process_Details[[#This Row],[Display As]]="Real Step",Table_Process_Details[[#This Row],[X Mover]],NA())</f>
        <v>19.635390140975865</v>
      </c>
      <c r="AZ93" s="134">
        <f ca="1">IF(Table_Process_Details[[#This Row],[Display As]]="Real Step",Table_Process_Details[[#This Row],[Y Mover]],NA())</f>
        <v>-1.0304434005151315</v>
      </c>
      <c r="BA93" s="134" t="e">
        <f>IF(Table_Process_Details[[#This Row],[Display As]]="Raw Material",Table_Process_Details[[#This Row],[X Mover]],NA())</f>
        <v>#N/A</v>
      </c>
      <c r="BB93" s="134" t="e">
        <f>IF(Table_Process_Details[[#This Row],[Display As]]="Raw Material",Table_Process_Details[[#This Row],[Y Mover]],NA())</f>
        <v>#N/A</v>
      </c>
      <c r="BC93" s="134">
        <f ca="1">IF(OR(Table_Process_Details[[#This Row],[Display As]]="Real Step",Table_Process_Details[[#This Row],[Display As]]="Raw Material"),Table_Process_Details[[#This Row],[X Mover]],NA())</f>
        <v>19.635390140975865</v>
      </c>
      <c r="BD93" s="134">
        <f ca="1">IF(OR(Table_Process_Details[[#This Row],[Display As]]="Real Step",Table_Process_Details[[#This Row],[Display As]]="Raw Material"),Table_Process_Details[[#This Row],[Y Mover]],NA())</f>
        <v>-1.0304434005151315</v>
      </c>
      <c r="BE93" s="132">
        <f>ROW()-ROW(Table_Process_Details[[#Headers],[Table Row]])</f>
        <v>89</v>
      </c>
      <c r="BF93" s="137" t="e" cm="1">
        <f t="array" aca="1" ref="BF93" ca="1">INDEX(Table_Process_Details[Display Name],MATCH(0,IF(Table_Process_Details[Input or Output]="Input",INDEX(COUNTIF(OFFSET(Table_Process_Details[[#Headers],[Unique Process Inputs]],0,0,Table_Process_Details[[#This Row],[Table Row]],1),Table_Process_Details[Display Name]),),""),0))</f>
        <v>#N/A</v>
      </c>
      <c r="BG93" s="137">
        <f ca="1">Table_Process_Details[[#This Row],[Physical Mass (kg)]]*Table_Process_Details[[#This Row],[Step Scale Factor for 1kg Packaged API]]</f>
        <v>1.2000000000000011</v>
      </c>
      <c r="BH93" s="137">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3" s="137">
        <f ca="1">MATCH(Table_Process_Details[[#This Row],[LCA Data Source Class]],INDIRECT(Table_Process_Details[[#This Row],[Input or Output]]),0)</f>
        <v>1</v>
      </c>
      <c r="BJ93" s="137">
        <f ca="1">MATCH(Table_Process_Details[[#This Row],[LCA Data Source Subclass]],INDIRECT(Table_Process_Details[[#This Row],[LCA Data Source Class]]&amp;"[Name]"),0)</f>
        <v>1</v>
      </c>
      <c r="BK93" s="137">
        <f ca="1">IFERROR(INDEX(INDIRECT(Table_Process_Details[[#This Row],[LCA Data Source Class]]&amp;"[Mass Net (kg)]"),MATCH(Table_Process_Details[[#This Row],[LCA Data Source Subclass]],INDIRECT(Table_Process_Details[[#This Row],[LCA Data Source Class]]&amp;"[Name]"),0)),0)</f>
        <v>0</v>
      </c>
      <c r="BL93" s="137">
        <f ca="1">IFERROR(INDEX(INDIRECT(Table_Process_Details[[#This Row],[LCA Data Source Class]]&amp;"[Energy (MJ)]"),MATCH(Table_Process_Details[[#This Row],[LCA Data Source Subclass]],INDIRECT(Table_Process_Details[[#This Row],[LCA Data Source Class]]&amp;"[Name]"),0)),0)</f>
        <v>0</v>
      </c>
      <c r="BM93" s="137">
        <f ca="1">IFERROR(INDEX(INDIRECT(Table_Process_Details[[#This Row],[LCA Data Source Class]]&amp;"[GWP (kg CO2 equiv.)]"),MATCH(Table_Process_Details[[#This Row],[LCA Data Source Subclass]],INDIRECT(Table_Process_Details[[#This Row],[LCA Data Source Class]]&amp;"[Name]"),0)),0)</f>
        <v>0</v>
      </c>
      <c r="BN93" s="137">
        <f ca="1">IFERROR(INDEX(INDIRECT(Table_Process_Details[[#This Row],[LCA Data Source Class]]&amp;"[Acidification (kg SO2 equiv.)]"),MATCH(Table_Process_Details[[#This Row],[LCA Data Source Subclass]],INDIRECT(Table_Process_Details[[#This Row],[LCA Data Source Class]]&amp;"[Name]"),0)),0)</f>
        <v>0</v>
      </c>
      <c r="BO93" s="137">
        <f ca="1">IFERROR(INDEX(INDIRECT(Table_Process_Details[[#This Row],[LCA Data Source Class]]&amp;"[Eutrophication (kg posphate equiv.)]"),MATCH(Table_Process_Details[[#This Row],[LCA Data Source Subclass]],INDIRECT(Table_Process_Details[[#This Row],[LCA Data Source Class]]&amp;"[Name]"),0)),0)</f>
        <v>0</v>
      </c>
      <c r="BP93" s="137">
        <f ca="1">IFERROR(INDEX(INDIRECT(Table_Process_Details[[#This Row],[LCA Data Source Class]]&amp;"[Water (kg)]"),MATCH(Table_Process_Details[[#This Row],[LCA Data Source Subclass]],INDIRECT(Table_Process_Details[[#This Row],[LCA Data Source Class]]&amp;"[Name]"),0)),0)</f>
        <v>0</v>
      </c>
      <c r="BQ93" s="135">
        <f ca="1">(Table_Process_Details[[#This Row],[Input or Output]]="Input")*(Table_Process_Details[[#This Row],[LCA Data Source Class]]&lt;&gt;"Process_Steps")*Table_Process_Details[[#This Row],[Scaled Physical Mass per kg API for All Inputs &amp; Outputs]]</f>
        <v>0</v>
      </c>
      <c r="BR93" s="135">
        <f ca="1">(Table_Process_Details[[#This Row],[Material Class]]="REAGENT")*Table_Process_Details[[#This Row],[Physical Mass per kg API]]</f>
        <v>0</v>
      </c>
      <c r="BS93" s="135">
        <f ca="1">(Table_Process_Details[[#This Row],[Material Class]]="METAL")*Table_Process_Details[[#This Row],[Physical Mass per kg API]]</f>
        <v>0</v>
      </c>
      <c r="BT93" s="135">
        <f ca="1">(Table_Process_Details[[#This Row],[Material Class]]="SOLVENT")*Table_Process_Details[[#This Row],[Physical Mass per kg API]]</f>
        <v>0</v>
      </c>
      <c r="BU93" s="135">
        <f ca="1">(Table_Process_Details[[#This Row],[Material Class]]="WATER")*Table_Process_Details[[#This Row],[Physical Mass per kg API]]</f>
        <v>0</v>
      </c>
      <c r="BV93" s="135">
        <f ca="1">(Table_Process_Details[[#This Row],[Material Class]]="ENZ&amp;PLNT")*Table_Process_Details[[#This Row],[Physical Mass per kg API]]</f>
        <v>0</v>
      </c>
      <c r="BW93" s="135">
        <f ca="1">(Table_Process_Details[[#This Row],[Material Class]]="OTHER")*Table_Process_Details[[#This Row],[Physical Mass per kg API]]</f>
        <v>0</v>
      </c>
      <c r="BX93" s="135">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93" s="135">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3" s="136">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3" s="135">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3" s="135">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3" s="136">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3" s="136">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3" s="138">
        <f ca="1">SUMIFS(Table_Process_Details[RV Physical Mass per kg API],Table_Process_Details[Display Name],Table_Process_Details[[#This Row],[Unique Process Inputs]],Table_Process_Details[Input or Output],"Input")</f>
        <v>0</v>
      </c>
      <c r="CF93" s="138">
        <f ca="1">SUMIFS(Table_Process_Details[RV Physical Mass per kg API (REAGENT)],Table_Process_Details[Display Name],Table_Process_Details[[#This Row],[Unique Process Inputs]],Table_Process_Details[Input or Output],"Input")</f>
        <v>0</v>
      </c>
      <c r="CG93" s="138">
        <f ca="1">SUMIFS(Table_Process_Details[RV Physical Mass per kg API (METAL)],Table_Process_Details[Display Name],Table_Process_Details[[#This Row],[Unique Process Inputs]],Table_Process_Details[Input or Output],"Input")</f>
        <v>0</v>
      </c>
      <c r="CH93" s="138">
        <f ca="1">SUMIFS(Table_Process_Details[RV Physical Mass per kg API (SOLVENT)],Table_Process_Details[Display Name],Table_Process_Details[[#This Row],[Unique Process Inputs]],Table_Process_Details[Input or Output],"Input")</f>
        <v>0</v>
      </c>
      <c r="CI93" s="138">
        <f ca="1">SUMIFS(Table_Process_Details[RV Physical Mass per kg API (WATER)],Table_Process_Details[Display Name],Table_Process_Details[[#This Row],[Unique Process Inputs]],Table_Process_Details[Input or Output],"Input")</f>
        <v>0</v>
      </c>
      <c r="CJ93" s="138">
        <f ca="1">SUMIFS(Table_Process_Details[RV Physical Mass per kg API (ENZ&amp;PLNT)],Table_Process_Details[Display Name],Table_Process_Details[[#This Row],[Unique Process Inputs]],Table_Process_Details[Input or Output],"Input")</f>
        <v>0</v>
      </c>
      <c r="CK93" s="138">
        <f ca="1">SUMIFS(Table_Process_Details[RV Physical Mass per kg API (OTHER)],Table_Process_Details[Display Name],Table_Process_Details[[#This Row],[Unique Process Inputs]],Table_Process_Details[Input or Output],"Input")</f>
        <v>0</v>
      </c>
      <c r="CL93" s="132" t="e">
        <f ca="1">INDEX(Table_Process_Details[Unique Process Inputs],MATCH(Table_Process_Details[[#This Row],['[Physical Mass per kg API'] of Unique Inputs Sorted by '[Physical Mass per kg API']]],Table_Process_Details[Total '[Physical Mass per kg API'] of Unique Inputs],0))</f>
        <v>#N/A</v>
      </c>
      <c r="CM93" s="132" t="e">
        <f ca="1">IF(LARGE(Table_Process_Details[Total '[Physical Mass per kg API'] of Unique Inputs],Table_Process_Details[[#This Row],[Table Row]])=0,NA(),LARGE(Table_Process_Details[Total '[Physical Mass per kg API'] of Unique Inputs],Table_Process_Details[[#This Row],[Table Row]]))</f>
        <v>#N/A</v>
      </c>
      <c r="CN93" s="132" t="e">
        <f ca="1">SUM(OFFSET(Table_Process_Details['[Physical Mass per kg API'] of Unique Inputs Sorted by '[Physical Mass per kg API']],0,0,Table_Process_Details[[#This Row],[Table Row]]))</f>
        <v>#N/A</v>
      </c>
      <c r="CO93" s="132" t="e">
        <f ca="1">"("&amp;TEXT(Table_Process_Details[[#This Row],['[Physical Mass per kg API'] of Unique Inputs Sorted by '[Physical Mass per kg API']]]/SUMIF(Table_Process_Details['[Physical Mass per kg API'] of Unique Inputs Sorted by '[Physical Mass per kg API']],"&lt;&gt;#N/A"),"0%")&amp;")"</f>
        <v>#N/A</v>
      </c>
      <c r="CP93" s="132" t="e">
        <f ca="1">INDEX(Table_Process_Details[Total '[Physical Mass per kg API'] of Unique Inputs (REAGENT)],MATCH(Table_Process_Details[[#This Row],[Unique Inputs Sorted by '[Physical Mass per kg API']]],Table_Process_Details[Unique Process Inputs],0))</f>
        <v>#N/A</v>
      </c>
      <c r="CQ93" s="132" t="e">
        <f ca="1">INDEX(Table_Process_Details[Total '[Physical Mass per kg API'] of Unique Inputs (METAL)],MATCH(Table_Process_Details[[#This Row],[Unique Inputs Sorted by '[Physical Mass per kg API']]],Table_Process_Details[Unique Process Inputs],0))</f>
        <v>#N/A</v>
      </c>
      <c r="CR93" s="132" t="e">
        <f ca="1">INDEX(Table_Process_Details[Total '[Physical Mass per kg API'] of Unique Inputs (SOLVENT)],MATCH(Table_Process_Details[[#This Row],[Unique Inputs Sorted by '[Physical Mass per kg API']]],Table_Process_Details[Unique Process Inputs],0))</f>
        <v>#N/A</v>
      </c>
      <c r="CS93" s="132" t="e">
        <f ca="1">INDEX(Table_Process_Details[Total '[Physical Mass per kg API'] of Unique Inputs (WATER)],MATCH(Table_Process_Details[[#This Row],[Unique Inputs Sorted by '[Physical Mass per kg API']]],Table_Process_Details[Unique Process Inputs],0))</f>
        <v>#N/A</v>
      </c>
      <c r="CT93" s="132" t="e">
        <f ca="1">INDEX(Table_Process_Details[Total '[Physical Mass per kg API'] of Unique Inputs (ENZ&amp;PLNT)],MATCH(Table_Process_Details[[#This Row],[Unique Inputs Sorted by '[Physical Mass per kg API']]],Table_Process_Details[Unique Process Inputs],0))</f>
        <v>#N/A</v>
      </c>
      <c r="CU93" s="132" t="e">
        <f ca="1">INDEX(Table_Process_Details[Total '[Physical Mass per kg API'] of Unique Inputs (OTHER)],MATCH(Table_Process_Details[[#This Row],[Unique Inputs Sorted by '[Physical Mass per kg API']]],Table_Process_Details[Unique Process Inputs],0))</f>
        <v>#N/A</v>
      </c>
      <c r="CV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3" s="136">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3" s="132">
        <f ca="1">SUMIFS(Table_Process_Details[RV Mass Net (kg) per kg API],Table_Process_Details[Display Name],Table_Process_Details[[#This Row],[Unique Process Inputs]],Table_Process_Details[Input or Output],"Input")</f>
        <v>0</v>
      </c>
      <c r="DD93" s="132">
        <f ca="1">SUMIFS(Table_Process_Details[RV Mass Net (kg) per kg API (REAGENT)],Table_Process_Details[Display Name],Table_Process_Details[[#This Row],[Unique Process Inputs]],Table_Process_Details[Input or Output],"Input")</f>
        <v>0</v>
      </c>
      <c r="DE93" s="132">
        <f ca="1">SUMIFS(Table_Process_Details[RV Mass Net (kg) per kg API (METAL)],Table_Process_Details[Display Name],Table_Process_Details[[#This Row],[Unique Process Inputs]],Table_Process_Details[Input or Output],"Input")</f>
        <v>0</v>
      </c>
      <c r="DF93" s="132">
        <f ca="1">SUMIFS(Table_Process_Details[RV Mass Net (kg) per kg API (SOLVENT)],Table_Process_Details[Display Name],Table_Process_Details[[#This Row],[Unique Process Inputs]],Table_Process_Details[Input or Output],"Input")</f>
        <v>0</v>
      </c>
      <c r="DG93" s="132">
        <f ca="1">SUMIFS(Table_Process_Details[RV Mass Net (kg) per kg API (WATER)],Table_Process_Details[Display Name],Table_Process_Details[[#This Row],[Unique Process Inputs]],Table_Process_Details[Input or Output],"Input")</f>
        <v>0</v>
      </c>
      <c r="DH93" s="132">
        <f ca="1">SUMIFS(Table_Process_Details[RV Mass Net (kg) per kg API (ENZ&amp;PLNT)],Table_Process_Details[Display Name],Table_Process_Details[[#This Row],[Unique Process Inputs]],Table_Process_Details[Input or Output],"Input")</f>
        <v>0</v>
      </c>
      <c r="DI93" s="132">
        <f ca="1">SUMIFS(Table_Process_Details[RV Mass Net (kg) per kg API (OTHER)],Table_Process_Details[Display Name],Table_Process_Details[[#This Row],[Unique Process Inputs]],Table_Process_Details[Input or Output],"Input")</f>
        <v>0</v>
      </c>
      <c r="DJ93" s="132" t="e">
        <f ca="1">INDEX(Table_Process_Details[Unique Process Inputs],MATCH(Table_Process_Details[[#This Row],['[Mass Net (kg) per kg API'] of Unique Inputs Sorted by '[Mass Net (kg) per kg API']]],Table_Process_Details[Total '[Mass Net (kg) per kg API'] of Unique Inputs],0))</f>
        <v>#N/A</v>
      </c>
      <c r="DK93" s="132" t="e">
        <f ca="1">IF(LARGE(Table_Process_Details[Total '[Mass Net (kg) per kg API'] of Unique Inputs],Table_Process_Details[[#This Row],[Table Row]])=0,NA(),LARGE(Table_Process_Details[Total '[Mass Net (kg) per kg API'] of Unique Inputs],Table_Process_Details[[#This Row],[Table Row]]))</f>
        <v>#N/A</v>
      </c>
      <c r="DL93" s="132" t="e">
        <f ca="1">SUM(OFFSET(Table_Process_Details['[Mass Net (kg) per kg API'] of Unique Inputs Sorted by '[Mass Net (kg) per kg API']],0,0,Table_Process_Details[[#This Row],[Table Row]]))</f>
        <v>#N/A</v>
      </c>
      <c r="DM93" s="132" t="e">
        <f ca="1">"("&amp;TEXT(Table_Process_Details[[#This Row],['[Mass Net (kg) per kg API'] of Unique Inputs Sorted by '[Mass Net (kg) per kg API']]]/SUMIF(Table_Process_Details['[Mass Net (kg) per kg API'] of Unique Inputs Sorted by '[Mass Net (kg) per kg API']],"&lt;&gt;#N/A"),"0%")&amp;")"</f>
        <v>#N/A</v>
      </c>
      <c r="DN93" s="132" t="e">
        <f ca="1">INDEX(Table_Process_Details[Total '[Mass Net (kg) per kg API'] of Unique Inputs (REAGENT)], MATCH(Table_Process_Details[[#This Row],[Unique Inputs Sorted by '[Mass Net (kg) per kg API']]],Table_Process_Details[Unique Process Inputs],0))</f>
        <v>#N/A</v>
      </c>
      <c r="DO93" s="132" t="e">
        <f ca="1">INDEX(Table_Process_Details[Total '[Mass Net (kg) per kg API'] of Unique Inputs (METAL)], MATCH(Table_Process_Details[[#This Row],[Unique Inputs Sorted by '[Mass Net (kg) per kg API']]],Table_Process_Details[Unique Process Inputs],0))</f>
        <v>#N/A</v>
      </c>
      <c r="DP93" s="132" t="e">
        <f ca="1">INDEX(Table_Process_Details[Total '[Mass Net (kg) per kg API'] of Unique Inputs (SOLVENT)], MATCH(Table_Process_Details[[#This Row],[Unique Inputs Sorted by '[Mass Net (kg) per kg API']]],Table_Process_Details[Unique Process Inputs],0))</f>
        <v>#N/A</v>
      </c>
      <c r="DQ93" s="132" t="e">
        <f ca="1">INDEX(Table_Process_Details[Total '[Mass Net (kg) per kg API'] of Unique Inputs (WATER)], MATCH(Table_Process_Details[[#This Row],[Unique Inputs Sorted by '[Mass Net (kg) per kg API']]],Table_Process_Details[Unique Process Inputs],0))</f>
        <v>#N/A</v>
      </c>
      <c r="DR93" s="132" t="e">
        <f ca="1">INDEX(Table_Process_Details[Total '[Mass Net (kg) per kg API'] of Unique Inputs (ENZ&amp;PLNT)], MATCH(Table_Process_Details[[#This Row],[Unique Inputs Sorted by '[Mass Net (kg) per kg API']]],Table_Process_Details[Unique Process Inputs],0))</f>
        <v>#N/A</v>
      </c>
      <c r="DS93" s="132" t="e">
        <f ca="1">INDEX(Table_Process_Details[Total '[Mass Net (kg) per kg API'] of Unique Inputs (OTHER)], MATCH(Table_Process_Details[[#This Row],[Unique Inputs Sorted by '[Mass Net (kg) per kg API']]],Table_Process_Details[Unique Process Inputs],0))</f>
        <v>#N/A</v>
      </c>
      <c r="DT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3" s="136">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3" s="138">
        <f ca="1">SUMIFS(Table_Process_Details[RV Energy (MJ) per kg API],Table_Process_Details[Display Name],Table_Process_Details[[#This Row],[Unique Process Inputs]],Table_Process_Details[Input or Output],"Input")</f>
        <v>0</v>
      </c>
      <c r="EB93" s="138">
        <f ca="1">SUMIFS(Table_Process_Details[RV Energy (MJ) per kg API (REAGENT)],Table_Process_Details[Display Name],Table_Process_Details[[#This Row],[Unique Process Inputs]],Table_Process_Details[Input or Output],"Input")</f>
        <v>0</v>
      </c>
      <c r="EC93" s="138">
        <f ca="1">SUMIFS(Table_Process_Details[RV Energy (MJ) per kg API (METAL)],Table_Process_Details[Display Name],Table_Process_Details[[#This Row],[Unique Process Inputs]],Table_Process_Details[Input or Output],"Input")</f>
        <v>0</v>
      </c>
      <c r="ED93" s="138">
        <f ca="1">SUMIFS(Table_Process_Details[RV Energy (MJ) per kg API (SOLVENT)],Table_Process_Details[Display Name],Table_Process_Details[[#This Row],[Unique Process Inputs]],Table_Process_Details[Input or Output],"Input")</f>
        <v>0</v>
      </c>
      <c r="EE93" s="138">
        <f ca="1">SUMIFS(Table_Process_Details[RV Energy (MJ) per kg API (WATER)],Table_Process_Details[Display Name],Table_Process_Details[[#This Row],[Unique Process Inputs]],Table_Process_Details[Input or Output],"Input")</f>
        <v>0</v>
      </c>
      <c r="EF93" s="138">
        <f ca="1">SUMIFS(Table_Process_Details[RV Energy (MJ) per kg API (ENZ&amp;PLNT)],Table_Process_Details[Display Name],Table_Process_Details[[#This Row],[Unique Process Inputs]],Table_Process_Details[Input or Output],"Input")</f>
        <v>0</v>
      </c>
      <c r="EG93" s="138">
        <f ca="1">SUMIFS(Table_Process_Details[RV Energy (MJ) per kg API (OTHER)],Table_Process_Details[Display Name],Table_Process_Details[[#This Row],[Unique Process Inputs]],Table_Process_Details[Input or Output],"Input")</f>
        <v>0</v>
      </c>
      <c r="EH93" s="138" t="e">
        <f ca="1">INDEX(Table_Process_Details[Unique Process Inputs],MATCH(Table_Process_Details[[#This Row],['[Energy (MJ) per kg API'] of Unique Inputs Sorted by '[Energy (MJ) per kg API']]],Table_Process_Details[Total '[Energy (MJ) per kg API'] of Unique Inputs],0))</f>
        <v>#N/A</v>
      </c>
      <c r="EI93" s="132" t="e">
        <f ca="1">IF(LARGE(Table_Process_Details[Total '[Energy (MJ) per kg API'] of Unique Inputs],Table_Process_Details[[#This Row],[Table Row]])=0,NA(),LARGE(Table_Process_Details[Total '[Energy (MJ) per kg API'] of Unique Inputs],Table_Process_Details[[#This Row],[Table Row]]))</f>
        <v>#N/A</v>
      </c>
      <c r="EJ93" s="132" t="e">
        <f ca="1">SUM(OFFSET(Table_Process_Details['[Energy (MJ) per kg API'] of Unique Inputs Sorted by '[Energy (MJ) per kg API']],0,0,Table_Process_Details[[#This Row],[Table Row]]))</f>
        <v>#N/A</v>
      </c>
      <c r="EK93" s="132" t="e">
        <f ca="1">"("&amp;TEXT(Table_Process_Details[[#This Row],['[Energy (MJ) per kg API'] of Unique Inputs Sorted by '[Energy (MJ) per kg API']]]/SUMIF(Table_Process_Details['[Energy (MJ) per kg API'] of Unique Inputs Sorted by '[Energy (MJ) per kg API']],"&lt;&gt;#N/A"),"0%")&amp;")"</f>
        <v>#N/A</v>
      </c>
      <c r="EL93" s="132" t="e">
        <f ca="1">INDEX(Table_Process_Details[Total '[Energy (MJ) per kg API'] of Unique Inputs (REAGENT)], MATCH(Table_Process_Details[[#This Row],[Unique Inputs Sorted by '[Energy (MJ) per kg API']]],Table_Process_Details[Unique Process Inputs],0))</f>
        <v>#N/A</v>
      </c>
      <c r="EM93" s="132" t="e">
        <f ca="1">INDEX(Table_Process_Details[Total '[Energy (MJ) per kg API'] of Unique Inputs (METAL)], MATCH(Table_Process_Details[[#This Row],[Unique Inputs Sorted by '[Energy (MJ) per kg API']]],Table_Process_Details[Unique Process Inputs],0))</f>
        <v>#N/A</v>
      </c>
      <c r="EN93" s="132" t="e">
        <f ca="1">INDEX(Table_Process_Details[Total '[Energy (MJ) per kg API'] of Unique Inputs (SOLVENT)], MATCH(Table_Process_Details[[#This Row],[Unique Inputs Sorted by '[Energy (MJ) per kg API']]],Table_Process_Details[Unique Process Inputs],0))</f>
        <v>#N/A</v>
      </c>
      <c r="EO93" s="132" t="e">
        <f ca="1">INDEX(Table_Process_Details[Total '[Energy (MJ) per kg API'] of Unique Inputs (WATER)], MATCH(Table_Process_Details[[#This Row],[Unique Inputs Sorted by '[Energy (MJ) per kg API']]],Table_Process_Details[Unique Process Inputs],0))</f>
        <v>#N/A</v>
      </c>
      <c r="EP93" s="132" t="e">
        <f ca="1">INDEX(Table_Process_Details[Total '[Energy (MJ) per kg API'] of Unique Inputs (ENZ&amp;PLNT)], MATCH(Table_Process_Details[[#This Row],[Unique Inputs Sorted by '[Energy (MJ) per kg API']]],Table_Process_Details[Unique Process Inputs],0))</f>
        <v>#N/A</v>
      </c>
      <c r="EQ93" s="132" t="e">
        <f ca="1">INDEX(Table_Process_Details[Total '[Energy (MJ) per kg API'] of Unique Inputs (OTHER)], MATCH(Table_Process_Details[[#This Row],[Unique Inputs Sorted by '[Energy (MJ) per kg API']]],Table_Process_Details[Unique Process Inputs],0))</f>
        <v>#N/A</v>
      </c>
      <c r="ER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3" s="136">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3" s="132">
        <f ca="1">SUMIFS(Table_Process_Details[RV GWP (kg CO2 equiv.) per kg API],Table_Process_Details[Display Name],Table_Process_Details[[#This Row],[Unique Process Inputs]],Table_Process_Details[Input or Output],"Input")</f>
        <v>0</v>
      </c>
      <c r="EZ93" s="138">
        <f ca="1">SUMIFS(Table_Process_Details[RV GWP (kg CO2 equiv.) per kg API (REAGENT)],Table_Process_Details[Display Name],Table_Process_Details[[#This Row],[Unique Process Inputs]],Table_Process_Details[Input or Output],"Input")</f>
        <v>0</v>
      </c>
      <c r="FA93" s="138">
        <f ca="1">SUMIFS(Table_Process_Details[RV GWP (kg CO2 equiv.) per kg API (METAL)],Table_Process_Details[Display Name],Table_Process_Details[[#This Row],[Unique Process Inputs]],Table_Process_Details[Input or Output],"Input")</f>
        <v>0</v>
      </c>
      <c r="FB93" s="138">
        <f ca="1">SUMIFS(Table_Process_Details[RV GWP (kg CO2 equiv.) per kg API (SOLVENT)],Table_Process_Details[Display Name],Table_Process_Details[[#This Row],[Unique Process Inputs]],Table_Process_Details[Input or Output],"Input")</f>
        <v>0</v>
      </c>
      <c r="FC93" s="138">
        <f ca="1">SUMIFS(Table_Process_Details[RV GWP (kg CO2 equiv.) per kg API (WATER)],Table_Process_Details[Display Name],Table_Process_Details[[#This Row],[Unique Process Inputs]],Table_Process_Details[Input or Output],"Input")</f>
        <v>0</v>
      </c>
      <c r="FD93" s="138">
        <f ca="1">SUMIFS(Table_Process_Details[RV GWP (kg CO2 equiv.) per kg API (ENZ&amp;PLNT)],Table_Process_Details[Display Name],Table_Process_Details[[#This Row],[Unique Process Inputs]],Table_Process_Details[Input or Output],"Input")</f>
        <v>0</v>
      </c>
      <c r="FE93" s="138">
        <f ca="1">SUMIFS(Table_Process_Details[RV GWP (kg CO2 equiv.) per kg API (OTHER)],Table_Process_Details[Display Name],Table_Process_Details[[#This Row],[Unique Process Inputs]],Table_Process_Details[Input or Output],"Input")</f>
        <v>0</v>
      </c>
      <c r="FF93" s="132" t="e">
        <f ca="1">INDEX(Table_Process_Details[Unique Process Inputs],MATCH(Table_Process_Details[[#This Row],['[GWP (kg CO2 equiv.) per kg API'] of Unique Inputs Sorted by '[GWP (kg CO2 equiv.) per kg API']]],Table_Process_Details[Total '[GWP (kg CO2 equiv.) per kg API'] of Unique Inputs],0))</f>
        <v>#N/A</v>
      </c>
      <c r="FG93" s="132" t="e">
        <f ca="1">IF(LARGE(Table_Process_Details[Total '[GWP (kg CO2 equiv.) per kg API'] of Unique Inputs],Table_Process_Details[[#This Row],[Table Row]])=0,NA(),LARGE(Table_Process_Details[Total '[GWP (kg CO2 equiv.) per kg API'] of Unique Inputs],Table_Process_Details[[#This Row],[Table Row]]))</f>
        <v>#N/A</v>
      </c>
      <c r="FH93" s="132" t="e">
        <f ca="1">SUM(OFFSET(Table_Process_Details['[GWP (kg CO2 equiv.) per kg API'] of Unique Inputs Sorted by '[GWP (kg CO2 equiv.) per kg API']],0,0,Table_Process_Details[[#This Row],[Table Row]]))</f>
        <v>#N/A</v>
      </c>
      <c r="FI93" s="132" t="e">
        <f ca="1">"("&amp;TEXT(Table_Process_Details[[#This Row],['[GWP (kg CO2 equiv.) per kg API'] of Unique Inputs Sorted by '[GWP (kg CO2 equiv.) per kg API']]]/SUMIF(Table_Process_Details['[GWP (kg CO2 equiv.) per kg API'] of Unique Inputs Sorted by '[GWP (kg CO2 equiv.) per kg API']],"&lt;&gt;#N/A"),"0%")&amp;")"</f>
        <v>#N/A</v>
      </c>
      <c r="FJ93" s="132" t="e">
        <f ca="1">INDEX(Table_Process_Details[Total '[GWP (kg CO2 equiv.) per kg API'] of Unique Inputs (REAGENT)], MATCH(Table_Process_Details[[#This Row],[Unique Inputs Sorted by '[GWP (kg CO2 equiv.) per kg API']]],Table_Process_Details[Unique Process Inputs],0))</f>
        <v>#N/A</v>
      </c>
      <c r="FK93" s="132" t="e">
        <f ca="1">INDEX(Table_Process_Details[Total '[GWP (kg CO2 equiv.) per kg API'] of Unique Inputs (METAL)], MATCH(Table_Process_Details[[#This Row],[Unique Inputs Sorted by '[GWP (kg CO2 equiv.) per kg API']]],Table_Process_Details[Unique Process Inputs],0))</f>
        <v>#N/A</v>
      </c>
      <c r="FL93" s="132" t="e">
        <f ca="1">INDEX(Table_Process_Details[Total '[GWP (kg CO2 equiv.) per kg API'] of Unique Inputs (SOLVENT)], MATCH(Table_Process_Details[[#This Row],[Unique Inputs Sorted by '[GWP (kg CO2 equiv.) per kg API']]],Table_Process_Details[Unique Process Inputs],0))</f>
        <v>#N/A</v>
      </c>
      <c r="FM93" s="132" t="e">
        <f ca="1">INDEX(Table_Process_Details[Total '[GWP (kg CO2 equiv.) per kg API'] of Unique Inputs (WATER)], MATCH(Table_Process_Details[[#This Row],[Unique Inputs Sorted by '[GWP (kg CO2 equiv.) per kg API']]],Table_Process_Details[Unique Process Inputs],0))</f>
        <v>#N/A</v>
      </c>
      <c r="FN93" s="132" t="e">
        <f ca="1">INDEX(Table_Process_Details[Total '[GWP (kg CO2 equiv.) per kg API'] of Unique Inputs (ENZ&amp;PLNT)], MATCH(Table_Process_Details[[#This Row],[Unique Inputs Sorted by '[GWP (kg CO2 equiv.) per kg API']]],Table_Process_Details[Unique Process Inputs],0))</f>
        <v>#N/A</v>
      </c>
      <c r="FO93" s="132" t="e">
        <f ca="1">INDEX(Table_Process_Details[Total '[GWP (kg CO2 equiv.) per kg API'] of Unique Inputs (OTHER)], MATCH(Table_Process_Details[[#This Row],[Unique Inputs Sorted by '[GWP (kg CO2 equiv.) per kg API']]],Table_Process_Details[Unique Process Inputs],0))</f>
        <v>#N/A</v>
      </c>
      <c r="FP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3" s="136">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3" s="132">
        <f ca="1">SUMIFS(Table_Process_Details[RV Acidification (kg SO2 equiv.) per kg API],Table_Process_Details[Display Name],Table_Process_Details[[#This Row],[Unique Process Inputs]],Table_Process_Details[Input or Output],"Input")</f>
        <v>0</v>
      </c>
      <c r="FX93" s="138">
        <f ca="1">SUMIFS(Table_Process_Details[RV Acidification (kg SO2 equiv.) per kg API (REAGENT)],Table_Process_Details[Display Name],Table_Process_Details[[#This Row],[Unique Process Inputs]],Table_Process_Details[Input or Output],"Input")</f>
        <v>0</v>
      </c>
      <c r="FY93" s="138">
        <f ca="1">SUMIFS(Table_Process_Details[RV Acidification (kg SO2 equiv.) per kg API (METAL)],Table_Process_Details[Display Name],Table_Process_Details[[#This Row],[Unique Process Inputs]],Table_Process_Details[Input or Output],"Input")</f>
        <v>0</v>
      </c>
      <c r="FZ93" s="138">
        <f ca="1">SUMIFS(Table_Process_Details[RV Acidification (kg SO2 equiv.) per kg API (SOLVENT)],Table_Process_Details[Display Name],Table_Process_Details[[#This Row],[Unique Process Inputs]],Table_Process_Details[Input or Output],"Input")</f>
        <v>0</v>
      </c>
      <c r="GA93" s="138">
        <f ca="1">SUMIFS(Table_Process_Details[RV Acidification (kg SO2 equiv.) per kg API (WATER)],Table_Process_Details[Display Name],Table_Process_Details[[#This Row],[Unique Process Inputs]],Table_Process_Details[Input or Output],"Input")</f>
        <v>0</v>
      </c>
      <c r="GB93" s="138">
        <f ca="1">SUMIFS(Table_Process_Details[RV Acidification (kg SO2 equiv.) per kg API (ENZ&amp;PLNT)],Table_Process_Details[Display Name],Table_Process_Details[[#This Row],[Unique Process Inputs]],Table_Process_Details[Input or Output],"Input")</f>
        <v>0</v>
      </c>
      <c r="GC93" s="138">
        <f ca="1">SUMIFS(Table_Process_Details[RV Acidification (kg SO2 equiv.) per kg API (OTHER)],Table_Process_Details[Display Name],Table_Process_Details[[#This Row],[Unique Process Inputs]],Table_Process_Details[Input or Output],"Input")</f>
        <v>0</v>
      </c>
      <c r="GD93" s="13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3" s="132" t="e">
        <f ca="1">IF(LARGE(Table_Process_Details[Total '[Acidification (kg SO2 equiv.) per kg API'] of Unique Inputs],Table_Process_Details[[#This Row],[Table Row]])=0,NA(),LARGE(Table_Process_Details[Total '[Acidification (kg SO2 equiv.) per kg API'] of Unique Inputs],Table_Process_Details[[#This Row],[Table Row]]))</f>
        <v>#N/A</v>
      </c>
      <c r="GF93" s="132" t="e">
        <f ca="1">SUM(OFFSET(Table_Process_Details['[Acidification (kg SO2 equiv.) per kg API'] of Unique Inputs Sorted by '[Acidification (kg SO2 equiv.) per kg API']],0,0,Table_Process_Details[[#This Row],[Table Row]]))</f>
        <v>#N/A</v>
      </c>
      <c r="GG93" s="13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3" s="132" t="e">
        <f ca="1">INDEX(Table_Process_Details[Total '[Acidification (kg SO2 equiv.) per kg API'] of Unique Inputs (REAGENT)], MATCH(Table_Process_Details[[#This Row],[Unique Inputs Sorted by '[Acidification (kg SO2 equiv.) per kg API']]],Table_Process_Details[Unique Process Inputs],0))</f>
        <v>#N/A</v>
      </c>
      <c r="GI93" s="132" t="e">
        <f ca="1">INDEX(Table_Process_Details[Total '[Acidification (kg SO2 equiv.) per kg API'] of Unique Inputs (METAL)], MATCH(Table_Process_Details[[#This Row],[Unique Inputs Sorted by '[Acidification (kg SO2 equiv.) per kg API']]],Table_Process_Details[Unique Process Inputs],0))</f>
        <v>#N/A</v>
      </c>
      <c r="GJ93" s="132" t="e">
        <f ca="1">INDEX(Table_Process_Details[Total '[Acidification (kg SO2 equiv.) per kg API'] of Unique Inputs (SOLVENT)], MATCH(Table_Process_Details[[#This Row],[Unique Inputs Sorted by '[Acidification (kg SO2 equiv.) per kg API']]],Table_Process_Details[Unique Process Inputs],0))</f>
        <v>#N/A</v>
      </c>
      <c r="GK93" s="132" t="e">
        <f ca="1">INDEX(Table_Process_Details[Total '[Acidification (kg SO2 equiv.) per kg API'] of Unique Inputs (WATER)], MATCH(Table_Process_Details[[#This Row],[Unique Inputs Sorted by '[Acidification (kg SO2 equiv.) per kg API']]],Table_Process_Details[Unique Process Inputs],0))</f>
        <v>#N/A</v>
      </c>
      <c r="GL93" s="132" t="e">
        <f ca="1">INDEX(Table_Process_Details[Total '[Acidification (kg SO2 equiv.) per kg API'] of Unique Inputs (ENZ&amp;PLNT)], MATCH(Table_Process_Details[[#This Row],[Unique Inputs Sorted by '[Acidification (kg SO2 equiv.) per kg API']]],Table_Process_Details[Unique Process Inputs],0))</f>
        <v>#N/A</v>
      </c>
      <c r="GM93" s="132" t="e">
        <f ca="1">INDEX(Table_Process_Details[Total '[Acidification (kg SO2 equiv.) per kg API'] of Unique Inputs (OTHER)], MATCH(Table_Process_Details[[#This Row],[Unique Inputs Sorted by '[Acidification (kg SO2 equiv.) per kg API']]],Table_Process_Details[Unique Process Inputs],0))</f>
        <v>#N/A</v>
      </c>
      <c r="GN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3" s="136">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3" s="132">
        <f ca="1">SUMIFS(Table_Process_Details[RV Eutrophication (kg phosphate equiv.) per kg API],Table_Process_Details[Display Name],Table_Process_Details[[#This Row],[Unique Process Inputs]],Table_Process_Details[Input or Output],"Input")</f>
        <v>0</v>
      </c>
      <c r="GV93" s="138">
        <f ca="1">SUMIFS(Table_Process_Details[RV Eutrophication (kg phosphate equiv.) per kg API (REAGENT)],Table_Process_Details[Display Name],Table_Process_Details[[#This Row],[Unique Process Inputs]],Table_Process_Details[Input or Output],"Input")</f>
        <v>0</v>
      </c>
      <c r="GW93" s="138">
        <f ca="1">SUMIFS(Table_Process_Details[RV Eutrophication (kg phosphate equiv.) per kg API (METAL)],Table_Process_Details[Display Name],Table_Process_Details[[#This Row],[Unique Process Inputs]],Table_Process_Details[Input or Output],"Input")</f>
        <v>0</v>
      </c>
      <c r="GX93" s="138">
        <f ca="1">SUMIFS(Table_Process_Details[RV Eutrophication (kg phosphate equiv.) per kg API (SOLVENT)],Table_Process_Details[Display Name],Table_Process_Details[[#This Row],[Unique Process Inputs]],Table_Process_Details[Input or Output],"Input")</f>
        <v>0</v>
      </c>
      <c r="GY93" s="138">
        <f ca="1">SUMIFS(Table_Process_Details[RV Eutrophication (kg phosphate equiv.) per kg API (WATER)],Table_Process_Details[Display Name],Table_Process_Details[[#This Row],[Unique Process Inputs]],Table_Process_Details[Input or Output],"Input")</f>
        <v>0</v>
      </c>
      <c r="GZ93" s="138">
        <f ca="1">SUMIFS(Table_Process_Details[RV Eutrophication (kg phosphate equiv.) per kg API (ENZ&amp;PLNT)],Table_Process_Details[Display Name],Table_Process_Details[[#This Row],[Unique Process Inputs]],Table_Process_Details[Input or Output],"Input")</f>
        <v>0</v>
      </c>
      <c r="HA93" s="138">
        <f ca="1">SUMIFS(Table_Process_Details[RV Eutrophication (kg phosphate equiv.) per kg API (OTHER)],Table_Process_Details[Display Name],Table_Process_Details[[#This Row],[Unique Process Inputs]],Table_Process_Details[Input or Output],"Input")</f>
        <v>0</v>
      </c>
      <c r="HB93" s="13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3" s="13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3" s="132" t="e">
        <f ca="1">SUM(OFFSET(Table_Process_Details['[Eutrophication (kg posphate equiv.) per kg API'] of Unique Inputs Sorted by '[Eutrophication (kg posphate equiv.) per kg API']],0,0,Table_Process_Details[[#This Row],[Table Row]]))</f>
        <v>#N/A</v>
      </c>
      <c r="HE93" s="13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3" s="138" t="e">
        <f ca="1">INDEX(Table_Process_Details[Total '[Eutrophication (kg posphate equiv.) per kg API'] of Unique Inputs (REAGENT)], MATCH(Table_Process_Details[[#This Row],[Unique Inputs Sorted by '[Eutrophication (kg posphate equiv.) per kg API']]],Table_Process_Details[Unique Process Inputs],0))</f>
        <v>#N/A</v>
      </c>
      <c r="HG93" s="138" t="e">
        <f ca="1">INDEX(Table_Process_Details[Total '[Eutrophication (kg posphate equiv.) per kg API'] of Unique Inputs (METAL)], MATCH(Table_Process_Details[[#This Row],[Unique Inputs Sorted by '[Eutrophication (kg posphate equiv.) per kg API']]],Table_Process_Details[Unique Process Inputs],0))</f>
        <v>#N/A</v>
      </c>
      <c r="HH93" s="138" t="e">
        <f ca="1">INDEX(Table_Process_Details[Total '[Eutrophication (kg posphate equiv.) per kg API'] of Unique Inputs (SOLVENT)], MATCH(Table_Process_Details[[#This Row],[Unique Inputs Sorted by '[Eutrophication (kg posphate equiv.) per kg API']]],Table_Process_Details[Unique Process Inputs],0))</f>
        <v>#N/A</v>
      </c>
      <c r="HI93" s="138" t="e">
        <f ca="1">INDEX(Table_Process_Details[Total '[Eutrophication (kg posphate equiv.) per kg API'] of Unique Inputs (WATER)], MATCH(Table_Process_Details[[#This Row],[Unique Inputs Sorted by '[Eutrophication (kg posphate equiv.) per kg API']]],Table_Process_Details[Unique Process Inputs],0))</f>
        <v>#N/A</v>
      </c>
      <c r="HJ93" s="138" t="e">
        <f ca="1">INDEX(Table_Process_Details[Total '[Eutrophication (kg posphate equiv.) per kg API'] of Unique Inputs (ENZ&amp;PLNT)], MATCH(Table_Process_Details[[#This Row],[Unique Inputs Sorted by '[Eutrophication (kg posphate equiv.) per kg API']]],Table_Process_Details[Unique Process Inputs],0))</f>
        <v>#N/A</v>
      </c>
      <c r="HK93" s="138" t="e">
        <f ca="1">INDEX(Table_Process_Details[Total '[Eutrophication (kg posphate equiv.) per kg API'] of Unique Inputs (OTHER)], MATCH(Table_Process_Details[[#This Row],[Unique Inputs Sorted by '[Eutrophication (kg posphate equiv.) per kg API']]],Table_Process_Details[Unique Process Inputs],0))</f>
        <v>#N/A</v>
      </c>
      <c r="HL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3" s="136">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3" s="138">
        <f ca="1">SUMIFS(Table_Process_Details[RV Water (kg) per kg API],Table_Process_Details[Display Name],Table_Process_Details[[#This Row],[Unique Process Inputs]],Table_Process_Details[Input or Output],"Input")</f>
        <v>0</v>
      </c>
      <c r="HT93" s="138">
        <f ca="1">SUMIFS(Table_Process_Details[RV Water (kg) per kg API (REAGENT)],Table_Process_Details[Display Name],Table_Process_Details[[#This Row],[Unique Process Inputs]],Table_Process_Details[Input or Output],"Input")</f>
        <v>0</v>
      </c>
      <c r="HU93" s="138">
        <f ca="1">SUMIFS(Table_Process_Details[RV Water (kg) per kg API (METAL)],Table_Process_Details[Display Name],Table_Process_Details[[#This Row],[Unique Process Inputs]],Table_Process_Details[Input or Output],"Input")</f>
        <v>0</v>
      </c>
      <c r="HV93" s="138">
        <f ca="1">SUMIFS(Table_Process_Details[RV Water (kg) per kg API (SOLVENT)],Table_Process_Details[Display Name],Table_Process_Details[[#This Row],[Unique Process Inputs]],Table_Process_Details[Input or Output],"Input")</f>
        <v>0</v>
      </c>
      <c r="HW93" s="138">
        <f ca="1">SUMIFS(Table_Process_Details[RV Water (kg) per kg API (WATER)],Table_Process_Details[Display Name],Table_Process_Details[[#This Row],[Unique Process Inputs]],Table_Process_Details[Input or Output],"Input")</f>
        <v>0</v>
      </c>
      <c r="HX93" s="138">
        <f ca="1">SUMIFS(Table_Process_Details[RV Water (kg) per kg API (ENZ&amp;PLNT)],Table_Process_Details[Display Name],Table_Process_Details[[#This Row],[Unique Process Inputs]],Table_Process_Details[Input or Output],"Input")</f>
        <v>0</v>
      </c>
      <c r="HY93" s="138">
        <f ca="1">SUMIFS(Table_Process_Details[RV Water (kg) per kg API (OTHER)],Table_Process_Details[Display Name],Table_Process_Details[[#This Row],[Unique Process Inputs]],Table_Process_Details[Input or Output],"Input")</f>
        <v>0</v>
      </c>
      <c r="HZ93" s="132" t="e">
        <f ca="1">INDEX(Table_Process_Details[Unique Process Inputs],MATCH(Table_Process_Details[[#This Row],['[Water (kg) per kg API'] of Unique Inputs Sorted by '[Water (kg) per kg API']]],Table_Process_Details[Total '[Water (kg) per kg API'] of Unique Inputs],0))</f>
        <v>#N/A</v>
      </c>
      <c r="IA93" s="132" t="e">
        <f ca="1">IF(LARGE(Table_Process_Details[Total '[Water (kg) per kg API'] of Unique Inputs],Table_Process_Details[[#This Row],[Table Row]])=0,NA(),LARGE(Table_Process_Details[Total '[Water (kg) per kg API'] of Unique Inputs],Table_Process_Details[[#This Row],[Table Row]]))</f>
        <v>#N/A</v>
      </c>
      <c r="IB93" s="138" t="e">
        <f ca="1">SUM(OFFSET(Table_Process_Details['[Water (kg) per kg API'] of Unique Inputs Sorted by '[Water (kg) per kg API']],0,0,Table_Process_Details[[#This Row],[Table Row]]))</f>
        <v>#N/A</v>
      </c>
      <c r="IC93" s="138" t="e">
        <f ca="1">"("&amp;TEXT(Table_Process_Details[[#This Row],['[Water (kg) per kg API'] of Unique Inputs Sorted by '[Water (kg) per kg API']]]/SUMIF(Table_Process_Details['[Water (kg) per kg API'] of Unique Inputs Sorted by '[Water (kg) per kg API']],"&lt;&gt;#N/A"),"0%")&amp;")"</f>
        <v>#N/A</v>
      </c>
      <c r="ID93" s="138" t="e">
        <f ca="1">INDEX(Table_Process_Details[Total '[Water (kg) per kg API'] of Unique Inputs (REAGENT)], MATCH(Table_Process_Details[[#This Row],[Unique Inputs Sorted by '[Water (kg) per kg API']]],Table_Process_Details[Unique Process Inputs],0))</f>
        <v>#N/A</v>
      </c>
      <c r="IE93" s="138" t="e">
        <f ca="1">INDEX(Table_Process_Details[Total '[Water (kg) per kg API'] of Unique Inputs (METAL)], MATCH(Table_Process_Details[[#This Row],[Unique Inputs Sorted by '[Water (kg) per kg API']]],Table_Process_Details[Unique Process Inputs],0))</f>
        <v>#N/A</v>
      </c>
      <c r="IF93" s="138" t="e">
        <f ca="1">INDEX(Table_Process_Details[Total '[Water (kg) per kg API'] of Unique Inputs (SOLVENT)], MATCH(Table_Process_Details[[#This Row],[Unique Inputs Sorted by '[Water (kg) per kg API']]],Table_Process_Details[Unique Process Inputs],0))</f>
        <v>#N/A</v>
      </c>
      <c r="IG93" s="138" t="e">
        <f ca="1">INDEX(Table_Process_Details[Total '[Water (kg) per kg API'] of Unique Inputs (WATER)], MATCH(Table_Process_Details[[#This Row],[Unique Inputs Sorted by '[Water (kg) per kg API']]],Table_Process_Details[Unique Process Inputs],0))</f>
        <v>#N/A</v>
      </c>
      <c r="IH93" s="138" t="e">
        <f ca="1">INDEX(Table_Process_Details[Total '[Water (kg) per kg API'] of Unique Inputs (ENZ&amp;PLNT)], MATCH(Table_Process_Details[[#This Row],[Unique Inputs Sorted by '[Water (kg) per kg API']]],Table_Process_Details[Unique Process Inputs],0))</f>
        <v>#N/A</v>
      </c>
      <c r="II93" s="138" t="e">
        <f ca="1">INDEX(Table_Process_Details[Total '[Water (kg) per kg API'] of Unique Inputs (OTHER)], MATCH(Table_Process_Details[[#This Row],[Unique Inputs Sorted by '[Water (kg) per kg API']]],Table_Process_Details[Unique Process Inputs],0))</f>
        <v>#N/A</v>
      </c>
    </row>
    <row r="94" spans="1:243" customFormat="1" x14ac:dyDescent="0.25">
      <c r="A94" s="22" t="str">
        <f>'1. Define Process Steps'!A26</f>
        <v>5) Pure Step</v>
      </c>
      <c r="B94" s="21" t="s">
        <v>4</v>
      </c>
      <c r="C94" s="21" t="s">
        <v>170</v>
      </c>
      <c r="D94" s="22" t="str">
        <f>A93</f>
        <v>4) Synthesis of Intermediate (4)</v>
      </c>
      <c r="E94" s="22" t="str">
        <f>E93</f>
        <v>Intermediate (4)</v>
      </c>
      <c r="F94" s="26">
        <v>30</v>
      </c>
      <c r="G94" s="26"/>
      <c r="H94" s="26"/>
      <c r="I94" s="26"/>
      <c r="J94" s="26" t="str">
        <f>INDEX(Process_Steps[Reference],MATCH(Table_Process_Details[[#This Row],[Step Name]],Process_Steps[Name],0))</f>
        <v>Reference Document for API step</v>
      </c>
      <c r="K94" s="27" t="str">
        <f>INDEX(Process_Steps[Real or Virtual?],MATCH(Table_Process_Details[[#This Row],[Step Name]],Process_Steps[Name],0))</f>
        <v>Real</v>
      </c>
      <c r="L94"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94"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94" s="26">
        <f>INDEX(Table_Process_Details[Physical Mass (kg)],MATCH(1,INDEX(((Table_Process_Details[Step Name]=Table_Process_Details[[#This Row],[Step Name]])*(Table_Process_Details[Input or Output]="Output")),0),0))</f>
        <v>28</v>
      </c>
      <c r="O94" s="29">
        <f ca="1">INDEX(Process_Steps[Step Scale Factor for 1kg Packaged API],MATCH(Table_Process_Details[[#This Row],[Step Name]],Process_Steps[Name],0))</f>
        <v>0.04</v>
      </c>
      <c r="P94"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19.5</v>
      </c>
      <c r="Q94"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1.5</v>
      </c>
      <c r="R94" s="26">
        <f ca="1">_xlfn.SWITCH(Run_Reset_PNG,"Reset",Table_Process_Details[[#This Row],[X Init]],"Run",Table_Process_Details[[#This Row],[X Moved]],"Freeze",Table_Process_Details[[#This Row],[X Mover]])</f>
        <v>24.339733153236988</v>
      </c>
      <c r="S94" s="26">
        <f ca="1">_xlfn.SWITCH(Run_Reset_PNG,"Reset",Table_Process_Details[[#This Row],[Y Init]],"Run",Table_Process_Details[[#This Row],[Y Moved]],"Freeze",Table_Process_Details[[#This Row],[Y Mover]])</f>
        <v>2.2049247340586113</v>
      </c>
      <c r="T94" s="26" cm="1">
        <f t="array" aca="1" ref="T94"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-0.81895509100681041</v>
      </c>
      <c r="U94" s="26" cm="1">
        <f t="array" aca="1" ref="U94"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1.4682646161402209</v>
      </c>
      <c r="V94" s="26" cm="1">
        <f t="array" aca="1" ref="V94" ca="1">SUM(--(SQRT((Table_Process_Details[[#This Row],[X Mover]]-Table_Process_Details[X Mover])^2+(Table_Process_Details[[#This Row],[Y Mover]]-Table_Process_Details[Y Mover])^2)&lt;Collision_Distance))</f>
        <v>15</v>
      </c>
      <c r="W94" s="26" cm="1">
        <f t="array" aca="1" ref="W94"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0.2810253895087933</v>
      </c>
      <c r="X94" s="26" cm="1">
        <f t="array" aca="1" ref="X94"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-0.17363242253395017</v>
      </c>
      <c r="Y94" s="26" cm="1">
        <f t="array" aca="1" ref="Y94"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94" s="26">
        <f>0</f>
        <v>0</v>
      </c>
      <c r="AA94" s="26">
        <f>0</f>
        <v>0</v>
      </c>
      <c r="AB94"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-12.169866576618494</v>
      </c>
      <c r="AC94" s="26" cm="1">
        <f t="array" aca="1" ref="AC94"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-1.1024623670293057</v>
      </c>
      <c r="AD94" s="26">
        <f>MIN(1,COUNTA(Table_Process_Details[[#This Row],[target x]]),COUNTA(Table_Process_Details[[#This Row],[target y]]))*COUNTA(Table_Process_Details[Step Name])</f>
        <v>98</v>
      </c>
      <c r="AE94"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24.301466529917953</v>
      </c>
      <c r="AF94"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2.2047432145442225</v>
      </c>
      <c r="AG94"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94" s="26" cm="1">
        <f t="array" aca="1" ref="AH94" ca="1">INDEX(Table_Process_Details[X Mover],MATCH(1,INDEX((Table_Process_Details[Input or Output]="Output")*(Table_Process_Details[Step Name]=Table_Process_Details[[#This Row],[Step Name]])*(Table_Process_Details[[#This Row],[Input or Output]]="Input"),0),0))</f>
        <v>29.895118457910893</v>
      </c>
      <c r="AI94" s="26" cm="1">
        <f t="array" aca="1" ref="AI94" ca="1">INDEX(Table_Process_Details[Y Mover],MATCH(1,INDEX((Table_Process_Details[Input or Output]="Output")*(Table_Process_Details[Step Name]=Table_Process_Details[[#This Row],[Step Name]])*(Table_Process_Details[[#This Row],[Input or Output]]="Input"),0),0))</f>
        <v>4.5668200309955704</v>
      </c>
      <c r="AJ94" s="26">
        <f ca="1">SQRT((Table_Process_Details[[#This Row],[X End (To Node Center)]]-Table_Process_Details[[#This Row],[X Guide]])^2+(Table_Process_Details[[#This Row],[Y End (to Node Center)]]-Table_Process_Details[[#This Row],[Y Guide]])^2)</f>
        <v>6.0366261501835368</v>
      </c>
      <c r="AK94" s="26" cm="1">
        <f t="array" aca="1" ref="AK94" ca="1">INDEX(Table_Process_Details[X Mover],MATCH(1,INDEX((Table_Process_Details[Step Name]=Table_Process_Details[[#This Row],[LCA Data Source Subclass]])*(Table_Process_Details[Input or Output]="Output"),0)*(Table_Process_Details[[#This Row],[Input or Output]]="Input"),0))</f>
        <v>19.635390140975865</v>
      </c>
      <c r="AL94" s="26" cm="1">
        <f t="array" aca="1" ref="AL94" ca="1">INDEX(Table_Process_Details[X Mover],MATCH(1,INDEX(((Table_Process_Details[Table Row]=Table_Process_Details[[#This Row],[Table Row]])*(1)),0)*(Table_Process_Details[[#This Row],[Input or Output]]="Input"),0))</f>
        <v>24.339733153236988</v>
      </c>
      <c r="AM94" s="26" cm="1">
        <f t="array" aca="1" ref="AM94" ca="1">(Table_Process_Details[[#This Row],[X End (To Node Center)]]*Table_Process_Details[[#This Row],[r0]]-Table_Process_Details[[#This Row],[X End (To Node Center)]]*Arrow_Offset+Table_Process_Details[[#This Row],[X Guide]]*Arrow_Offset)/Table_Process_Details[[#This Row],[r0]]</f>
        <v>29.158894591603719</v>
      </c>
      <c r="AN94" s="26">
        <f ca="1">IF(NOT(Table_Process_Details[[#This Row],[Display As]]="None"),Table_Process_Details[[#This Row],[X Start Prefilter]],NA())</f>
        <v>19.635390140975865</v>
      </c>
      <c r="AO94" s="26">
        <f ca="1">IF(NOT(Table_Process_Details[[#This Row],[Display As]]="None"),Table_Process_Details[[#This Row],[X Guide Prefilter]],NA())</f>
        <v>24.339733153236988</v>
      </c>
      <c r="AP94" s="26">
        <f ca="1">IF(NOT(Table_Process_Details[[#This Row],[Display As]]="None"),Table_Process_Details[[#This Row],[X End (to Stop Radius) Prefilter]],NA())</f>
        <v>29.158894591603719</v>
      </c>
      <c r="AQ94" s="26" t="e">
        <f>NA()</f>
        <v>#N/A</v>
      </c>
      <c r="AR94" s="26" cm="1">
        <f t="array" aca="1" ref="AR94" ca="1">INDEX(Table_Process_Details[Y Mover],MATCH(1,INDEX((Table_Process_Details[Step Name]=Table_Process_Details[[#This Row],[LCA Data Source Subclass]])*(Table_Process_Details[Input or Output]="Output"),0)*(Table_Process_Details[[#This Row],[Input or Output]]="Input"),0))</f>
        <v>-1.0304434005151315</v>
      </c>
      <c r="AS94" s="26" cm="1">
        <f t="array" aca="1" ref="AS94" ca="1">INDEX(Table_Process_Details[Y Mover],MATCH(1,INDEX(((Table_Process_Details[Table Row]=Table_Process_Details[[#This Row],[Table Row]])*(1)),0)*(Table_Process_Details[[#This Row],[Input or Output]]="Input"),0))</f>
        <v>2.2049247340586113</v>
      </c>
      <c r="AT94" s="26" cm="1">
        <f t="array" aca="1" ref="AT94" ca="1">(Table_Process_Details[[#This Row],[Y Guide]]*Arrow_Offset-Table_Process_Details[[#This Row],[Y End (to Node Center)]]*Arrow_Offset+Table_Process_Details[[#This Row],[Y End (to Node Center)]]*Table_Process_Details[[#This Row],[r0]])/Table_Process_Details[[#This Row],[r0]]</f>
        <v>4.2538113750773769</v>
      </c>
      <c r="AU94" s="26">
        <f ca="1">IF(NOT(Table_Process_Details[[#This Row],[Display As]]="None"),Table_Process_Details[[#This Row],[Y Start Prefilter]],NA())</f>
        <v>-1.0304434005151315</v>
      </c>
      <c r="AV94" s="26">
        <f ca="1">IF(NOT(Table_Process_Details[[#This Row],[Display As]]="None"),Table_Process_Details[[#This Row],[Y Guide Prefilter]],NA())</f>
        <v>2.2049247340586113</v>
      </c>
      <c r="AW94" s="26">
        <f ca="1">IF(NOT(Table_Process_Details[[#This Row],[Display As]]="None"),Table_Process_Details[[#This Row],[Y End (to Stop Radius) Prefilter]],NA())</f>
        <v>4.2538113750773769</v>
      </c>
      <c r="AX94" s="26" t="e">
        <f>NA()</f>
        <v>#N/A</v>
      </c>
      <c r="AY94" s="26" t="e">
        <f>IF(Table_Process_Details[[#This Row],[Display As]]="Real Step",Table_Process_Details[[#This Row],[X Mover]],NA())</f>
        <v>#N/A</v>
      </c>
      <c r="AZ94" s="26" t="e">
        <f>IF(Table_Process_Details[[#This Row],[Display As]]="Real Step",Table_Process_Details[[#This Row],[Y Mover]],NA())</f>
        <v>#N/A</v>
      </c>
      <c r="BA94" s="26" t="e">
        <f>IF(Table_Process_Details[[#This Row],[Display As]]="Raw Material",Table_Process_Details[[#This Row],[X Mover]],NA())</f>
        <v>#N/A</v>
      </c>
      <c r="BB94" s="26" t="e">
        <f>IF(Table_Process_Details[[#This Row],[Display As]]="Raw Material",Table_Process_Details[[#This Row],[Y Mover]],NA())</f>
        <v>#N/A</v>
      </c>
      <c r="BC94" s="26" t="e">
        <f>IF(OR(Table_Process_Details[[#This Row],[Display As]]="Real Step",Table_Process_Details[[#This Row],[Display As]]="Raw Material"),Table_Process_Details[[#This Row],[X Mover]],NA())</f>
        <v>#N/A</v>
      </c>
      <c r="BD94" s="26" t="e">
        <f>IF(OR(Table_Process_Details[[#This Row],[Display As]]="Real Step",Table_Process_Details[[#This Row],[Display As]]="Raw Material"),Table_Process_Details[[#This Row],[Y Mover]],NA())</f>
        <v>#N/A</v>
      </c>
      <c r="BE94" s="22">
        <f>ROW()-ROW(Table_Process_Details[[#Headers],[Table Row]])</f>
        <v>90</v>
      </c>
      <c r="BF94" s="23" t="e" cm="1">
        <f t="array" aca="1" ref="BF94" ca="1">INDEX(Table_Process_Details[Display Name],MATCH(0,IF(Table_Process_Details[Input or Output]="Input",INDEX(COUNTIF(OFFSET(Table_Process_Details[[#Headers],[Unique Process Inputs]],0,0,Table_Process_Details[[#This Row],[Table Row]],1),Table_Process_Details[Display Name]),),""),0))</f>
        <v>#N/A</v>
      </c>
      <c r="BG94" s="23">
        <f ca="1">Table_Process_Details[[#This Row],[Physical Mass (kg)]]*Table_Process_Details[[#This Row],[Step Scale Factor for 1kg Packaged API]]</f>
        <v>1.2</v>
      </c>
      <c r="BH94"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0.99999999999999911</v>
      </c>
      <c r="BI94" s="23">
        <f ca="1">MATCH(Table_Process_Details[[#This Row],[LCA Data Source Class]],INDIRECT(Table_Process_Details[[#This Row],[Input or Output]]),0)</f>
        <v>1</v>
      </c>
      <c r="BJ94" s="23">
        <f ca="1">MATCH(Table_Process_Details[[#This Row],[LCA Data Source Subclass]],INDIRECT(Table_Process_Details[[#This Row],[LCA Data Source Class]]&amp;"[Name]"),0)</f>
        <v>19</v>
      </c>
      <c r="BK94" s="23">
        <f ca="1">IFERROR(INDEX(INDIRECT(Table_Process_Details[[#This Row],[LCA Data Source Class]]&amp;"[Mass Net (kg)]"),MATCH(Table_Process_Details[[#This Row],[LCA Data Source Subclass]],INDIRECT(Table_Process_Details[[#This Row],[LCA Data Source Class]]&amp;"[Name]"),0)),0)</f>
        <v>0</v>
      </c>
      <c r="BL94" s="23">
        <f ca="1">IFERROR(INDEX(INDIRECT(Table_Process_Details[[#This Row],[LCA Data Source Class]]&amp;"[Energy (MJ)]"),MATCH(Table_Process_Details[[#This Row],[LCA Data Source Subclass]],INDIRECT(Table_Process_Details[[#This Row],[LCA Data Source Class]]&amp;"[Name]"),0)),0)</f>
        <v>0</v>
      </c>
      <c r="BM94" s="23">
        <f ca="1">IFERROR(INDEX(INDIRECT(Table_Process_Details[[#This Row],[LCA Data Source Class]]&amp;"[GWP (kg CO2 equiv.)]"),MATCH(Table_Process_Details[[#This Row],[LCA Data Source Subclass]],INDIRECT(Table_Process_Details[[#This Row],[LCA Data Source Class]]&amp;"[Name]"),0)),0)</f>
        <v>0</v>
      </c>
      <c r="BN94" s="23">
        <f ca="1">IFERROR(INDEX(INDIRECT(Table_Process_Details[[#This Row],[LCA Data Source Class]]&amp;"[Acidification (kg SO2 equiv.)]"),MATCH(Table_Process_Details[[#This Row],[LCA Data Source Subclass]],INDIRECT(Table_Process_Details[[#This Row],[LCA Data Source Class]]&amp;"[Name]"),0)),0)</f>
        <v>0</v>
      </c>
      <c r="BO94" s="23">
        <f ca="1">IFERROR(INDEX(INDIRECT(Table_Process_Details[[#This Row],[LCA Data Source Class]]&amp;"[Eutrophication (kg posphate equiv.)]"),MATCH(Table_Process_Details[[#This Row],[LCA Data Source Subclass]],INDIRECT(Table_Process_Details[[#This Row],[LCA Data Source Class]]&amp;"[Name]"),0)),0)</f>
        <v>0</v>
      </c>
      <c r="BP94" s="23">
        <f ca="1">IFERROR(INDEX(INDIRECT(Table_Process_Details[[#This Row],[LCA Data Source Class]]&amp;"[Water (kg)]"),MATCH(Table_Process_Details[[#This Row],[LCA Data Source Subclass]],INDIRECT(Table_Process_Details[[#This Row],[LCA Data Source Class]]&amp;"[Name]"),0)),0)</f>
        <v>0</v>
      </c>
      <c r="BQ94" s="27">
        <f ca="1">(Table_Process_Details[[#This Row],[Input or Output]]="Input")*(Table_Process_Details[[#This Row],[LCA Data Source Class]]&lt;&gt;"Process_Steps")*Table_Process_Details[[#This Row],[Scaled Physical Mass per kg API for All Inputs &amp; Outputs]]</f>
        <v>0</v>
      </c>
      <c r="BR94" s="27">
        <f ca="1">(Table_Process_Details[[#This Row],[Material Class]]="REAGENT")*Table_Process_Details[[#This Row],[Physical Mass per kg API]]</f>
        <v>0</v>
      </c>
      <c r="BS94" s="27">
        <f ca="1">(Table_Process_Details[[#This Row],[Material Class]]="METAL")*Table_Process_Details[[#This Row],[Physical Mass per kg API]]</f>
        <v>0</v>
      </c>
      <c r="BT94" s="27">
        <f ca="1">(Table_Process_Details[[#This Row],[Material Class]]="SOLVENT")*Table_Process_Details[[#This Row],[Physical Mass per kg API]]</f>
        <v>0</v>
      </c>
      <c r="BU94" s="27">
        <f ca="1">(Table_Process_Details[[#This Row],[Material Class]]="WATER")*Table_Process_Details[[#This Row],[Physical Mass per kg API]]</f>
        <v>0</v>
      </c>
      <c r="BV94" s="27">
        <f ca="1">(Table_Process_Details[[#This Row],[Material Class]]="ENZ&amp;PLNT")*Table_Process_Details[[#This Row],[Physical Mass per kg API]]</f>
        <v>0</v>
      </c>
      <c r="BW94" s="27">
        <f ca="1">(Table_Process_Details[[#This Row],[Material Class]]="OTHER")*Table_Process_Details[[#This Row],[Physical Mass per kg API]]</f>
        <v>0</v>
      </c>
      <c r="BX94"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94"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4"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4"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4"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4"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4"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4" s="1">
        <f ca="1">SUMIFS(Table_Process_Details[RV Physical Mass per kg API],Table_Process_Details[Display Name],Table_Process_Details[[#This Row],[Unique Process Inputs]],Table_Process_Details[Input or Output],"Input")</f>
        <v>0</v>
      </c>
      <c r="CF94" s="1">
        <f ca="1">SUMIFS(Table_Process_Details[RV Physical Mass per kg API (REAGENT)],Table_Process_Details[Display Name],Table_Process_Details[[#This Row],[Unique Process Inputs]],Table_Process_Details[Input or Output],"Input")</f>
        <v>0</v>
      </c>
      <c r="CG94" s="1">
        <f ca="1">SUMIFS(Table_Process_Details[RV Physical Mass per kg API (METAL)],Table_Process_Details[Display Name],Table_Process_Details[[#This Row],[Unique Process Inputs]],Table_Process_Details[Input or Output],"Input")</f>
        <v>0</v>
      </c>
      <c r="CH94" s="1">
        <f ca="1">SUMIFS(Table_Process_Details[RV Physical Mass per kg API (SOLVENT)],Table_Process_Details[Display Name],Table_Process_Details[[#This Row],[Unique Process Inputs]],Table_Process_Details[Input or Output],"Input")</f>
        <v>0</v>
      </c>
      <c r="CI94" s="1">
        <f ca="1">SUMIFS(Table_Process_Details[RV Physical Mass per kg API (WATER)],Table_Process_Details[Display Name],Table_Process_Details[[#This Row],[Unique Process Inputs]],Table_Process_Details[Input or Output],"Input")</f>
        <v>0</v>
      </c>
      <c r="CJ94" s="1">
        <f ca="1">SUMIFS(Table_Process_Details[RV Physical Mass per kg API (ENZ&amp;PLNT)],Table_Process_Details[Display Name],Table_Process_Details[[#This Row],[Unique Process Inputs]],Table_Process_Details[Input or Output],"Input")</f>
        <v>0</v>
      </c>
      <c r="CK94" s="1">
        <f ca="1">SUMIFS(Table_Process_Details[RV Physical Mass per kg API (OTHER)],Table_Process_Details[Display Name],Table_Process_Details[[#This Row],[Unique Process Inputs]],Table_Process_Details[Input or Output],"Input")</f>
        <v>0</v>
      </c>
      <c r="CL94" s="22" t="e">
        <f ca="1">INDEX(Table_Process_Details[Unique Process Inputs],MATCH(Table_Process_Details[[#This Row],['[Physical Mass per kg API'] of Unique Inputs Sorted by '[Physical Mass per kg API']]],Table_Process_Details[Total '[Physical Mass per kg API'] of Unique Inputs],0))</f>
        <v>#N/A</v>
      </c>
      <c r="CM94" s="22" t="e">
        <f ca="1">IF(LARGE(Table_Process_Details[Total '[Physical Mass per kg API'] of Unique Inputs],Table_Process_Details[[#This Row],[Table Row]])=0,NA(),LARGE(Table_Process_Details[Total '[Physical Mass per kg API'] of Unique Inputs],Table_Process_Details[[#This Row],[Table Row]]))</f>
        <v>#N/A</v>
      </c>
      <c r="CN94" s="22" t="e">
        <f ca="1">SUM(OFFSET(Table_Process_Details['[Physical Mass per kg API'] of Unique Inputs Sorted by '[Physical Mass per kg API']],0,0,Table_Process_Details[[#This Row],[Table Row]]))</f>
        <v>#N/A</v>
      </c>
      <c r="CO94" s="22" t="e">
        <f ca="1">"("&amp;TEXT(Table_Process_Details[[#This Row],['[Physical Mass per kg API'] of Unique Inputs Sorted by '[Physical Mass per kg API']]]/SUMIF(Table_Process_Details['[Physical Mass per kg API'] of Unique Inputs Sorted by '[Physical Mass per kg API']],"&lt;&gt;#N/A"),"0%")&amp;")"</f>
        <v>#N/A</v>
      </c>
      <c r="CP94" s="22" t="e">
        <f ca="1">INDEX(Table_Process_Details[Total '[Physical Mass per kg API'] of Unique Inputs (REAGENT)],MATCH(Table_Process_Details[[#This Row],[Unique Inputs Sorted by '[Physical Mass per kg API']]],Table_Process_Details[Unique Process Inputs],0))</f>
        <v>#N/A</v>
      </c>
      <c r="CQ94" s="22" t="e">
        <f ca="1">INDEX(Table_Process_Details[Total '[Physical Mass per kg API'] of Unique Inputs (METAL)],MATCH(Table_Process_Details[[#This Row],[Unique Inputs Sorted by '[Physical Mass per kg API']]],Table_Process_Details[Unique Process Inputs],0))</f>
        <v>#N/A</v>
      </c>
      <c r="CR94" s="22" t="e">
        <f ca="1">INDEX(Table_Process_Details[Total '[Physical Mass per kg API'] of Unique Inputs (SOLVENT)],MATCH(Table_Process_Details[[#This Row],[Unique Inputs Sorted by '[Physical Mass per kg API']]],Table_Process_Details[Unique Process Inputs],0))</f>
        <v>#N/A</v>
      </c>
      <c r="CS94" s="22" t="e">
        <f ca="1">INDEX(Table_Process_Details[Total '[Physical Mass per kg API'] of Unique Inputs (WATER)],MATCH(Table_Process_Details[[#This Row],[Unique Inputs Sorted by '[Physical Mass per kg API']]],Table_Process_Details[Unique Process Inputs],0))</f>
        <v>#N/A</v>
      </c>
      <c r="CT94" s="22" t="e">
        <f ca="1">INDEX(Table_Process_Details[Total '[Physical Mass per kg API'] of Unique Inputs (ENZ&amp;PLNT)],MATCH(Table_Process_Details[[#This Row],[Unique Inputs Sorted by '[Physical Mass per kg API']]],Table_Process_Details[Unique Process Inputs],0))</f>
        <v>#N/A</v>
      </c>
      <c r="CU94" s="22" t="e">
        <f ca="1">INDEX(Table_Process_Details[Total '[Physical Mass per kg API'] of Unique Inputs (OTHER)],MATCH(Table_Process_Details[[#This Row],[Unique Inputs Sorted by '[Physical Mass per kg API']]],Table_Process_Details[Unique Process Inputs],0))</f>
        <v>#N/A</v>
      </c>
      <c r="CV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4"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4" s="22">
        <f ca="1">SUMIFS(Table_Process_Details[RV Mass Net (kg) per kg API],Table_Process_Details[Display Name],Table_Process_Details[[#This Row],[Unique Process Inputs]],Table_Process_Details[Input or Output],"Input")</f>
        <v>0</v>
      </c>
      <c r="DD94" s="22">
        <f ca="1">SUMIFS(Table_Process_Details[RV Mass Net (kg) per kg API (REAGENT)],Table_Process_Details[Display Name],Table_Process_Details[[#This Row],[Unique Process Inputs]],Table_Process_Details[Input or Output],"Input")</f>
        <v>0</v>
      </c>
      <c r="DE94" s="22">
        <f ca="1">SUMIFS(Table_Process_Details[RV Mass Net (kg) per kg API (METAL)],Table_Process_Details[Display Name],Table_Process_Details[[#This Row],[Unique Process Inputs]],Table_Process_Details[Input or Output],"Input")</f>
        <v>0</v>
      </c>
      <c r="DF94" s="22">
        <f ca="1">SUMIFS(Table_Process_Details[RV Mass Net (kg) per kg API (SOLVENT)],Table_Process_Details[Display Name],Table_Process_Details[[#This Row],[Unique Process Inputs]],Table_Process_Details[Input or Output],"Input")</f>
        <v>0</v>
      </c>
      <c r="DG94" s="22">
        <f ca="1">SUMIFS(Table_Process_Details[RV Mass Net (kg) per kg API (WATER)],Table_Process_Details[Display Name],Table_Process_Details[[#This Row],[Unique Process Inputs]],Table_Process_Details[Input or Output],"Input")</f>
        <v>0</v>
      </c>
      <c r="DH94" s="22">
        <f ca="1">SUMIFS(Table_Process_Details[RV Mass Net (kg) per kg API (ENZ&amp;PLNT)],Table_Process_Details[Display Name],Table_Process_Details[[#This Row],[Unique Process Inputs]],Table_Process_Details[Input or Output],"Input")</f>
        <v>0</v>
      </c>
      <c r="DI94" s="22">
        <f ca="1">SUMIFS(Table_Process_Details[RV Mass Net (kg) per kg API (OTHER)],Table_Process_Details[Display Name],Table_Process_Details[[#This Row],[Unique Process Inputs]],Table_Process_Details[Input or Output],"Input")</f>
        <v>0</v>
      </c>
      <c r="DJ94" s="22" t="e">
        <f ca="1">INDEX(Table_Process_Details[Unique Process Inputs],MATCH(Table_Process_Details[[#This Row],['[Mass Net (kg) per kg API'] of Unique Inputs Sorted by '[Mass Net (kg) per kg API']]],Table_Process_Details[Total '[Mass Net (kg) per kg API'] of Unique Inputs],0))</f>
        <v>#N/A</v>
      </c>
      <c r="DK94" s="22" t="e">
        <f ca="1">IF(LARGE(Table_Process_Details[Total '[Mass Net (kg) per kg API'] of Unique Inputs],Table_Process_Details[[#This Row],[Table Row]])=0,NA(),LARGE(Table_Process_Details[Total '[Mass Net (kg) per kg API'] of Unique Inputs],Table_Process_Details[[#This Row],[Table Row]]))</f>
        <v>#N/A</v>
      </c>
      <c r="DL94" s="22" t="e">
        <f ca="1">SUM(OFFSET(Table_Process_Details['[Mass Net (kg) per kg API'] of Unique Inputs Sorted by '[Mass Net (kg) per kg API']],0,0,Table_Process_Details[[#This Row],[Table Row]]))</f>
        <v>#N/A</v>
      </c>
      <c r="DM94" s="22" t="e">
        <f ca="1">"("&amp;TEXT(Table_Process_Details[[#This Row],['[Mass Net (kg) per kg API'] of Unique Inputs Sorted by '[Mass Net (kg) per kg API']]]/SUMIF(Table_Process_Details['[Mass Net (kg) per kg API'] of Unique Inputs Sorted by '[Mass Net (kg) per kg API']],"&lt;&gt;#N/A"),"0%")&amp;")"</f>
        <v>#N/A</v>
      </c>
      <c r="DN94" s="22" t="e">
        <f ca="1">INDEX(Table_Process_Details[Total '[Mass Net (kg) per kg API'] of Unique Inputs (REAGENT)], MATCH(Table_Process_Details[[#This Row],[Unique Inputs Sorted by '[Mass Net (kg) per kg API']]],Table_Process_Details[Unique Process Inputs],0))</f>
        <v>#N/A</v>
      </c>
      <c r="DO94" s="22" t="e">
        <f ca="1">INDEX(Table_Process_Details[Total '[Mass Net (kg) per kg API'] of Unique Inputs (METAL)], MATCH(Table_Process_Details[[#This Row],[Unique Inputs Sorted by '[Mass Net (kg) per kg API']]],Table_Process_Details[Unique Process Inputs],0))</f>
        <v>#N/A</v>
      </c>
      <c r="DP94" s="22" t="e">
        <f ca="1">INDEX(Table_Process_Details[Total '[Mass Net (kg) per kg API'] of Unique Inputs (SOLVENT)], MATCH(Table_Process_Details[[#This Row],[Unique Inputs Sorted by '[Mass Net (kg) per kg API']]],Table_Process_Details[Unique Process Inputs],0))</f>
        <v>#N/A</v>
      </c>
      <c r="DQ94" s="22" t="e">
        <f ca="1">INDEX(Table_Process_Details[Total '[Mass Net (kg) per kg API'] of Unique Inputs (WATER)], MATCH(Table_Process_Details[[#This Row],[Unique Inputs Sorted by '[Mass Net (kg) per kg API']]],Table_Process_Details[Unique Process Inputs],0))</f>
        <v>#N/A</v>
      </c>
      <c r="DR94" s="22" t="e">
        <f ca="1">INDEX(Table_Process_Details[Total '[Mass Net (kg) per kg API'] of Unique Inputs (ENZ&amp;PLNT)], MATCH(Table_Process_Details[[#This Row],[Unique Inputs Sorted by '[Mass Net (kg) per kg API']]],Table_Process_Details[Unique Process Inputs],0))</f>
        <v>#N/A</v>
      </c>
      <c r="DS94" s="22" t="e">
        <f ca="1">INDEX(Table_Process_Details[Total '[Mass Net (kg) per kg API'] of Unique Inputs (OTHER)], MATCH(Table_Process_Details[[#This Row],[Unique Inputs Sorted by '[Mass Net (kg) per kg API']]],Table_Process_Details[Unique Process Inputs],0))</f>
        <v>#N/A</v>
      </c>
      <c r="DT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4"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4" s="1">
        <f ca="1">SUMIFS(Table_Process_Details[RV Energy (MJ) per kg API],Table_Process_Details[Display Name],Table_Process_Details[[#This Row],[Unique Process Inputs]],Table_Process_Details[Input or Output],"Input")</f>
        <v>0</v>
      </c>
      <c r="EB94" s="1">
        <f ca="1">SUMIFS(Table_Process_Details[RV Energy (MJ) per kg API (REAGENT)],Table_Process_Details[Display Name],Table_Process_Details[[#This Row],[Unique Process Inputs]],Table_Process_Details[Input or Output],"Input")</f>
        <v>0</v>
      </c>
      <c r="EC94" s="1">
        <f ca="1">SUMIFS(Table_Process_Details[RV Energy (MJ) per kg API (METAL)],Table_Process_Details[Display Name],Table_Process_Details[[#This Row],[Unique Process Inputs]],Table_Process_Details[Input or Output],"Input")</f>
        <v>0</v>
      </c>
      <c r="ED94" s="1">
        <f ca="1">SUMIFS(Table_Process_Details[RV Energy (MJ) per kg API (SOLVENT)],Table_Process_Details[Display Name],Table_Process_Details[[#This Row],[Unique Process Inputs]],Table_Process_Details[Input or Output],"Input")</f>
        <v>0</v>
      </c>
      <c r="EE94" s="1">
        <f ca="1">SUMIFS(Table_Process_Details[RV Energy (MJ) per kg API (WATER)],Table_Process_Details[Display Name],Table_Process_Details[[#This Row],[Unique Process Inputs]],Table_Process_Details[Input or Output],"Input")</f>
        <v>0</v>
      </c>
      <c r="EF94" s="1">
        <f ca="1">SUMIFS(Table_Process_Details[RV Energy (MJ) per kg API (ENZ&amp;PLNT)],Table_Process_Details[Display Name],Table_Process_Details[[#This Row],[Unique Process Inputs]],Table_Process_Details[Input or Output],"Input")</f>
        <v>0</v>
      </c>
      <c r="EG94" s="1">
        <f ca="1">SUMIFS(Table_Process_Details[RV Energy (MJ) per kg API (OTHER)],Table_Process_Details[Display Name],Table_Process_Details[[#This Row],[Unique Process Inputs]],Table_Process_Details[Input or Output],"Input")</f>
        <v>0</v>
      </c>
      <c r="EH94" s="1" t="e">
        <f ca="1">INDEX(Table_Process_Details[Unique Process Inputs],MATCH(Table_Process_Details[[#This Row],['[Energy (MJ) per kg API'] of Unique Inputs Sorted by '[Energy (MJ) per kg API']]],Table_Process_Details[Total '[Energy (MJ) per kg API'] of Unique Inputs],0))</f>
        <v>#N/A</v>
      </c>
      <c r="EI94" s="22" t="e">
        <f ca="1">IF(LARGE(Table_Process_Details[Total '[Energy (MJ) per kg API'] of Unique Inputs],Table_Process_Details[[#This Row],[Table Row]])=0,NA(),LARGE(Table_Process_Details[Total '[Energy (MJ) per kg API'] of Unique Inputs],Table_Process_Details[[#This Row],[Table Row]]))</f>
        <v>#N/A</v>
      </c>
      <c r="EJ94" s="22" t="e">
        <f ca="1">SUM(OFFSET(Table_Process_Details['[Energy (MJ) per kg API'] of Unique Inputs Sorted by '[Energy (MJ) per kg API']],0,0,Table_Process_Details[[#This Row],[Table Row]]))</f>
        <v>#N/A</v>
      </c>
      <c r="EK94" s="22" t="e">
        <f ca="1">"("&amp;TEXT(Table_Process_Details[[#This Row],['[Energy (MJ) per kg API'] of Unique Inputs Sorted by '[Energy (MJ) per kg API']]]/SUMIF(Table_Process_Details['[Energy (MJ) per kg API'] of Unique Inputs Sorted by '[Energy (MJ) per kg API']],"&lt;&gt;#N/A"),"0%")&amp;")"</f>
        <v>#N/A</v>
      </c>
      <c r="EL94" s="22" t="e">
        <f ca="1">INDEX(Table_Process_Details[Total '[Energy (MJ) per kg API'] of Unique Inputs (REAGENT)], MATCH(Table_Process_Details[[#This Row],[Unique Inputs Sorted by '[Energy (MJ) per kg API']]],Table_Process_Details[Unique Process Inputs],0))</f>
        <v>#N/A</v>
      </c>
      <c r="EM94" s="22" t="e">
        <f ca="1">INDEX(Table_Process_Details[Total '[Energy (MJ) per kg API'] of Unique Inputs (METAL)], MATCH(Table_Process_Details[[#This Row],[Unique Inputs Sorted by '[Energy (MJ) per kg API']]],Table_Process_Details[Unique Process Inputs],0))</f>
        <v>#N/A</v>
      </c>
      <c r="EN94" s="22" t="e">
        <f ca="1">INDEX(Table_Process_Details[Total '[Energy (MJ) per kg API'] of Unique Inputs (SOLVENT)], MATCH(Table_Process_Details[[#This Row],[Unique Inputs Sorted by '[Energy (MJ) per kg API']]],Table_Process_Details[Unique Process Inputs],0))</f>
        <v>#N/A</v>
      </c>
      <c r="EO94" s="22" t="e">
        <f ca="1">INDEX(Table_Process_Details[Total '[Energy (MJ) per kg API'] of Unique Inputs (WATER)], MATCH(Table_Process_Details[[#This Row],[Unique Inputs Sorted by '[Energy (MJ) per kg API']]],Table_Process_Details[Unique Process Inputs],0))</f>
        <v>#N/A</v>
      </c>
      <c r="EP94" s="22" t="e">
        <f ca="1">INDEX(Table_Process_Details[Total '[Energy (MJ) per kg API'] of Unique Inputs (ENZ&amp;PLNT)], MATCH(Table_Process_Details[[#This Row],[Unique Inputs Sorted by '[Energy (MJ) per kg API']]],Table_Process_Details[Unique Process Inputs],0))</f>
        <v>#N/A</v>
      </c>
      <c r="EQ94" s="22" t="e">
        <f ca="1">INDEX(Table_Process_Details[Total '[Energy (MJ) per kg API'] of Unique Inputs (OTHER)], MATCH(Table_Process_Details[[#This Row],[Unique Inputs Sorted by '[Energy (MJ) per kg API']]],Table_Process_Details[Unique Process Inputs],0))</f>
        <v>#N/A</v>
      </c>
      <c r="ER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4"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4" s="22">
        <f ca="1">SUMIFS(Table_Process_Details[RV GWP (kg CO2 equiv.) per kg API],Table_Process_Details[Display Name],Table_Process_Details[[#This Row],[Unique Process Inputs]],Table_Process_Details[Input or Output],"Input")</f>
        <v>0</v>
      </c>
      <c r="EZ94" s="1">
        <f ca="1">SUMIFS(Table_Process_Details[RV GWP (kg CO2 equiv.) per kg API (REAGENT)],Table_Process_Details[Display Name],Table_Process_Details[[#This Row],[Unique Process Inputs]],Table_Process_Details[Input or Output],"Input")</f>
        <v>0</v>
      </c>
      <c r="FA94" s="1">
        <f ca="1">SUMIFS(Table_Process_Details[RV GWP (kg CO2 equiv.) per kg API (METAL)],Table_Process_Details[Display Name],Table_Process_Details[[#This Row],[Unique Process Inputs]],Table_Process_Details[Input or Output],"Input")</f>
        <v>0</v>
      </c>
      <c r="FB94" s="1">
        <f ca="1">SUMIFS(Table_Process_Details[RV GWP (kg CO2 equiv.) per kg API (SOLVENT)],Table_Process_Details[Display Name],Table_Process_Details[[#This Row],[Unique Process Inputs]],Table_Process_Details[Input or Output],"Input")</f>
        <v>0</v>
      </c>
      <c r="FC94" s="1">
        <f ca="1">SUMIFS(Table_Process_Details[RV GWP (kg CO2 equiv.) per kg API (WATER)],Table_Process_Details[Display Name],Table_Process_Details[[#This Row],[Unique Process Inputs]],Table_Process_Details[Input or Output],"Input")</f>
        <v>0</v>
      </c>
      <c r="FD94" s="1">
        <f ca="1">SUMIFS(Table_Process_Details[RV GWP (kg CO2 equiv.) per kg API (ENZ&amp;PLNT)],Table_Process_Details[Display Name],Table_Process_Details[[#This Row],[Unique Process Inputs]],Table_Process_Details[Input or Output],"Input")</f>
        <v>0</v>
      </c>
      <c r="FE94" s="1">
        <f ca="1">SUMIFS(Table_Process_Details[RV GWP (kg CO2 equiv.) per kg API (OTHER)],Table_Process_Details[Display Name],Table_Process_Details[[#This Row],[Unique Process Inputs]],Table_Process_Details[Input or Output],"Input")</f>
        <v>0</v>
      </c>
      <c r="FF94" s="22" t="e">
        <f ca="1">INDEX(Table_Process_Details[Unique Process Inputs],MATCH(Table_Process_Details[[#This Row],['[GWP (kg CO2 equiv.) per kg API'] of Unique Inputs Sorted by '[GWP (kg CO2 equiv.) per kg API']]],Table_Process_Details[Total '[GWP (kg CO2 equiv.) per kg API'] of Unique Inputs],0))</f>
        <v>#N/A</v>
      </c>
      <c r="FG94" s="22" t="e">
        <f ca="1">IF(LARGE(Table_Process_Details[Total '[GWP (kg CO2 equiv.) per kg API'] of Unique Inputs],Table_Process_Details[[#This Row],[Table Row]])=0,NA(),LARGE(Table_Process_Details[Total '[GWP (kg CO2 equiv.) per kg API'] of Unique Inputs],Table_Process_Details[[#This Row],[Table Row]]))</f>
        <v>#N/A</v>
      </c>
      <c r="FH94" s="22" t="e">
        <f ca="1">SUM(OFFSET(Table_Process_Details['[GWP (kg CO2 equiv.) per kg API'] of Unique Inputs Sorted by '[GWP (kg CO2 equiv.) per kg API']],0,0,Table_Process_Details[[#This Row],[Table Row]]))</f>
        <v>#N/A</v>
      </c>
      <c r="FI94" s="22" t="e">
        <f ca="1">"("&amp;TEXT(Table_Process_Details[[#This Row],['[GWP (kg CO2 equiv.) per kg API'] of Unique Inputs Sorted by '[GWP (kg CO2 equiv.) per kg API']]]/SUMIF(Table_Process_Details['[GWP (kg CO2 equiv.) per kg API'] of Unique Inputs Sorted by '[GWP (kg CO2 equiv.) per kg API']],"&lt;&gt;#N/A"),"0%")&amp;")"</f>
        <v>#N/A</v>
      </c>
      <c r="FJ94" s="22" t="e">
        <f ca="1">INDEX(Table_Process_Details[Total '[GWP (kg CO2 equiv.) per kg API'] of Unique Inputs (REAGENT)], MATCH(Table_Process_Details[[#This Row],[Unique Inputs Sorted by '[GWP (kg CO2 equiv.) per kg API']]],Table_Process_Details[Unique Process Inputs],0))</f>
        <v>#N/A</v>
      </c>
      <c r="FK94" s="22" t="e">
        <f ca="1">INDEX(Table_Process_Details[Total '[GWP (kg CO2 equiv.) per kg API'] of Unique Inputs (METAL)], MATCH(Table_Process_Details[[#This Row],[Unique Inputs Sorted by '[GWP (kg CO2 equiv.) per kg API']]],Table_Process_Details[Unique Process Inputs],0))</f>
        <v>#N/A</v>
      </c>
      <c r="FL94" s="22" t="e">
        <f ca="1">INDEX(Table_Process_Details[Total '[GWP (kg CO2 equiv.) per kg API'] of Unique Inputs (SOLVENT)], MATCH(Table_Process_Details[[#This Row],[Unique Inputs Sorted by '[GWP (kg CO2 equiv.) per kg API']]],Table_Process_Details[Unique Process Inputs],0))</f>
        <v>#N/A</v>
      </c>
      <c r="FM94" s="22" t="e">
        <f ca="1">INDEX(Table_Process_Details[Total '[GWP (kg CO2 equiv.) per kg API'] of Unique Inputs (WATER)], MATCH(Table_Process_Details[[#This Row],[Unique Inputs Sorted by '[GWP (kg CO2 equiv.) per kg API']]],Table_Process_Details[Unique Process Inputs],0))</f>
        <v>#N/A</v>
      </c>
      <c r="FN94" s="22" t="e">
        <f ca="1">INDEX(Table_Process_Details[Total '[GWP (kg CO2 equiv.) per kg API'] of Unique Inputs (ENZ&amp;PLNT)], MATCH(Table_Process_Details[[#This Row],[Unique Inputs Sorted by '[GWP (kg CO2 equiv.) per kg API']]],Table_Process_Details[Unique Process Inputs],0))</f>
        <v>#N/A</v>
      </c>
      <c r="FO94" s="22" t="e">
        <f ca="1">INDEX(Table_Process_Details[Total '[GWP (kg CO2 equiv.) per kg API'] of Unique Inputs (OTHER)], MATCH(Table_Process_Details[[#This Row],[Unique Inputs Sorted by '[GWP (kg CO2 equiv.) per kg API']]],Table_Process_Details[Unique Process Inputs],0))</f>
        <v>#N/A</v>
      </c>
      <c r="FP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4"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4" s="22">
        <f ca="1">SUMIFS(Table_Process_Details[RV Acidification (kg SO2 equiv.) per kg API],Table_Process_Details[Display Name],Table_Process_Details[[#This Row],[Unique Process Inputs]],Table_Process_Details[Input or Output],"Input")</f>
        <v>0</v>
      </c>
      <c r="FX94" s="1">
        <f ca="1">SUMIFS(Table_Process_Details[RV Acidification (kg SO2 equiv.) per kg API (REAGENT)],Table_Process_Details[Display Name],Table_Process_Details[[#This Row],[Unique Process Inputs]],Table_Process_Details[Input or Output],"Input")</f>
        <v>0</v>
      </c>
      <c r="FY94" s="1">
        <f ca="1">SUMIFS(Table_Process_Details[RV Acidification (kg SO2 equiv.) per kg API (METAL)],Table_Process_Details[Display Name],Table_Process_Details[[#This Row],[Unique Process Inputs]],Table_Process_Details[Input or Output],"Input")</f>
        <v>0</v>
      </c>
      <c r="FZ94" s="1">
        <f ca="1">SUMIFS(Table_Process_Details[RV Acidification (kg SO2 equiv.) per kg API (SOLVENT)],Table_Process_Details[Display Name],Table_Process_Details[[#This Row],[Unique Process Inputs]],Table_Process_Details[Input or Output],"Input")</f>
        <v>0</v>
      </c>
      <c r="GA94" s="1">
        <f ca="1">SUMIFS(Table_Process_Details[RV Acidification (kg SO2 equiv.) per kg API (WATER)],Table_Process_Details[Display Name],Table_Process_Details[[#This Row],[Unique Process Inputs]],Table_Process_Details[Input or Output],"Input")</f>
        <v>0</v>
      </c>
      <c r="GB94" s="1">
        <f ca="1">SUMIFS(Table_Process_Details[RV Acidification (kg SO2 equiv.) per kg API (ENZ&amp;PLNT)],Table_Process_Details[Display Name],Table_Process_Details[[#This Row],[Unique Process Inputs]],Table_Process_Details[Input or Output],"Input")</f>
        <v>0</v>
      </c>
      <c r="GC94" s="1">
        <f ca="1">SUMIFS(Table_Process_Details[RV Acidification (kg SO2 equiv.) per kg API (OTHER)],Table_Process_Details[Display Name],Table_Process_Details[[#This Row],[Unique Process Inputs]],Table_Process_Details[Input or Output],"Input")</f>
        <v>0</v>
      </c>
      <c r="GD94"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4"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4" s="22" t="e">
        <f ca="1">SUM(OFFSET(Table_Process_Details['[Acidification (kg SO2 equiv.) per kg API'] of Unique Inputs Sorted by '[Acidification (kg SO2 equiv.) per kg API']],0,0,Table_Process_Details[[#This Row],[Table Row]]))</f>
        <v>#N/A</v>
      </c>
      <c r="GG94"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4" s="22" t="e">
        <f ca="1">INDEX(Table_Process_Details[Total '[Acidification (kg SO2 equiv.) per kg API'] of Unique Inputs (REAGENT)], MATCH(Table_Process_Details[[#This Row],[Unique Inputs Sorted by '[Acidification (kg SO2 equiv.) per kg API']]],Table_Process_Details[Unique Process Inputs],0))</f>
        <v>#N/A</v>
      </c>
      <c r="GI94" s="22" t="e">
        <f ca="1">INDEX(Table_Process_Details[Total '[Acidification (kg SO2 equiv.) per kg API'] of Unique Inputs (METAL)], MATCH(Table_Process_Details[[#This Row],[Unique Inputs Sorted by '[Acidification (kg SO2 equiv.) per kg API']]],Table_Process_Details[Unique Process Inputs],0))</f>
        <v>#N/A</v>
      </c>
      <c r="GJ94" s="22" t="e">
        <f ca="1">INDEX(Table_Process_Details[Total '[Acidification (kg SO2 equiv.) per kg API'] of Unique Inputs (SOLVENT)], MATCH(Table_Process_Details[[#This Row],[Unique Inputs Sorted by '[Acidification (kg SO2 equiv.) per kg API']]],Table_Process_Details[Unique Process Inputs],0))</f>
        <v>#N/A</v>
      </c>
      <c r="GK94" s="22" t="e">
        <f ca="1">INDEX(Table_Process_Details[Total '[Acidification (kg SO2 equiv.) per kg API'] of Unique Inputs (WATER)], MATCH(Table_Process_Details[[#This Row],[Unique Inputs Sorted by '[Acidification (kg SO2 equiv.) per kg API']]],Table_Process_Details[Unique Process Inputs],0))</f>
        <v>#N/A</v>
      </c>
      <c r="GL94" s="22" t="e">
        <f ca="1">INDEX(Table_Process_Details[Total '[Acidification (kg SO2 equiv.) per kg API'] of Unique Inputs (ENZ&amp;PLNT)], MATCH(Table_Process_Details[[#This Row],[Unique Inputs Sorted by '[Acidification (kg SO2 equiv.) per kg API']]],Table_Process_Details[Unique Process Inputs],0))</f>
        <v>#N/A</v>
      </c>
      <c r="GM94" s="22" t="e">
        <f ca="1">INDEX(Table_Process_Details[Total '[Acidification (kg SO2 equiv.) per kg API'] of Unique Inputs (OTHER)], MATCH(Table_Process_Details[[#This Row],[Unique Inputs Sorted by '[Acidification (kg SO2 equiv.) per kg API']]],Table_Process_Details[Unique Process Inputs],0))</f>
        <v>#N/A</v>
      </c>
      <c r="GN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4"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4" s="22">
        <f ca="1">SUMIFS(Table_Process_Details[RV Eutrophication (kg phosphate equiv.) per kg API],Table_Process_Details[Display Name],Table_Process_Details[[#This Row],[Unique Process Inputs]],Table_Process_Details[Input or Output],"Input")</f>
        <v>0</v>
      </c>
      <c r="GV94" s="1">
        <f ca="1">SUMIFS(Table_Process_Details[RV Eutrophication (kg phosphate equiv.) per kg API (REAGENT)],Table_Process_Details[Display Name],Table_Process_Details[[#This Row],[Unique Process Inputs]],Table_Process_Details[Input or Output],"Input")</f>
        <v>0</v>
      </c>
      <c r="GW94" s="1">
        <f ca="1">SUMIFS(Table_Process_Details[RV Eutrophication (kg phosphate equiv.) per kg API (METAL)],Table_Process_Details[Display Name],Table_Process_Details[[#This Row],[Unique Process Inputs]],Table_Process_Details[Input or Output],"Input")</f>
        <v>0</v>
      </c>
      <c r="GX94" s="1">
        <f ca="1">SUMIFS(Table_Process_Details[RV Eutrophication (kg phosphate equiv.) per kg API (SOLVENT)],Table_Process_Details[Display Name],Table_Process_Details[[#This Row],[Unique Process Inputs]],Table_Process_Details[Input or Output],"Input")</f>
        <v>0</v>
      </c>
      <c r="GY94" s="1">
        <f ca="1">SUMIFS(Table_Process_Details[RV Eutrophication (kg phosphate equiv.) per kg API (WATER)],Table_Process_Details[Display Name],Table_Process_Details[[#This Row],[Unique Process Inputs]],Table_Process_Details[Input or Output],"Input")</f>
        <v>0</v>
      </c>
      <c r="GZ94" s="1">
        <f ca="1">SUMIFS(Table_Process_Details[RV Eutrophication (kg phosphate equiv.) per kg API (ENZ&amp;PLNT)],Table_Process_Details[Display Name],Table_Process_Details[[#This Row],[Unique Process Inputs]],Table_Process_Details[Input or Output],"Input")</f>
        <v>0</v>
      </c>
      <c r="HA94" s="1">
        <f ca="1">SUMIFS(Table_Process_Details[RV Eutrophication (kg phosphate equiv.) per kg API (OTHER)],Table_Process_Details[Display Name],Table_Process_Details[[#This Row],[Unique Process Inputs]],Table_Process_Details[Input or Output],"Input")</f>
        <v>0</v>
      </c>
      <c r="HB94"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4"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4" s="22" t="e">
        <f ca="1">SUM(OFFSET(Table_Process_Details['[Eutrophication (kg posphate equiv.) per kg API'] of Unique Inputs Sorted by '[Eutrophication (kg posphate equiv.) per kg API']],0,0,Table_Process_Details[[#This Row],[Table Row]]))</f>
        <v>#N/A</v>
      </c>
      <c r="HE94"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4" s="1" t="e">
        <f ca="1">INDEX(Table_Process_Details[Total '[Eutrophication (kg posphate equiv.) per kg API'] of Unique Inputs (REAGENT)], MATCH(Table_Process_Details[[#This Row],[Unique Inputs Sorted by '[Eutrophication (kg posphate equiv.) per kg API']]],Table_Process_Details[Unique Process Inputs],0))</f>
        <v>#N/A</v>
      </c>
      <c r="HG94" s="1" t="e">
        <f ca="1">INDEX(Table_Process_Details[Total '[Eutrophication (kg posphate equiv.) per kg API'] of Unique Inputs (METAL)], MATCH(Table_Process_Details[[#This Row],[Unique Inputs Sorted by '[Eutrophication (kg posphate equiv.) per kg API']]],Table_Process_Details[Unique Process Inputs],0))</f>
        <v>#N/A</v>
      </c>
      <c r="HH94" s="1" t="e">
        <f ca="1">INDEX(Table_Process_Details[Total '[Eutrophication (kg posphate equiv.) per kg API'] of Unique Inputs (SOLVENT)], MATCH(Table_Process_Details[[#This Row],[Unique Inputs Sorted by '[Eutrophication (kg posphate equiv.) per kg API']]],Table_Process_Details[Unique Process Inputs],0))</f>
        <v>#N/A</v>
      </c>
      <c r="HI94" s="1" t="e">
        <f ca="1">INDEX(Table_Process_Details[Total '[Eutrophication (kg posphate equiv.) per kg API'] of Unique Inputs (WATER)], MATCH(Table_Process_Details[[#This Row],[Unique Inputs Sorted by '[Eutrophication (kg posphate equiv.) per kg API']]],Table_Process_Details[Unique Process Inputs],0))</f>
        <v>#N/A</v>
      </c>
      <c r="HJ94" s="1" t="e">
        <f ca="1">INDEX(Table_Process_Details[Total '[Eutrophication (kg posphate equiv.) per kg API'] of Unique Inputs (ENZ&amp;PLNT)], MATCH(Table_Process_Details[[#This Row],[Unique Inputs Sorted by '[Eutrophication (kg posphate equiv.) per kg API']]],Table_Process_Details[Unique Process Inputs],0))</f>
        <v>#N/A</v>
      </c>
      <c r="HK94" s="1" t="e">
        <f ca="1">INDEX(Table_Process_Details[Total '[Eutrophication (kg posphate equiv.) per kg API'] of Unique Inputs (OTHER)], MATCH(Table_Process_Details[[#This Row],[Unique Inputs Sorted by '[Eutrophication (kg posphate equiv.) per kg API']]],Table_Process_Details[Unique Process Inputs],0))</f>
        <v>#N/A</v>
      </c>
      <c r="HL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4"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4" s="1">
        <f ca="1">SUMIFS(Table_Process_Details[RV Water (kg) per kg API],Table_Process_Details[Display Name],Table_Process_Details[[#This Row],[Unique Process Inputs]],Table_Process_Details[Input or Output],"Input")</f>
        <v>0</v>
      </c>
      <c r="HT94" s="1">
        <f ca="1">SUMIFS(Table_Process_Details[RV Water (kg) per kg API (REAGENT)],Table_Process_Details[Display Name],Table_Process_Details[[#This Row],[Unique Process Inputs]],Table_Process_Details[Input or Output],"Input")</f>
        <v>0</v>
      </c>
      <c r="HU94" s="1">
        <f ca="1">SUMIFS(Table_Process_Details[RV Water (kg) per kg API (METAL)],Table_Process_Details[Display Name],Table_Process_Details[[#This Row],[Unique Process Inputs]],Table_Process_Details[Input or Output],"Input")</f>
        <v>0</v>
      </c>
      <c r="HV94" s="1">
        <f ca="1">SUMIFS(Table_Process_Details[RV Water (kg) per kg API (SOLVENT)],Table_Process_Details[Display Name],Table_Process_Details[[#This Row],[Unique Process Inputs]],Table_Process_Details[Input or Output],"Input")</f>
        <v>0</v>
      </c>
      <c r="HW94" s="1">
        <f ca="1">SUMIFS(Table_Process_Details[RV Water (kg) per kg API (WATER)],Table_Process_Details[Display Name],Table_Process_Details[[#This Row],[Unique Process Inputs]],Table_Process_Details[Input or Output],"Input")</f>
        <v>0</v>
      </c>
      <c r="HX94" s="1">
        <f ca="1">SUMIFS(Table_Process_Details[RV Water (kg) per kg API (ENZ&amp;PLNT)],Table_Process_Details[Display Name],Table_Process_Details[[#This Row],[Unique Process Inputs]],Table_Process_Details[Input or Output],"Input")</f>
        <v>0</v>
      </c>
      <c r="HY94" s="1">
        <f ca="1">SUMIFS(Table_Process_Details[RV Water (kg) per kg API (OTHER)],Table_Process_Details[Display Name],Table_Process_Details[[#This Row],[Unique Process Inputs]],Table_Process_Details[Input or Output],"Input")</f>
        <v>0</v>
      </c>
      <c r="HZ94" s="22" t="e">
        <f ca="1">INDEX(Table_Process_Details[Unique Process Inputs],MATCH(Table_Process_Details[[#This Row],['[Water (kg) per kg API'] of Unique Inputs Sorted by '[Water (kg) per kg API']]],Table_Process_Details[Total '[Water (kg) per kg API'] of Unique Inputs],0))</f>
        <v>#N/A</v>
      </c>
      <c r="IA94" s="22" t="e">
        <f ca="1">IF(LARGE(Table_Process_Details[Total '[Water (kg) per kg API'] of Unique Inputs],Table_Process_Details[[#This Row],[Table Row]])=0,NA(),LARGE(Table_Process_Details[Total '[Water (kg) per kg API'] of Unique Inputs],Table_Process_Details[[#This Row],[Table Row]]))</f>
        <v>#N/A</v>
      </c>
      <c r="IB94" s="1" t="e">
        <f ca="1">SUM(OFFSET(Table_Process_Details['[Water (kg) per kg API'] of Unique Inputs Sorted by '[Water (kg) per kg API']],0,0,Table_Process_Details[[#This Row],[Table Row]]))</f>
        <v>#N/A</v>
      </c>
      <c r="IC94" s="1" t="e">
        <f ca="1">"("&amp;TEXT(Table_Process_Details[[#This Row],['[Water (kg) per kg API'] of Unique Inputs Sorted by '[Water (kg) per kg API']]]/SUMIF(Table_Process_Details['[Water (kg) per kg API'] of Unique Inputs Sorted by '[Water (kg) per kg API']],"&lt;&gt;#N/A"),"0%")&amp;")"</f>
        <v>#N/A</v>
      </c>
      <c r="ID94" s="1" t="e">
        <f ca="1">INDEX(Table_Process_Details[Total '[Water (kg) per kg API'] of Unique Inputs (REAGENT)], MATCH(Table_Process_Details[[#This Row],[Unique Inputs Sorted by '[Water (kg) per kg API']]],Table_Process_Details[Unique Process Inputs],0))</f>
        <v>#N/A</v>
      </c>
      <c r="IE94" s="1" t="e">
        <f ca="1">INDEX(Table_Process_Details[Total '[Water (kg) per kg API'] of Unique Inputs (METAL)], MATCH(Table_Process_Details[[#This Row],[Unique Inputs Sorted by '[Water (kg) per kg API']]],Table_Process_Details[Unique Process Inputs],0))</f>
        <v>#N/A</v>
      </c>
      <c r="IF94" s="1" t="e">
        <f ca="1">INDEX(Table_Process_Details[Total '[Water (kg) per kg API'] of Unique Inputs (SOLVENT)], MATCH(Table_Process_Details[[#This Row],[Unique Inputs Sorted by '[Water (kg) per kg API']]],Table_Process_Details[Unique Process Inputs],0))</f>
        <v>#N/A</v>
      </c>
      <c r="IG94" s="1" t="e">
        <f ca="1">INDEX(Table_Process_Details[Total '[Water (kg) per kg API'] of Unique Inputs (WATER)], MATCH(Table_Process_Details[[#This Row],[Unique Inputs Sorted by '[Water (kg) per kg API']]],Table_Process_Details[Unique Process Inputs],0))</f>
        <v>#N/A</v>
      </c>
      <c r="IH94" s="1" t="e">
        <f ca="1">INDEX(Table_Process_Details[Total '[Water (kg) per kg API'] of Unique Inputs (ENZ&amp;PLNT)], MATCH(Table_Process_Details[[#This Row],[Unique Inputs Sorted by '[Water (kg) per kg API']]],Table_Process_Details[Unique Process Inputs],0))</f>
        <v>#N/A</v>
      </c>
      <c r="II94" s="1" t="e">
        <f ca="1">INDEX(Table_Process_Details[Total '[Water (kg) per kg API'] of Unique Inputs (OTHER)], MATCH(Table_Process_Details[[#This Row],[Unique Inputs Sorted by '[Water (kg) per kg API']]],Table_Process_Details[Unique Process Inputs],0))</f>
        <v>#N/A</v>
      </c>
    </row>
    <row r="95" spans="1:243" customFormat="1" x14ac:dyDescent="0.25">
      <c r="A95" s="22" t="str">
        <f t="shared" ref="A95:A100" si="4">A94</f>
        <v>5) Pure Step</v>
      </c>
      <c r="B95" s="21" t="s">
        <v>4</v>
      </c>
      <c r="C95" s="21" t="s">
        <v>153</v>
      </c>
      <c r="D95" s="22" t="s">
        <v>156</v>
      </c>
      <c r="E95" s="22" t="s">
        <v>839</v>
      </c>
      <c r="F95" s="26">
        <v>20</v>
      </c>
      <c r="G95" s="26"/>
      <c r="H95" s="26"/>
      <c r="I95" s="26"/>
      <c r="J95" s="26" t="str">
        <f>INDEX(Process_Steps[Reference],MATCH(Table_Process_Details[[#This Row],[Step Name]],Process_Steps[Name],0))</f>
        <v>Reference Document for API step</v>
      </c>
      <c r="K95" s="27" t="str">
        <f>INDEX(Process_Steps[Real or Virtual?],MATCH(Table_Process_Details[[#This Row],[Step Name]],Process_Steps[Name],0))</f>
        <v>Real</v>
      </c>
      <c r="L95"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95"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95" s="26">
        <f>INDEX(Table_Process_Details[Physical Mass (kg)],MATCH(1,INDEX(((Table_Process_Details[Step Name]=Table_Process_Details[[#This Row],[Step Name]])*(Table_Process_Details[Input or Output]="Output")),0),0))</f>
        <v>28</v>
      </c>
      <c r="O95" s="29">
        <f ca="1">INDEX(Process_Steps[Step Scale Factor for 1kg Packaged API],MATCH(Table_Process_Details[[#This Row],[Step Name]],Process_Steps[Name],0))</f>
        <v>0.04</v>
      </c>
      <c r="P95"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19.2</v>
      </c>
      <c r="Q95"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0.19999999999999929</v>
      </c>
      <c r="R95" s="26">
        <f ca="1">_xlfn.SWITCH(Run_Reset_PNG,"Reset",Table_Process_Details[[#This Row],[X Init]],"Run",Table_Process_Details[[#This Row],[X Moved]],"Freeze",Table_Process_Details[[#This Row],[X Mover]])</f>
        <v>31.665856664348247</v>
      </c>
      <c r="S95" s="26">
        <f ca="1">_xlfn.SWITCH(Run_Reset_PNG,"Reset",Table_Process_Details[[#This Row],[Y Init]],"Run",Table_Process_Details[[#This Row],[Y Moved]],"Freeze",Table_Process_Details[[#This Row],[Y Mover]])</f>
        <v>0.21248734295897476</v>
      </c>
      <c r="T95" s="26" cm="1">
        <f t="array" aca="1" ref="T95"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4.5540194166550929</v>
      </c>
      <c r="U95" s="26" cm="1">
        <f t="array" aca="1" ref="U95"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-7.4669833214756522</v>
      </c>
      <c r="V95" s="26" cm="1">
        <f t="array" aca="1" ref="V95" ca="1">SUM(--(SQRT((Table_Process_Details[[#This Row],[X Mover]]-Table_Process_Details[X Mover])^2+(Table_Process_Details[[#This Row],[Y Mover]]-Table_Process_Details[Y Mover])^2)&lt;Collision_Distance))</f>
        <v>10</v>
      </c>
      <c r="W95" s="26" cm="1">
        <f t="array" aca="1" ref="W95"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-0.32031313058382971</v>
      </c>
      <c r="X95" s="26" cm="1">
        <f t="array" aca="1" ref="X95"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0.78766580505126094</v>
      </c>
      <c r="Y95" s="26" cm="1">
        <f t="array" aca="1" ref="Y95"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5" s="26">
        <f>0</f>
        <v>0</v>
      </c>
      <c r="AA95" s="26">
        <f>0</f>
        <v>0</v>
      </c>
      <c r="AB95"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-15.832928332174124</v>
      </c>
      <c r="AC95" s="26" cm="1">
        <f t="array" aca="1" ref="AC95"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-0.10624367147948738</v>
      </c>
      <c r="AD95" s="26">
        <f>MIN(1,COUNTA(Table_Process_Details[[#This Row],[target x]]),COUNTA(Table_Process_Details[[#This Row],[target y]]))*COUNTA(Table_Process_Details[Step Name])</f>
        <v>98</v>
      </c>
      <c r="AE95"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31.639384982244472</v>
      </c>
      <c r="AF95"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0.25237069676594104</v>
      </c>
      <c r="AG95"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5" s="26" cm="1">
        <f t="array" aca="1" ref="AH95" ca="1">INDEX(Table_Process_Details[X Mover],MATCH(1,INDEX((Table_Process_Details[Input or Output]="Output")*(Table_Process_Details[Step Name]=Table_Process_Details[[#This Row],[Step Name]])*(Table_Process_Details[[#This Row],[Input or Output]]="Input"),0),0))</f>
        <v>29.895118457910893</v>
      </c>
      <c r="AI95" s="26" cm="1">
        <f t="array" aca="1" ref="AI95" ca="1">INDEX(Table_Process_Details[Y Mover],MATCH(1,INDEX((Table_Process_Details[Input or Output]="Output")*(Table_Process_Details[Step Name]=Table_Process_Details[[#This Row],[Step Name]])*(Table_Process_Details[[#This Row],[Input or Output]]="Input"),0),0))</f>
        <v>4.5668200309955704</v>
      </c>
      <c r="AJ95" s="26">
        <f ca="1">SQRT((Table_Process_Details[[#This Row],[X End (To Node Center)]]-Table_Process_Details[[#This Row],[X Guide]])^2+(Table_Process_Details[[#This Row],[Y End (to Node Center)]]-Table_Process_Details[[#This Row],[Y Guide]])^2)</f>
        <v>4.7006092109258546</v>
      </c>
      <c r="AK95" s="26" t="e" cm="1">
        <f t="array" ref="AK95">INDEX(Table_Process_Details[X Mover],MATCH(1,INDEX((Table_Process_Details[Step Name]=Table_Process_Details[[#This Row],[LCA Data Source Subclass]])*(Table_Process_Details[Input or Output]="Output"),0)*(Table_Process_Details[[#This Row],[Input or Output]]="Input"),0))</f>
        <v>#N/A</v>
      </c>
      <c r="AL95" s="26" cm="1">
        <f t="array" aca="1" ref="AL95" ca="1">INDEX(Table_Process_Details[X Mover],MATCH(1,INDEX(((Table_Process_Details[Table Row]=Table_Process_Details[[#This Row],[Table Row]])*(1)),0)*(Table_Process_Details[[#This Row],[Input or Output]]="Input"),0))</f>
        <v>31.665856664348247</v>
      </c>
      <c r="AM95" s="26" cm="1">
        <f t="array" aca="1" ref="AM95" ca="1">(Table_Process_Details[[#This Row],[X End (To Node Center)]]*Table_Process_Details[[#This Row],[r0]]-Table_Process_Details[[#This Row],[X End (To Node Center)]]*Arrow_Offset+Table_Process_Details[[#This Row],[X Guide]]*Arrow_Offset)/Table_Process_Details[[#This Row],[r0]]</f>
        <v>30.196481643316151</v>
      </c>
      <c r="AN95" s="26" t="e">
        <f>IF(NOT(Table_Process_Details[[#This Row],[Display As]]="None"),Table_Process_Details[[#This Row],[X Start Prefilter]],NA())</f>
        <v>#N/A</v>
      </c>
      <c r="AO95" s="26">
        <f ca="1">IF(NOT(Table_Process_Details[[#This Row],[Display As]]="None"),Table_Process_Details[[#This Row],[X Guide Prefilter]],NA())</f>
        <v>31.665856664348247</v>
      </c>
      <c r="AP95" s="26">
        <f ca="1">IF(NOT(Table_Process_Details[[#This Row],[Display As]]="None"),Table_Process_Details[[#This Row],[X End (to Stop Radius) Prefilter]],NA())</f>
        <v>30.196481643316151</v>
      </c>
      <c r="AQ95" s="26" t="e">
        <f>NA()</f>
        <v>#N/A</v>
      </c>
      <c r="AR95" s="26" t="e" cm="1">
        <f t="array" ref="AR95">INDEX(Table_Process_Details[Y Mover],MATCH(1,INDEX((Table_Process_Details[Step Name]=Table_Process_Details[[#This Row],[LCA Data Source Subclass]])*(Table_Process_Details[Input or Output]="Output"),0)*(Table_Process_Details[[#This Row],[Input or Output]]="Input"),0))</f>
        <v>#N/A</v>
      </c>
      <c r="AS95" s="26" cm="1">
        <f t="array" aca="1" ref="AS95" ca="1">INDEX(Table_Process_Details[Y Mover],MATCH(1,INDEX(((Table_Process_Details[Table Row]=Table_Process_Details[[#This Row],[Table Row]])*(1)),0)*(Table_Process_Details[[#This Row],[Input or Output]]="Input"),0))</f>
        <v>0.21248734295897476</v>
      </c>
      <c r="AT95" s="26" cm="1">
        <f t="array" aca="1" ref="AT95" ca="1">(Table_Process_Details[[#This Row],[Y Guide]]*Arrow_Offset-Table_Process_Details[[#This Row],[Y End (to Node Center)]]*Arrow_Offset+Table_Process_Details[[#This Row],[Y End (to Node Center)]]*Table_Process_Details[[#This Row],[r0]])/Table_Process_Details[[#This Row],[r0]]</f>
        <v>3.8257530768798174</v>
      </c>
      <c r="AU95" s="26" t="e">
        <f>IF(NOT(Table_Process_Details[[#This Row],[Display As]]="None"),Table_Process_Details[[#This Row],[Y Start Prefilter]],NA())</f>
        <v>#N/A</v>
      </c>
      <c r="AV95" s="26">
        <f ca="1">IF(NOT(Table_Process_Details[[#This Row],[Display As]]="None"),Table_Process_Details[[#This Row],[Y Guide Prefilter]],NA())</f>
        <v>0.21248734295897476</v>
      </c>
      <c r="AW95" s="26">
        <f ca="1">IF(NOT(Table_Process_Details[[#This Row],[Display As]]="None"),Table_Process_Details[[#This Row],[Y End (to Stop Radius) Prefilter]],NA())</f>
        <v>3.8257530768798174</v>
      </c>
      <c r="AX95" s="26" t="e">
        <f>NA()</f>
        <v>#N/A</v>
      </c>
      <c r="AY95" s="26" t="e">
        <f>IF(Table_Process_Details[[#This Row],[Display As]]="Real Step",Table_Process_Details[[#This Row],[X Mover]],NA())</f>
        <v>#N/A</v>
      </c>
      <c r="AZ95" s="26" t="e">
        <f>IF(Table_Process_Details[[#This Row],[Display As]]="Real Step",Table_Process_Details[[#This Row],[Y Mover]],NA())</f>
        <v>#N/A</v>
      </c>
      <c r="BA95" s="26">
        <f ca="1">IF(Table_Process_Details[[#This Row],[Display As]]="Raw Material",Table_Process_Details[[#This Row],[X Mover]],NA())</f>
        <v>31.665856664348247</v>
      </c>
      <c r="BB95" s="26">
        <f ca="1">IF(Table_Process_Details[[#This Row],[Display As]]="Raw Material",Table_Process_Details[[#This Row],[Y Mover]],NA())</f>
        <v>0.21248734295897476</v>
      </c>
      <c r="BC95" s="26">
        <f ca="1">IF(OR(Table_Process_Details[[#This Row],[Display As]]="Real Step",Table_Process_Details[[#This Row],[Display As]]="Raw Material"),Table_Process_Details[[#This Row],[X Mover]],NA())</f>
        <v>31.665856664348247</v>
      </c>
      <c r="BD95" s="26">
        <f ca="1">IF(OR(Table_Process_Details[[#This Row],[Display As]]="Real Step",Table_Process_Details[[#This Row],[Display As]]="Raw Material"),Table_Process_Details[[#This Row],[Y Mover]],NA())</f>
        <v>0.21248734295897476</v>
      </c>
      <c r="BE95" s="22">
        <f>ROW()-ROW(Table_Process_Details[[#Headers],[Table Row]])</f>
        <v>91</v>
      </c>
      <c r="BF95" s="23" t="e" cm="1">
        <f t="array" aca="1" ref="BF95" ca="1">INDEX(Table_Process_Details[Display Name],MATCH(0,IF(Table_Process_Details[Input or Output]="Input",INDEX(COUNTIF(OFFSET(Table_Process_Details[[#Headers],[Unique Process Inputs]],0,0,Table_Process_Details[[#This Row],[Table Row]],1),Table_Process_Details[Display Name]),),""),0))</f>
        <v>#N/A</v>
      </c>
      <c r="BG95" s="23">
        <f ca="1">Table_Process_Details[[#This Row],[Physical Mass (kg)]]*Table_Process_Details[[#This Row],[Step Scale Factor for 1kg Packaged API]]</f>
        <v>0.8</v>
      </c>
      <c r="BH95"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5" s="23">
        <f ca="1">MATCH(Table_Process_Details[[#This Row],[LCA Data Source Class]],INDIRECT(Table_Process_Details[[#This Row],[Input or Output]]),0)</f>
        <v>3</v>
      </c>
      <c r="BJ95" s="23">
        <f ca="1">MATCH(Table_Process_Details[[#This Row],[LCA Data Source Subclass]],INDIRECT(Table_Process_Details[[#This Row],[LCA Data Source Class]]&amp;"[Name]"),0)</f>
        <v>1</v>
      </c>
      <c r="BK95" s="23">
        <f ca="1">IFERROR(INDEX(INDIRECT(Table_Process_Details[[#This Row],[LCA Data Source Class]]&amp;"[Mass Net (kg)]"),MATCH(Table_Process_Details[[#This Row],[LCA Data Source Subclass]],INDIRECT(Table_Process_Details[[#This Row],[LCA Data Source Class]]&amp;"[Name]"),0)),0)</f>
        <v>2.0861208174193546</v>
      </c>
      <c r="BL95" s="23">
        <f ca="1">IFERROR(INDEX(INDIRECT(Table_Process_Details[[#This Row],[LCA Data Source Class]]&amp;"[Energy (MJ)]"),MATCH(Table_Process_Details[[#This Row],[LCA Data Source Subclass]],INDIRECT(Table_Process_Details[[#This Row],[LCA Data Source Class]]&amp;"[Name]"),0)),0)</f>
        <v>74.867288612903238</v>
      </c>
      <c r="BM95" s="23">
        <f ca="1">IFERROR(INDEX(INDIRECT(Table_Process_Details[[#This Row],[LCA Data Source Class]]&amp;"[GWP (kg CO2 equiv.)]"),MATCH(Table_Process_Details[[#This Row],[LCA Data Source Subclass]],INDIRECT(Table_Process_Details[[#This Row],[LCA Data Source Class]]&amp;"[Name]"),0)),0)</f>
        <v>2.6244035558064511</v>
      </c>
      <c r="BN95" s="23">
        <f ca="1">IFERROR(INDEX(INDIRECT(Table_Process_Details[[#This Row],[LCA Data Source Class]]&amp;"[Acidification (kg SO2 equiv.)]"),MATCH(Table_Process_Details[[#This Row],[LCA Data Source Subclass]],INDIRECT(Table_Process_Details[[#This Row],[LCA Data Source Class]]&amp;"[Name]"),0)),0)</f>
        <v>1.1223113743548388E-2</v>
      </c>
      <c r="BO95" s="23">
        <f ca="1">IFERROR(INDEX(INDIRECT(Table_Process_Details[[#This Row],[LCA Data Source Class]]&amp;"[Eutrophication (kg posphate equiv.)]"),MATCH(Table_Process_Details[[#This Row],[LCA Data Source Subclass]],INDIRECT(Table_Process_Details[[#This Row],[LCA Data Source Class]]&amp;"[Name]"),0)),0)</f>
        <v>8.9864536225806452E-3</v>
      </c>
      <c r="BP95" s="23">
        <f ca="1">IFERROR(INDEX(INDIRECT(Table_Process_Details[[#This Row],[LCA Data Source Class]]&amp;"[Water (kg)]"),MATCH(Table_Process_Details[[#This Row],[LCA Data Source Subclass]],INDIRECT(Table_Process_Details[[#This Row],[LCA Data Source Class]]&amp;"[Name]"),0)),0)</f>
        <v>14.695319198225807</v>
      </c>
      <c r="BQ95" s="27">
        <f ca="1">(Table_Process_Details[[#This Row],[Input or Output]]="Input")*(Table_Process_Details[[#This Row],[LCA Data Source Class]]&lt;&gt;"Process_Steps")*Table_Process_Details[[#This Row],[Scaled Physical Mass per kg API for All Inputs &amp; Outputs]]</f>
        <v>0.8</v>
      </c>
      <c r="BR95" s="27">
        <f ca="1">(Table_Process_Details[[#This Row],[Material Class]]="REAGENT")*Table_Process_Details[[#This Row],[Physical Mass per kg API]]</f>
        <v>0.8</v>
      </c>
      <c r="BS95" s="27">
        <f ca="1">(Table_Process_Details[[#This Row],[Material Class]]="METAL")*Table_Process_Details[[#This Row],[Physical Mass per kg API]]</f>
        <v>0</v>
      </c>
      <c r="BT95" s="27">
        <f ca="1">(Table_Process_Details[[#This Row],[Material Class]]="SOLVENT")*Table_Process_Details[[#This Row],[Physical Mass per kg API]]</f>
        <v>0</v>
      </c>
      <c r="BU95" s="27">
        <f ca="1">(Table_Process_Details[[#This Row],[Material Class]]="WATER")*Table_Process_Details[[#This Row],[Physical Mass per kg API]]</f>
        <v>0</v>
      </c>
      <c r="BV95" s="27">
        <f ca="1">(Table_Process_Details[[#This Row],[Material Class]]="ENZ&amp;PLNT")*Table_Process_Details[[#This Row],[Physical Mass per kg API]]</f>
        <v>0</v>
      </c>
      <c r="BW95" s="27">
        <f ca="1">(Table_Process_Details[[#This Row],[Material Class]]="OTHER")*Table_Process_Details[[#This Row],[Physical Mass per kg API]]</f>
        <v>0</v>
      </c>
      <c r="BX95"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0.8</v>
      </c>
      <c r="BY95"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0.8</v>
      </c>
      <c r="BZ95"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5"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5"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5"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5"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5" s="1">
        <f ca="1">SUMIFS(Table_Process_Details[RV Physical Mass per kg API],Table_Process_Details[Display Name],Table_Process_Details[[#This Row],[Unique Process Inputs]],Table_Process_Details[Input or Output],"Input")</f>
        <v>0</v>
      </c>
      <c r="CF95" s="1">
        <f ca="1">SUMIFS(Table_Process_Details[RV Physical Mass per kg API (REAGENT)],Table_Process_Details[Display Name],Table_Process_Details[[#This Row],[Unique Process Inputs]],Table_Process_Details[Input or Output],"Input")</f>
        <v>0</v>
      </c>
      <c r="CG95" s="1">
        <f ca="1">SUMIFS(Table_Process_Details[RV Physical Mass per kg API (METAL)],Table_Process_Details[Display Name],Table_Process_Details[[#This Row],[Unique Process Inputs]],Table_Process_Details[Input or Output],"Input")</f>
        <v>0</v>
      </c>
      <c r="CH95" s="1">
        <f ca="1">SUMIFS(Table_Process_Details[RV Physical Mass per kg API (SOLVENT)],Table_Process_Details[Display Name],Table_Process_Details[[#This Row],[Unique Process Inputs]],Table_Process_Details[Input or Output],"Input")</f>
        <v>0</v>
      </c>
      <c r="CI95" s="1">
        <f ca="1">SUMIFS(Table_Process_Details[RV Physical Mass per kg API (WATER)],Table_Process_Details[Display Name],Table_Process_Details[[#This Row],[Unique Process Inputs]],Table_Process_Details[Input or Output],"Input")</f>
        <v>0</v>
      </c>
      <c r="CJ95" s="1">
        <f ca="1">SUMIFS(Table_Process_Details[RV Physical Mass per kg API (ENZ&amp;PLNT)],Table_Process_Details[Display Name],Table_Process_Details[[#This Row],[Unique Process Inputs]],Table_Process_Details[Input or Output],"Input")</f>
        <v>0</v>
      </c>
      <c r="CK95" s="1">
        <f ca="1">SUMIFS(Table_Process_Details[RV Physical Mass per kg API (OTHER)],Table_Process_Details[Display Name],Table_Process_Details[[#This Row],[Unique Process Inputs]],Table_Process_Details[Input or Output],"Input")</f>
        <v>0</v>
      </c>
      <c r="CL95" s="22" t="e">
        <f ca="1">INDEX(Table_Process_Details[Unique Process Inputs],MATCH(Table_Process_Details[[#This Row],['[Physical Mass per kg API'] of Unique Inputs Sorted by '[Physical Mass per kg API']]],Table_Process_Details[Total '[Physical Mass per kg API'] of Unique Inputs],0))</f>
        <v>#N/A</v>
      </c>
      <c r="CM95" s="22" t="e">
        <f ca="1">IF(LARGE(Table_Process_Details[Total '[Physical Mass per kg API'] of Unique Inputs],Table_Process_Details[[#This Row],[Table Row]])=0,NA(),LARGE(Table_Process_Details[Total '[Physical Mass per kg API'] of Unique Inputs],Table_Process_Details[[#This Row],[Table Row]]))</f>
        <v>#N/A</v>
      </c>
      <c r="CN95" s="22" t="e">
        <f ca="1">SUM(OFFSET(Table_Process_Details['[Physical Mass per kg API'] of Unique Inputs Sorted by '[Physical Mass per kg API']],0,0,Table_Process_Details[[#This Row],[Table Row]]))</f>
        <v>#N/A</v>
      </c>
      <c r="CO95" s="22" t="e">
        <f ca="1">"("&amp;TEXT(Table_Process_Details[[#This Row],['[Physical Mass per kg API'] of Unique Inputs Sorted by '[Physical Mass per kg API']]]/SUMIF(Table_Process_Details['[Physical Mass per kg API'] of Unique Inputs Sorted by '[Physical Mass per kg API']],"&lt;&gt;#N/A"),"0%")&amp;")"</f>
        <v>#N/A</v>
      </c>
      <c r="CP95" s="22" t="e">
        <f ca="1">INDEX(Table_Process_Details[Total '[Physical Mass per kg API'] of Unique Inputs (REAGENT)],MATCH(Table_Process_Details[[#This Row],[Unique Inputs Sorted by '[Physical Mass per kg API']]],Table_Process_Details[Unique Process Inputs],0))</f>
        <v>#N/A</v>
      </c>
      <c r="CQ95" s="22" t="e">
        <f ca="1">INDEX(Table_Process_Details[Total '[Physical Mass per kg API'] of Unique Inputs (METAL)],MATCH(Table_Process_Details[[#This Row],[Unique Inputs Sorted by '[Physical Mass per kg API']]],Table_Process_Details[Unique Process Inputs],0))</f>
        <v>#N/A</v>
      </c>
      <c r="CR95" s="22" t="e">
        <f ca="1">INDEX(Table_Process_Details[Total '[Physical Mass per kg API'] of Unique Inputs (SOLVENT)],MATCH(Table_Process_Details[[#This Row],[Unique Inputs Sorted by '[Physical Mass per kg API']]],Table_Process_Details[Unique Process Inputs],0))</f>
        <v>#N/A</v>
      </c>
      <c r="CS95" s="22" t="e">
        <f ca="1">INDEX(Table_Process_Details[Total '[Physical Mass per kg API'] of Unique Inputs (WATER)],MATCH(Table_Process_Details[[#This Row],[Unique Inputs Sorted by '[Physical Mass per kg API']]],Table_Process_Details[Unique Process Inputs],0))</f>
        <v>#N/A</v>
      </c>
      <c r="CT95" s="22" t="e">
        <f ca="1">INDEX(Table_Process_Details[Total '[Physical Mass per kg API'] of Unique Inputs (ENZ&amp;PLNT)],MATCH(Table_Process_Details[[#This Row],[Unique Inputs Sorted by '[Physical Mass per kg API']]],Table_Process_Details[Unique Process Inputs],0))</f>
        <v>#N/A</v>
      </c>
      <c r="CU95" s="22" t="e">
        <f ca="1">INDEX(Table_Process_Details[Total '[Physical Mass per kg API'] of Unique Inputs (OTHER)],MATCH(Table_Process_Details[[#This Row],[Unique Inputs Sorted by '[Physical Mass per kg API']]],Table_Process_Details[Unique Process Inputs],0))</f>
        <v>#N/A</v>
      </c>
      <c r="CV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1.6688966539354837</v>
      </c>
      <c r="CW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1.6688966539354837</v>
      </c>
      <c r="CX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5"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5" s="22">
        <f ca="1">SUMIFS(Table_Process_Details[RV Mass Net (kg) per kg API],Table_Process_Details[Display Name],Table_Process_Details[[#This Row],[Unique Process Inputs]],Table_Process_Details[Input or Output],"Input")</f>
        <v>0</v>
      </c>
      <c r="DD95" s="22">
        <f ca="1">SUMIFS(Table_Process_Details[RV Mass Net (kg) per kg API (REAGENT)],Table_Process_Details[Display Name],Table_Process_Details[[#This Row],[Unique Process Inputs]],Table_Process_Details[Input or Output],"Input")</f>
        <v>0</v>
      </c>
      <c r="DE95" s="22">
        <f ca="1">SUMIFS(Table_Process_Details[RV Mass Net (kg) per kg API (METAL)],Table_Process_Details[Display Name],Table_Process_Details[[#This Row],[Unique Process Inputs]],Table_Process_Details[Input or Output],"Input")</f>
        <v>0</v>
      </c>
      <c r="DF95" s="22">
        <f ca="1">SUMIFS(Table_Process_Details[RV Mass Net (kg) per kg API (SOLVENT)],Table_Process_Details[Display Name],Table_Process_Details[[#This Row],[Unique Process Inputs]],Table_Process_Details[Input or Output],"Input")</f>
        <v>0</v>
      </c>
      <c r="DG95" s="22">
        <f ca="1">SUMIFS(Table_Process_Details[RV Mass Net (kg) per kg API (WATER)],Table_Process_Details[Display Name],Table_Process_Details[[#This Row],[Unique Process Inputs]],Table_Process_Details[Input or Output],"Input")</f>
        <v>0</v>
      </c>
      <c r="DH95" s="22">
        <f ca="1">SUMIFS(Table_Process_Details[RV Mass Net (kg) per kg API (ENZ&amp;PLNT)],Table_Process_Details[Display Name],Table_Process_Details[[#This Row],[Unique Process Inputs]],Table_Process_Details[Input or Output],"Input")</f>
        <v>0</v>
      </c>
      <c r="DI95" s="22">
        <f ca="1">SUMIFS(Table_Process_Details[RV Mass Net (kg) per kg API (OTHER)],Table_Process_Details[Display Name],Table_Process_Details[[#This Row],[Unique Process Inputs]],Table_Process_Details[Input or Output],"Input")</f>
        <v>0</v>
      </c>
      <c r="DJ95" s="22" t="e">
        <f ca="1">INDEX(Table_Process_Details[Unique Process Inputs],MATCH(Table_Process_Details[[#This Row],['[Mass Net (kg) per kg API'] of Unique Inputs Sorted by '[Mass Net (kg) per kg API']]],Table_Process_Details[Total '[Mass Net (kg) per kg API'] of Unique Inputs],0))</f>
        <v>#N/A</v>
      </c>
      <c r="DK95" s="22" t="e">
        <f ca="1">IF(LARGE(Table_Process_Details[Total '[Mass Net (kg) per kg API'] of Unique Inputs],Table_Process_Details[[#This Row],[Table Row]])=0,NA(),LARGE(Table_Process_Details[Total '[Mass Net (kg) per kg API'] of Unique Inputs],Table_Process_Details[[#This Row],[Table Row]]))</f>
        <v>#N/A</v>
      </c>
      <c r="DL95" s="22" t="e">
        <f ca="1">SUM(OFFSET(Table_Process_Details['[Mass Net (kg) per kg API'] of Unique Inputs Sorted by '[Mass Net (kg) per kg API']],0,0,Table_Process_Details[[#This Row],[Table Row]]))</f>
        <v>#N/A</v>
      </c>
      <c r="DM95" s="22" t="e">
        <f ca="1">"("&amp;TEXT(Table_Process_Details[[#This Row],['[Mass Net (kg) per kg API'] of Unique Inputs Sorted by '[Mass Net (kg) per kg API']]]/SUMIF(Table_Process_Details['[Mass Net (kg) per kg API'] of Unique Inputs Sorted by '[Mass Net (kg) per kg API']],"&lt;&gt;#N/A"),"0%")&amp;")"</f>
        <v>#N/A</v>
      </c>
      <c r="DN95" s="22" t="e">
        <f ca="1">INDEX(Table_Process_Details[Total '[Mass Net (kg) per kg API'] of Unique Inputs (REAGENT)], MATCH(Table_Process_Details[[#This Row],[Unique Inputs Sorted by '[Mass Net (kg) per kg API']]],Table_Process_Details[Unique Process Inputs],0))</f>
        <v>#N/A</v>
      </c>
      <c r="DO95" s="22" t="e">
        <f ca="1">INDEX(Table_Process_Details[Total '[Mass Net (kg) per kg API'] of Unique Inputs (METAL)], MATCH(Table_Process_Details[[#This Row],[Unique Inputs Sorted by '[Mass Net (kg) per kg API']]],Table_Process_Details[Unique Process Inputs],0))</f>
        <v>#N/A</v>
      </c>
      <c r="DP95" s="22" t="e">
        <f ca="1">INDEX(Table_Process_Details[Total '[Mass Net (kg) per kg API'] of Unique Inputs (SOLVENT)], MATCH(Table_Process_Details[[#This Row],[Unique Inputs Sorted by '[Mass Net (kg) per kg API']]],Table_Process_Details[Unique Process Inputs],0))</f>
        <v>#N/A</v>
      </c>
      <c r="DQ95" s="22" t="e">
        <f ca="1">INDEX(Table_Process_Details[Total '[Mass Net (kg) per kg API'] of Unique Inputs (WATER)], MATCH(Table_Process_Details[[#This Row],[Unique Inputs Sorted by '[Mass Net (kg) per kg API']]],Table_Process_Details[Unique Process Inputs],0))</f>
        <v>#N/A</v>
      </c>
      <c r="DR95" s="22" t="e">
        <f ca="1">INDEX(Table_Process_Details[Total '[Mass Net (kg) per kg API'] of Unique Inputs (ENZ&amp;PLNT)], MATCH(Table_Process_Details[[#This Row],[Unique Inputs Sorted by '[Mass Net (kg) per kg API']]],Table_Process_Details[Unique Process Inputs],0))</f>
        <v>#N/A</v>
      </c>
      <c r="DS95" s="22" t="e">
        <f ca="1">INDEX(Table_Process_Details[Total '[Mass Net (kg) per kg API'] of Unique Inputs (OTHER)], MATCH(Table_Process_Details[[#This Row],[Unique Inputs Sorted by '[Mass Net (kg) per kg API']]],Table_Process_Details[Unique Process Inputs],0))</f>
        <v>#N/A</v>
      </c>
      <c r="DT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59.89383089032259</v>
      </c>
      <c r="DU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59.89383089032259</v>
      </c>
      <c r="DV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5"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5" s="1">
        <f ca="1">SUMIFS(Table_Process_Details[RV Energy (MJ) per kg API],Table_Process_Details[Display Name],Table_Process_Details[[#This Row],[Unique Process Inputs]],Table_Process_Details[Input or Output],"Input")</f>
        <v>0</v>
      </c>
      <c r="EB95" s="1">
        <f ca="1">SUMIFS(Table_Process_Details[RV Energy (MJ) per kg API (REAGENT)],Table_Process_Details[Display Name],Table_Process_Details[[#This Row],[Unique Process Inputs]],Table_Process_Details[Input or Output],"Input")</f>
        <v>0</v>
      </c>
      <c r="EC95" s="1">
        <f ca="1">SUMIFS(Table_Process_Details[RV Energy (MJ) per kg API (METAL)],Table_Process_Details[Display Name],Table_Process_Details[[#This Row],[Unique Process Inputs]],Table_Process_Details[Input or Output],"Input")</f>
        <v>0</v>
      </c>
      <c r="ED95" s="1">
        <f ca="1">SUMIFS(Table_Process_Details[RV Energy (MJ) per kg API (SOLVENT)],Table_Process_Details[Display Name],Table_Process_Details[[#This Row],[Unique Process Inputs]],Table_Process_Details[Input or Output],"Input")</f>
        <v>0</v>
      </c>
      <c r="EE95" s="1">
        <f ca="1">SUMIFS(Table_Process_Details[RV Energy (MJ) per kg API (WATER)],Table_Process_Details[Display Name],Table_Process_Details[[#This Row],[Unique Process Inputs]],Table_Process_Details[Input or Output],"Input")</f>
        <v>0</v>
      </c>
      <c r="EF95" s="1">
        <f ca="1">SUMIFS(Table_Process_Details[RV Energy (MJ) per kg API (ENZ&amp;PLNT)],Table_Process_Details[Display Name],Table_Process_Details[[#This Row],[Unique Process Inputs]],Table_Process_Details[Input or Output],"Input")</f>
        <v>0</v>
      </c>
      <c r="EG95" s="1">
        <f ca="1">SUMIFS(Table_Process_Details[RV Energy (MJ) per kg API (OTHER)],Table_Process_Details[Display Name],Table_Process_Details[[#This Row],[Unique Process Inputs]],Table_Process_Details[Input or Output],"Input")</f>
        <v>0</v>
      </c>
      <c r="EH95" s="1" t="e">
        <f ca="1">INDEX(Table_Process_Details[Unique Process Inputs],MATCH(Table_Process_Details[[#This Row],['[Energy (MJ) per kg API'] of Unique Inputs Sorted by '[Energy (MJ) per kg API']]],Table_Process_Details[Total '[Energy (MJ) per kg API'] of Unique Inputs],0))</f>
        <v>#N/A</v>
      </c>
      <c r="EI95" s="22" t="e">
        <f ca="1">IF(LARGE(Table_Process_Details[Total '[Energy (MJ) per kg API'] of Unique Inputs],Table_Process_Details[[#This Row],[Table Row]])=0,NA(),LARGE(Table_Process_Details[Total '[Energy (MJ) per kg API'] of Unique Inputs],Table_Process_Details[[#This Row],[Table Row]]))</f>
        <v>#N/A</v>
      </c>
      <c r="EJ95" s="22" t="e">
        <f ca="1">SUM(OFFSET(Table_Process_Details['[Energy (MJ) per kg API'] of Unique Inputs Sorted by '[Energy (MJ) per kg API']],0,0,Table_Process_Details[[#This Row],[Table Row]]))</f>
        <v>#N/A</v>
      </c>
      <c r="EK95" s="22" t="e">
        <f ca="1">"("&amp;TEXT(Table_Process_Details[[#This Row],['[Energy (MJ) per kg API'] of Unique Inputs Sorted by '[Energy (MJ) per kg API']]]/SUMIF(Table_Process_Details['[Energy (MJ) per kg API'] of Unique Inputs Sorted by '[Energy (MJ) per kg API']],"&lt;&gt;#N/A"),"0%")&amp;")"</f>
        <v>#N/A</v>
      </c>
      <c r="EL95" s="22" t="e">
        <f ca="1">INDEX(Table_Process_Details[Total '[Energy (MJ) per kg API'] of Unique Inputs (REAGENT)], MATCH(Table_Process_Details[[#This Row],[Unique Inputs Sorted by '[Energy (MJ) per kg API']]],Table_Process_Details[Unique Process Inputs],0))</f>
        <v>#N/A</v>
      </c>
      <c r="EM95" s="22" t="e">
        <f ca="1">INDEX(Table_Process_Details[Total '[Energy (MJ) per kg API'] of Unique Inputs (METAL)], MATCH(Table_Process_Details[[#This Row],[Unique Inputs Sorted by '[Energy (MJ) per kg API']]],Table_Process_Details[Unique Process Inputs],0))</f>
        <v>#N/A</v>
      </c>
      <c r="EN95" s="22" t="e">
        <f ca="1">INDEX(Table_Process_Details[Total '[Energy (MJ) per kg API'] of Unique Inputs (SOLVENT)], MATCH(Table_Process_Details[[#This Row],[Unique Inputs Sorted by '[Energy (MJ) per kg API']]],Table_Process_Details[Unique Process Inputs],0))</f>
        <v>#N/A</v>
      </c>
      <c r="EO95" s="22" t="e">
        <f ca="1">INDEX(Table_Process_Details[Total '[Energy (MJ) per kg API'] of Unique Inputs (WATER)], MATCH(Table_Process_Details[[#This Row],[Unique Inputs Sorted by '[Energy (MJ) per kg API']]],Table_Process_Details[Unique Process Inputs],0))</f>
        <v>#N/A</v>
      </c>
      <c r="EP95" s="22" t="e">
        <f ca="1">INDEX(Table_Process_Details[Total '[Energy (MJ) per kg API'] of Unique Inputs (ENZ&amp;PLNT)], MATCH(Table_Process_Details[[#This Row],[Unique Inputs Sorted by '[Energy (MJ) per kg API']]],Table_Process_Details[Unique Process Inputs],0))</f>
        <v>#N/A</v>
      </c>
      <c r="EQ95" s="22" t="e">
        <f ca="1">INDEX(Table_Process_Details[Total '[Energy (MJ) per kg API'] of Unique Inputs (OTHER)], MATCH(Table_Process_Details[[#This Row],[Unique Inputs Sorted by '[Energy (MJ) per kg API']]],Table_Process_Details[Unique Process Inputs],0))</f>
        <v>#N/A</v>
      </c>
      <c r="ER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2.0995228446451608</v>
      </c>
      <c r="ES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2.0995228446451608</v>
      </c>
      <c r="ET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5"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5" s="22">
        <f ca="1">SUMIFS(Table_Process_Details[RV GWP (kg CO2 equiv.) per kg API],Table_Process_Details[Display Name],Table_Process_Details[[#This Row],[Unique Process Inputs]],Table_Process_Details[Input or Output],"Input")</f>
        <v>0</v>
      </c>
      <c r="EZ95" s="1">
        <f ca="1">SUMIFS(Table_Process_Details[RV GWP (kg CO2 equiv.) per kg API (REAGENT)],Table_Process_Details[Display Name],Table_Process_Details[[#This Row],[Unique Process Inputs]],Table_Process_Details[Input or Output],"Input")</f>
        <v>0</v>
      </c>
      <c r="FA95" s="1">
        <f ca="1">SUMIFS(Table_Process_Details[RV GWP (kg CO2 equiv.) per kg API (METAL)],Table_Process_Details[Display Name],Table_Process_Details[[#This Row],[Unique Process Inputs]],Table_Process_Details[Input or Output],"Input")</f>
        <v>0</v>
      </c>
      <c r="FB95" s="1">
        <f ca="1">SUMIFS(Table_Process_Details[RV GWP (kg CO2 equiv.) per kg API (SOLVENT)],Table_Process_Details[Display Name],Table_Process_Details[[#This Row],[Unique Process Inputs]],Table_Process_Details[Input or Output],"Input")</f>
        <v>0</v>
      </c>
      <c r="FC95" s="1">
        <f ca="1">SUMIFS(Table_Process_Details[RV GWP (kg CO2 equiv.) per kg API (WATER)],Table_Process_Details[Display Name],Table_Process_Details[[#This Row],[Unique Process Inputs]],Table_Process_Details[Input or Output],"Input")</f>
        <v>0</v>
      </c>
      <c r="FD95" s="1">
        <f ca="1">SUMIFS(Table_Process_Details[RV GWP (kg CO2 equiv.) per kg API (ENZ&amp;PLNT)],Table_Process_Details[Display Name],Table_Process_Details[[#This Row],[Unique Process Inputs]],Table_Process_Details[Input or Output],"Input")</f>
        <v>0</v>
      </c>
      <c r="FE95" s="1">
        <f ca="1">SUMIFS(Table_Process_Details[RV GWP (kg CO2 equiv.) per kg API (OTHER)],Table_Process_Details[Display Name],Table_Process_Details[[#This Row],[Unique Process Inputs]],Table_Process_Details[Input or Output],"Input")</f>
        <v>0</v>
      </c>
      <c r="FF95" s="22" t="e">
        <f ca="1">INDEX(Table_Process_Details[Unique Process Inputs],MATCH(Table_Process_Details[[#This Row],['[GWP (kg CO2 equiv.) per kg API'] of Unique Inputs Sorted by '[GWP (kg CO2 equiv.) per kg API']]],Table_Process_Details[Total '[GWP (kg CO2 equiv.) per kg API'] of Unique Inputs],0))</f>
        <v>#N/A</v>
      </c>
      <c r="FG95" s="22" t="e">
        <f ca="1">IF(LARGE(Table_Process_Details[Total '[GWP (kg CO2 equiv.) per kg API'] of Unique Inputs],Table_Process_Details[[#This Row],[Table Row]])=0,NA(),LARGE(Table_Process_Details[Total '[GWP (kg CO2 equiv.) per kg API'] of Unique Inputs],Table_Process_Details[[#This Row],[Table Row]]))</f>
        <v>#N/A</v>
      </c>
      <c r="FH95" s="22" t="e">
        <f ca="1">SUM(OFFSET(Table_Process_Details['[GWP (kg CO2 equiv.) per kg API'] of Unique Inputs Sorted by '[GWP (kg CO2 equiv.) per kg API']],0,0,Table_Process_Details[[#This Row],[Table Row]]))</f>
        <v>#N/A</v>
      </c>
      <c r="FI95" s="22" t="e">
        <f ca="1">"("&amp;TEXT(Table_Process_Details[[#This Row],['[GWP (kg CO2 equiv.) per kg API'] of Unique Inputs Sorted by '[GWP (kg CO2 equiv.) per kg API']]]/SUMIF(Table_Process_Details['[GWP (kg CO2 equiv.) per kg API'] of Unique Inputs Sorted by '[GWP (kg CO2 equiv.) per kg API']],"&lt;&gt;#N/A"),"0%")&amp;")"</f>
        <v>#N/A</v>
      </c>
      <c r="FJ95" s="22" t="e">
        <f ca="1">INDEX(Table_Process_Details[Total '[GWP (kg CO2 equiv.) per kg API'] of Unique Inputs (REAGENT)], MATCH(Table_Process_Details[[#This Row],[Unique Inputs Sorted by '[GWP (kg CO2 equiv.) per kg API']]],Table_Process_Details[Unique Process Inputs],0))</f>
        <v>#N/A</v>
      </c>
      <c r="FK95" s="22" t="e">
        <f ca="1">INDEX(Table_Process_Details[Total '[GWP (kg CO2 equiv.) per kg API'] of Unique Inputs (METAL)], MATCH(Table_Process_Details[[#This Row],[Unique Inputs Sorted by '[GWP (kg CO2 equiv.) per kg API']]],Table_Process_Details[Unique Process Inputs],0))</f>
        <v>#N/A</v>
      </c>
      <c r="FL95" s="22" t="e">
        <f ca="1">INDEX(Table_Process_Details[Total '[GWP (kg CO2 equiv.) per kg API'] of Unique Inputs (SOLVENT)], MATCH(Table_Process_Details[[#This Row],[Unique Inputs Sorted by '[GWP (kg CO2 equiv.) per kg API']]],Table_Process_Details[Unique Process Inputs],0))</f>
        <v>#N/A</v>
      </c>
      <c r="FM95" s="22" t="e">
        <f ca="1">INDEX(Table_Process_Details[Total '[GWP (kg CO2 equiv.) per kg API'] of Unique Inputs (WATER)], MATCH(Table_Process_Details[[#This Row],[Unique Inputs Sorted by '[GWP (kg CO2 equiv.) per kg API']]],Table_Process_Details[Unique Process Inputs],0))</f>
        <v>#N/A</v>
      </c>
      <c r="FN95" s="22" t="e">
        <f ca="1">INDEX(Table_Process_Details[Total '[GWP (kg CO2 equiv.) per kg API'] of Unique Inputs (ENZ&amp;PLNT)], MATCH(Table_Process_Details[[#This Row],[Unique Inputs Sorted by '[GWP (kg CO2 equiv.) per kg API']]],Table_Process_Details[Unique Process Inputs],0))</f>
        <v>#N/A</v>
      </c>
      <c r="FO95" s="22" t="e">
        <f ca="1">INDEX(Table_Process_Details[Total '[GWP (kg CO2 equiv.) per kg API'] of Unique Inputs (OTHER)], MATCH(Table_Process_Details[[#This Row],[Unique Inputs Sorted by '[GWP (kg CO2 equiv.) per kg API']]],Table_Process_Details[Unique Process Inputs],0))</f>
        <v>#N/A</v>
      </c>
      <c r="FP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8.9784909948387101E-3</v>
      </c>
      <c r="FQ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8.9784909948387101E-3</v>
      </c>
      <c r="FR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5"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5" s="22">
        <f ca="1">SUMIFS(Table_Process_Details[RV Acidification (kg SO2 equiv.) per kg API],Table_Process_Details[Display Name],Table_Process_Details[[#This Row],[Unique Process Inputs]],Table_Process_Details[Input or Output],"Input")</f>
        <v>0</v>
      </c>
      <c r="FX95" s="1">
        <f ca="1">SUMIFS(Table_Process_Details[RV Acidification (kg SO2 equiv.) per kg API (REAGENT)],Table_Process_Details[Display Name],Table_Process_Details[[#This Row],[Unique Process Inputs]],Table_Process_Details[Input or Output],"Input")</f>
        <v>0</v>
      </c>
      <c r="FY95" s="1">
        <f ca="1">SUMIFS(Table_Process_Details[RV Acidification (kg SO2 equiv.) per kg API (METAL)],Table_Process_Details[Display Name],Table_Process_Details[[#This Row],[Unique Process Inputs]],Table_Process_Details[Input or Output],"Input")</f>
        <v>0</v>
      </c>
      <c r="FZ95" s="1">
        <f ca="1">SUMIFS(Table_Process_Details[RV Acidification (kg SO2 equiv.) per kg API (SOLVENT)],Table_Process_Details[Display Name],Table_Process_Details[[#This Row],[Unique Process Inputs]],Table_Process_Details[Input or Output],"Input")</f>
        <v>0</v>
      </c>
      <c r="GA95" s="1">
        <f ca="1">SUMIFS(Table_Process_Details[RV Acidification (kg SO2 equiv.) per kg API (WATER)],Table_Process_Details[Display Name],Table_Process_Details[[#This Row],[Unique Process Inputs]],Table_Process_Details[Input or Output],"Input")</f>
        <v>0</v>
      </c>
      <c r="GB95" s="1">
        <f ca="1">SUMIFS(Table_Process_Details[RV Acidification (kg SO2 equiv.) per kg API (ENZ&amp;PLNT)],Table_Process_Details[Display Name],Table_Process_Details[[#This Row],[Unique Process Inputs]],Table_Process_Details[Input or Output],"Input")</f>
        <v>0</v>
      </c>
      <c r="GC95" s="1">
        <f ca="1">SUMIFS(Table_Process_Details[RV Acidification (kg SO2 equiv.) per kg API (OTHER)],Table_Process_Details[Display Name],Table_Process_Details[[#This Row],[Unique Process Inputs]],Table_Process_Details[Input or Output],"Input")</f>
        <v>0</v>
      </c>
      <c r="GD95"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5"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5" s="22" t="e">
        <f ca="1">SUM(OFFSET(Table_Process_Details['[Acidification (kg SO2 equiv.) per kg API'] of Unique Inputs Sorted by '[Acidification (kg SO2 equiv.) per kg API']],0,0,Table_Process_Details[[#This Row],[Table Row]]))</f>
        <v>#N/A</v>
      </c>
      <c r="GG95"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5" s="22" t="e">
        <f ca="1">INDEX(Table_Process_Details[Total '[Acidification (kg SO2 equiv.) per kg API'] of Unique Inputs (REAGENT)], MATCH(Table_Process_Details[[#This Row],[Unique Inputs Sorted by '[Acidification (kg SO2 equiv.) per kg API']]],Table_Process_Details[Unique Process Inputs],0))</f>
        <v>#N/A</v>
      </c>
      <c r="GI95" s="22" t="e">
        <f ca="1">INDEX(Table_Process_Details[Total '[Acidification (kg SO2 equiv.) per kg API'] of Unique Inputs (METAL)], MATCH(Table_Process_Details[[#This Row],[Unique Inputs Sorted by '[Acidification (kg SO2 equiv.) per kg API']]],Table_Process_Details[Unique Process Inputs],0))</f>
        <v>#N/A</v>
      </c>
      <c r="GJ95" s="22" t="e">
        <f ca="1">INDEX(Table_Process_Details[Total '[Acidification (kg SO2 equiv.) per kg API'] of Unique Inputs (SOLVENT)], MATCH(Table_Process_Details[[#This Row],[Unique Inputs Sorted by '[Acidification (kg SO2 equiv.) per kg API']]],Table_Process_Details[Unique Process Inputs],0))</f>
        <v>#N/A</v>
      </c>
      <c r="GK95" s="22" t="e">
        <f ca="1">INDEX(Table_Process_Details[Total '[Acidification (kg SO2 equiv.) per kg API'] of Unique Inputs (WATER)], MATCH(Table_Process_Details[[#This Row],[Unique Inputs Sorted by '[Acidification (kg SO2 equiv.) per kg API']]],Table_Process_Details[Unique Process Inputs],0))</f>
        <v>#N/A</v>
      </c>
      <c r="GL95" s="22" t="e">
        <f ca="1">INDEX(Table_Process_Details[Total '[Acidification (kg SO2 equiv.) per kg API'] of Unique Inputs (ENZ&amp;PLNT)], MATCH(Table_Process_Details[[#This Row],[Unique Inputs Sorted by '[Acidification (kg SO2 equiv.) per kg API']]],Table_Process_Details[Unique Process Inputs],0))</f>
        <v>#N/A</v>
      </c>
      <c r="GM95" s="22" t="e">
        <f ca="1">INDEX(Table_Process_Details[Total '[Acidification (kg SO2 equiv.) per kg API'] of Unique Inputs (OTHER)], MATCH(Table_Process_Details[[#This Row],[Unique Inputs Sorted by '[Acidification (kg SO2 equiv.) per kg API']]],Table_Process_Details[Unique Process Inputs],0))</f>
        <v>#N/A</v>
      </c>
      <c r="GN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7.1891628980645167E-3</v>
      </c>
      <c r="GO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7.1891628980645167E-3</v>
      </c>
      <c r="GP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5"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5" s="22">
        <f ca="1">SUMIFS(Table_Process_Details[RV Eutrophication (kg phosphate equiv.) per kg API],Table_Process_Details[Display Name],Table_Process_Details[[#This Row],[Unique Process Inputs]],Table_Process_Details[Input or Output],"Input")</f>
        <v>0</v>
      </c>
      <c r="GV95" s="1">
        <f ca="1">SUMIFS(Table_Process_Details[RV Eutrophication (kg phosphate equiv.) per kg API (REAGENT)],Table_Process_Details[Display Name],Table_Process_Details[[#This Row],[Unique Process Inputs]],Table_Process_Details[Input or Output],"Input")</f>
        <v>0</v>
      </c>
      <c r="GW95" s="1">
        <f ca="1">SUMIFS(Table_Process_Details[RV Eutrophication (kg phosphate equiv.) per kg API (METAL)],Table_Process_Details[Display Name],Table_Process_Details[[#This Row],[Unique Process Inputs]],Table_Process_Details[Input or Output],"Input")</f>
        <v>0</v>
      </c>
      <c r="GX95" s="1">
        <f ca="1">SUMIFS(Table_Process_Details[RV Eutrophication (kg phosphate equiv.) per kg API (SOLVENT)],Table_Process_Details[Display Name],Table_Process_Details[[#This Row],[Unique Process Inputs]],Table_Process_Details[Input or Output],"Input")</f>
        <v>0</v>
      </c>
      <c r="GY95" s="1">
        <f ca="1">SUMIFS(Table_Process_Details[RV Eutrophication (kg phosphate equiv.) per kg API (WATER)],Table_Process_Details[Display Name],Table_Process_Details[[#This Row],[Unique Process Inputs]],Table_Process_Details[Input or Output],"Input")</f>
        <v>0</v>
      </c>
      <c r="GZ95" s="1">
        <f ca="1">SUMIFS(Table_Process_Details[RV Eutrophication (kg phosphate equiv.) per kg API (ENZ&amp;PLNT)],Table_Process_Details[Display Name],Table_Process_Details[[#This Row],[Unique Process Inputs]],Table_Process_Details[Input or Output],"Input")</f>
        <v>0</v>
      </c>
      <c r="HA95" s="1">
        <f ca="1">SUMIFS(Table_Process_Details[RV Eutrophication (kg phosphate equiv.) per kg API (OTHER)],Table_Process_Details[Display Name],Table_Process_Details[[#This Row],[Unique Process Inputs]],Table_Process_Details[Input or Output],"Input")</f>
        <v>0</v>
      </c>
      <c r="HB95"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5"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5" s="22" t="e">
        <f ca="1">SUM(OFFSET(Table_Process_Details['[Eutrophication (kg posphate equiv.) per kg API'] of Unique Inputs Sorted by '[Eutrophication (kg posphate equiv.) per kg API']],0,0,Table_Process_Details[[#This Row],[Table Row]]))</f>
        <v>#N/A</v>
      </c>
      <c r="HE95"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5" s="1" t="e">
        <f ca="1">INDEX(Table_Process_Details[Total '[Eutrophication (kg posphate equiv.) per kg API'] of Unique Inputs (REAGENT)], MATCH(Table_Process_Details[[#This Row],[Unique Inputs Sorted by '[Eutrophication (kg posphate equiv.) per kg API']]],Table_Process_Details[Unique Process Inputs],0))</f>
        <v>#N/A</v>
      </c>
      <c r="HG95" s="1" t="e">
        <f ca="1">INDEX(Table_Process_Details[Total '[Eutrophication (kg posphate equiv.) per kg API'] of Unique Inputs (METAL)], MATCH(Table_Process_Details[[#This Row],[Unique Inputs Sorted by '[Eutrophication (kg posphate equiv.) per kg API']]],Table_Process_Details[Unique Process Inputs],0))</f>
        <v>#N/A</v>
      </c>
      <c r="HH95" s="1" t="e">
        <f ca="1">INDEX(Table_Process_Details[Total '[Eutrophication (kg posphate equiv.) per kg API'] of Unique Inputs (SOLVENT)], MATCH(Table_Process_Details[[#This Row],[Unique Inputs Sorted by '[Eutrophication (kg posphate equiv.) per kg API']]],Table_Process_Details[Unique Process Inputs],0))</f>
        <v>#N/A</v>
      </c>
      <c r="HI95" s="1" t="e">
        <f ca="1">INDEX(Table_Process_Details[Total '[Eutrophication (kg posphate equiv.) per kg API'] of Unique Inputs (WATER)], MATCH(Table_Process_Details[[#This Row],[Unique Inputs Sorted by '[Eutrophication (kg posphate equiv.) per kg API']]],Table_Process_Details[Unique Process Inputs],0))</f>
        <v>#N/A</v>
      </c>
      <c r="HJ95" s="1" t="e">
        <f ca="1">INDEX(Table_Process_Details[Total '[Eutrophication (kg posphate equiv.) per kg API'] of Unique Inputs (ENZ&amp;PLNT)], MATCH(Table_Process_Details[[#This Row],[Unique Inputs Sorted by '[Eutrophication (kg posphate equiv.) per kg API']]],Table_Process_Details[Unique Process Inputs],0))</f>
        <v>#N/A</v>
      </c>
      <c r="HK95" s="1" t="e">
        <f ca="1">INDEX(Table_Process_Details[Total '[Eutrophication (kg posphate equiv.) per kg API'] of Unique Inputs (OTHER)], MATCH(Table_Process_Details[[#This Row],[Unique Inputs Sorted by '[Eutrophication (kg posphate equiv.) per kg API']]],Table_Process_Details[Unique Process Inputs],0))</f>
        <v>#N/A</v>
      </c>
      <c r="HL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11.756255358580646</v>
      </c>
      <c r="HM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11.756255358580646</v>
      </c>
      <c r="HN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5"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5" s="1">
        <f ca="1">SUMIFS(Table_Process_Details[RV Water (kg) per kg API],Table_Process_Details[Display Name],Table_Process_Details[[#This Row],[Unique Process Inputs]],Table_Process_Details[Input or Output],"Input")</f>
        <v>0</v>
      </c>
      <c r="HT95" s="1">
        <f ca="1">SUMIFS(Table_Process_Details[RV Water (kg) per kg API (REAGENT)],Table_Process_Details[Display Name],Table_Process_Details[[#This Row],[Unique Process Inputs]],Table_Process_Details[Input or Output],"Input")</f>
        <v>0</v>
      </c>
      <c r="HU95" s="1">
        <f ca="1">SUMIFS(Table_Process_Details[RV Water (kg) per kg API (METAL)],Table_Process_Details[Display Name],Table_Process_Details[[#This Row],[Unique Process Inputs]],Table_Process_Details[Input or Output],"Input")</f>
        <v>0</v>
      </c>
      <c r="HV95" s="1">
        <f ca="1">SUMIFS(Table_Process_Details[RV Water (kg) per kg API (SOLVENT)],Table_Process_Details[Display Name],Table_Process_Details[[#This Row],[Unique Process Inputs]],Table_Process_Details[Input or Output],"Input")</f>
        <v>0</v>
      </c>
      <c r="HW95" s="1">
        <f ca="1">SUMIFS(Table_Process_Details[RV Water (kg) per kg API (WATER)],Table_Process_Details[Display Name],Table_Process_Details[[#This Row],[Unique Process Inputs]],Table_Process_Details[Input or Output],"Input")</f>
        <v>0</v>
      </c>
      <c r="HX95" s="1">
        <f ca="1">SUMIFS(Table_Process_Details[RV Water (kg) per kg API (ENZ&amp;PLNT)],Table_Process_Details[Display Name],Table_Process_Details[[#This Row],[Unique Process Inputs]],Table_Process_Details[Input or Output],"Input")</f>
        <v>0</v>
      </c>
      <c r="HY95" s="1">
        <f ca="1">SUMIFS(Table_Process_Details[RV Water (kg) per kg API (OTHER)],Table_Process_Details[Display Name],Table_Process_Details[[#This Row],[Unique Process Inputs]],Table_Process_Details[Input or Output],"Input")</f>
        <v>0</v>
      </c>
      <c r="HZ95" s="22" t="e">
        <f ca="1">INDEX(Table_Process_Details[Unique Process Inputs],MATCH(Table_Process_Details[[#This Row],['[Water (kg) per kg API'] of Unique Inputs Sorted by '[Water (kg) per kg API']]],Table_Process_Details[Total '[Water (kg) per kg API'] of Unique Inputs],0))</f>
        <v>#N/A</v>
      </c>
      <c r="IA95" s="22" t="e">
        <f ca="1">IF(LARGE(Table_Process_Details[Total '[Water (kg) per kg API'] of Unique Inputs],Table_Process_Details[[#This Row],[Table Row]])=0,NA(),LARGE(Table_Process_Details[Total '[Water (kg) per kg API'] of Unique Inputs],Table_Process_Details[[#This Row],[Table Row]]))</f>
        <v>#N/A</v>
      </c>
      <c r="IB95" s="1" t="e">
        <f ca="1">SUM(OFFSET(Table_Process_Details['[Water (kg) per kg API'] of Unique Inputs Sorted by '[Water (kg) per kg API']],0,0,Table_Process_Details[[#This Row],[Table Row]]))</f>
        <v>#N/A</v>
      </c>
      <c r="IC95" s="1" t="e">
        <f ca="1">"("&amp;TEXT(Table_Process_Details[[#This Row],['[Water (kg) per kg API'] of Unique Inputs Sorted by '[Water (kg) per kg API']]]/SUMIF(Table_Process_Details['[Water (kg) per kg API'] of Unique Inputs Sorted by '[Water (kg) per kg API']],"&lt;&gt;#N/A"),"0%")&amp;")"</f>
        <v>#N/A</v>
      </c>
      <c r="ID95" s="1" t="e">
        <f ca="1">INDEX(Table_Process_Details[Total '[Water (kg) per kg API'] of Unique Inputs (REAGENT)], MATCH(Table_Process_Details[[#This Row],[Unique Inputs Sorted by '[Water (kg) per kg API']]],Table_Process_Details[Unique Process Inputs],0))</f>
        <v>#N/A</v>
      </c>
      <c r="IE95" s="1" t="e">
        <f ca="1">INDEX(Table_Process_Details[Total '[Water (kg) per kg API'] of Unique Inputs (METAL)], MATCH(Table_Process_Details[[#This Row],[Unique Inputs Sorted by '[Water (kg) per kg API']]],Table_Process_Details[Unique Process Inputs],0))</f>
        <v>#N/A</v>
      </c>
      <c r="IF95" s="1" t="e">
        <f ca="1">INDEX(Table_Process_Details[Total '[Water (kg) per kg API'] of Unique Inputs (SOLVENT)], MATCH(Table_Process_Details[[#This Row],[Unique Inputs Sorted by '[Water (kg) per kg API']]],Table_Process_Details[Unique Process Inputs],0))</f>
        <v>#N/A</v>
      </c>
      <c r="IG95" s="1" t="e">
        <f ca="1">INDEX(Table_Process_Details[Total '[Water (kg) per kg API'] of Unique Inputs (WATER)], MATCH(Table_Process_Details[[#This Row],[Unique Inputs Sorted by '[Water (kg) per kg API']]],Table_Process_Details[Unique Process Inputs],0))</f>
        <v>#N/A</v>
      </c>
      <c r="IH95" s="1" t="e">
        <f ca="1">INDEX(Table_Process_Details[Total '[Water (kg) per kg API'] of Unique Inputs (ENZ&amp;PLNT)], MATCH(Table_Process_Details[[#This Row],[Unique Inputs Sorted by '[Water (kg) per kg API']]],Table_Process_Details[Unique Process Inputs],0))</f>
        <v>#N/A</v>
      </c>
      <c r="II95" s="1" t="e">
        <f ca="1">INDEX(Table_Process_Details[Total '[Water (kg) per kg API'] of Unique Inputs (OTHER)], MATCH(Table_Process_Details[[#This Row],[Unique Inputs Sorted by '[Water (kg) per kg API']]],Table_Process_Details[Unique Process Inputs],0))</f>
        <v>#N/A</v>
      </c>
    </row>
    <row r="96" spans="1:243" customFormat="1" x14ac:dyDescent="0.25">
      <c r="A96" s="22" t="str">
        <f t="shared" si="4"/>
        <v>5) Pure Step</v>
      </c>
      <c r="B96" s="21" t="s">
        <v>4</v>
      </c>
      <c r="C96" s="21" t="s">
        <v>6</v>
      </c>
      <c r="D96" s="22" t="s">
        <v>110</v>
      </c>
      <c r="E96" s="22" t="s">
        <v>110</v>
      </c>
      <c r="F96" s="26">
        <v>400</v>
      </c>
      <c r="G96" s="26"/>
      <c r="H96" s="26"/>
      <c r="I96" s="26"/>
      <c r="J96" s="26" t="str">
        <f>INDEX(Process_Steps[Reference],MATCH(Table_Process_Details[[#This Row],[Step Name]],Process_Steps[Name],0))</f>
        <v>Reference Document for API step</v>
      </c>
      <c r="K96" s="27" t="str">
        <f>INDEX(Process_Steps[Real or Virtual?],MATCH(Table_Process_Details[[#This Row],[Step Name]],Process_Steps[Name],0))</f>
        <v>Real</v>
      </c>
      <c r="L96"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67-56-1</v>
      </c>
      <c r="M96"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96" s="26">
        <f>INDEX(Table_Process_Details[Physical Mass (kg)],MATCH(1,INDEX(((Table_Process_Details[Step Name]=Table_Process_Details[[#This Row],[Step Name]])*(Table_Process_Details[Input or Output]="Output")),0),0))</f>
        <v>28</v>
      </c>
      <c r="O96" s="29">
        <f ca="1">INDEX(Process_Steps[Step Scale Factor for 1kg Packaged API],MATCH(Table_Process_Details[[#This Row],[Step Name]],Process_Steps[Name],0))</f>
        <v>0.04</v>
      </c>
      <c r="P96"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19.399999999999999</v>
      </c>
      <c r="Q96"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0.39999999999999858</v>
      </c>
      <c r="R96" s="26">
        <f ca="1">_xlfn.SWITCH(Run_Reset_PNG,"Reset",Table_Process_Details[[#This Row],[X Init]],"Run",Table_Process_Details[[#This Row],[X Moved]],"Freeze",Table_Process_Details[[#This Row],[X Mover]])</f>
        <v>34.161198461923846</v>
      </c>
      <c r="S96" s="26">
        <f ca="1">_xlfn.SWITCH(Run_Reset_PNG,"Reset",Table_Process_Details[[#This Row],[Y Init]],"Run",Table_Process_Details[[#This Row],[Y Moved]],"Freeze",Table_Process_Details[[#This Row],[Y Mover]])</f>
        <v>2.7979615120406574</v>
      </c>
      <c r="T96" s="26" cm="1">
        <f t="array" aca="1" ref="T96"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7.8740393243260156</v>
      </c>
      <c r="U96" s="26" cm="1">
        <f t="array" aca="1" ref="U96"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-2.2118302641116125</v>
      </c>
      <c r="V96" s="26" cm="1">
        <f t="array" aca="1" ref="V96" ca="1">SUM(--(SQRT((Table_Process_Details[[#This Row],[X Mover]]-Table_Process_Details[X Mover])^2+(Table_Process_Details[[#This Row],[Y Mover]]-Table_Process_Details[Y Mover])^2)&lt;Collision_Distance))</f>
        <v>9</v>
      </c>
      <c r="W96" s="26" cm="1">
        <f t="array" aca="1" ref="W96"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-0.74742638098037084</v>
      </c>
      <c r="X96" s="26" cm="1">
        <f t="array" aca="1" ref="X96"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0.30990781233477199</v>
      </c>
      <c r="Y96" s="26" cm="1">
        <f t="array" aca="1" ref="Y96"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6" s="26">
        <f>0</f>
        <v>0</v>
      </c>
      <c r="AA96" s="26">
        <f>0</f>
        <v>0</v>
      </c>
      <c r="AB96"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-17.080599230961923</v>
      </c>
      <c r="AC96" s="26" cm="1">
        <f t="array" aca="1" ref="AC96"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-1.3989807560203287</v>
      </c>
      <c r="AD96" s="26">
        <f>MIN(1,COUNTA(Table_Process_Details[[#This Row],[target x]]),COUNTA(Table_Process_Details[[#This Row],[target y]]))*COUNTA(Table_Process_Details[Step Name])</f>
        <v>98</v>
      </c>
      <c r="AE96"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34.11437351031455</v>
      </c>
      <c r="AF96"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2.8478350923038631</v>
      </c>
      <c r="AG96"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6" s="26" cm="1">
        <f t="array" aca="1" ref="AH96" ca="1">INDEX(Table_Process_Details[X Mover],MATCH(1,INDEX((Table_Process_Details[Input or Output]="Output")*(Table_Process_Details[Step Name]=Table_Process_Details[[#This Row],[Step Name]])*(Table_Process_Details[[#This Row],[Input or Output]]="Input"),0),0))</f>
        <v>29.895118457910893</v>
      </c>
      <c r="AI96" s="26" cm="1">
        <f t="array" aca="1" ref="AI96" ca="1">INDEX(Table_Process_Details[Y Mover],MATCH(1,INDEX((Table_Process_Details[Input or Output]="Output")*(Table_Process_Details[Step Name]=Table_Process_Details[[#This Row],[Step Name]])*(Table_Process_Details[[#This Row],[Input or Output]]="Input"),0),0))</f>
        <v>4.5668200309955704</v>
      </c>
      <c r="AJ96" s="26">
        <f ca="1">SQRT((Table_Process_Details[[#This Row],[X End (To Node Center)]]-Table_Process_Details[[#This Row],[X Guide]])^2+(Table_Process_Details[[#This Row],[Y End (to Node Center)]]-Table_Process_Details[[#This Row],[Y Guide]])^2)</f>
        <v>4.6182571453653942</v>
      </c>
      <c r="AK96" s="26" t="e" cm="1">
        <f t="array" ref="AK96">INDEX(Table_Process_Details[X Mover],MATCH(1,INDEX((Table_Process_Details[Step Name]=Table_Process_Details[[#This Row],[LCA Data Source Subclass]])*(Table_Process_Details[Input or Output]="Output"),0)*(Table_Process_Details[[#This Row],[Input or Output]]="Input"),0))</f>
        <v>#N/A</v>
      </c>
      <c r="AL96" s="26" cm="1">
        <f t="array" aca="1" ref="AL96" ca="1">INDEX(Table_Process_Details[X Mover],MATCH(1,INDEX(((Table_Process_Details[Table Row]=Table_Process_Details[[#This Row],[Table Row]])*(1)),0)*(Table_Process_Details[[#This Row],[Input or Output]]="Input"),0))</f>
        <v>34.161198461923846</v>
      </c>
      <c r="AM96" s="26" cm="1">
        <f t="array" aca="1" ref="AM96" ca="1">(Table_Process_Details[[#This Row],[X End (To Node Center)]]*Table_Process_Details[[#This Row],[r0]]-Table_Process_Details[[#This Row],[X End (To Node Center)]]*Arrow_Offset+Table_Process_Details[[#This Row],[X Guide]]*Arrow_Offset)/Table_Process_Details[[#This Row],[r0]]</f>
        <v>30.634112389124816</v>
      </c>
      <c r="AN96" s="26" t="e">
        <f>IF(NOT(Table_Process_Details[[#This Row],[Display As]]="None"),Table_Process_Details[[#This Row],[X Start Prefilter]],NA())</f>
        <v>#N/A</v>
      </c>
      <c r="AO96" s="26">
        <f ca="1">IF(NOT(Table_Process_Details[[#This Row],[Display As]]="None"),Table_Process_Details[[#This Row],[X Guide Prefilter]],NA())</f>
        <v>34.161198461923846</v>
      </c>
      <c r="AP96" s="26">
        <f ca="1">IF(NOT(Table_Process_Details[[#This Row],[Display As]]="None"),Table_Process_Details[[#This Row],[X End (to Stop Radius) Prefilter]],NA())</f>
        <v>30.634112389124816</v>
      </c>
      <c r="AQ96" s="26" t="e">
        <f>NA()</f>
        <v>#N/A</v>
      </c>
      <c r="AR96" s="26" t="e" cm="1">
        <f t="array" ref="AR96">INDEX(Table_Process_Details[Y Mover],MATCH(1,INDEX((Table_Process_Details[Step Name]=Table_Process_Details[[#This Row],[LCA Data Source Subclass]])*(Table_Process_Details[Input or Output]="Output"),0)*(Table_Process_Details[[#This Row],[Input or Output]]="Input"),0))</f>
        <v>#N/A</v>
      </c>
      <c r="AS96" s="26" cm="1">
        <f t="array" aca="1" ref="AS96" ca="1">INDEX(Table_Process_Details[Y Mover],MATCH(1,INDEX(((Table_Process_Details[Table Row]=Table_Process_Details[[#This Row],[Table Row]])*(1)),0)*(Table_Process_Details[[#This Row],[Input or Output]]="Input"),0))</f>
        <v>2.7979615120406574</v>
      </c>
      <c r="AT96" s="26" cm="1">
        <f t="array" aca="1" ref="AT96" ca="1">(Table_Process_Details[[#This Row],[Y Guide]]*Arrow_Offset-Table_Process_Details[[#This Row],[Y End (to Node Center)]]*Arrow_Offset+Table_Process_Details[[#This Row],[Y End (to Node Center)]]*Table_Process_Details[[#This Row],[r0]])/Table_Process_Details[[#This Row],[r0]]</f>
        <v>4.2604085925194717</v>
      </c>
      <c r="AU96" s="26" t="e">
        <f>IF(NOT(Table_Process_Details[[#This Row],[Display As]]="None"),Table_Process_Details[[#This Row],[Y Start Prefilter]],NA())</f>
        <v>#N/A</v>
      </c>
      <c r="AV96" s="26">
        <f ca="1">IF(NOT(Table_Process_Details[[#This Row],[Display As]]="None"),Table_Process_Details[[#This Row],[Y Guide Prefilter]],NA())</f>
        <v>2.7979615120406574</v>
      </c>
      <c r="AW96" s="26">
        <f ca="1">IF(NOT(Table_Process_Details[[#This Row],[Display As]]="None"),Table_Process_Details[[#This Row],[Y End (to Stop Radius) Prefilter]],NA())</f>
        <v>4.2604085925194717</v>
      </c>
      <c r="AX96" s="26" t="e">
        <f>NA()</f>
        <v>#N/A</v>
      </c>
      <c r="AY96" s="26" t="e">
        <f>IF(Table_Process_Details[[#This Row],[Display As]]="Real Step",Table_Process_Details[[#This Row],[X Mover]],NA())</f>
        <v>#N/A</v>
      </c>
      <c r="AZ96" s="26" t="e">
        <f>IF(Table_Process_Details[[#This Row],[Display As]]="Real Step",Table_Process_Details[[#This Row],[Y Mover]],NA())</f>
        <v>#N/A</v>
      </c>
      <c r="BA96" s="26">
        <f ca="1">IF(Table_Process_Details[[#This Row],[Display As]]="Raw Material",Table_Process_Details[[#This Row],[X Mover]],NA())</f>
        <v>34.161198461923846</v>
      </c>
      <c r="BB96" s="26">
        <f ca="1">IF(Table_Process_Details[[#This Row],[Display As]]="Raw Material",Table_Process_Details[[#This Row],[Y Mover]],NA())</f>
        <v>2.7979615120406574</v>
      </c>
      <c r="BC96" s="26">
        <f ca="1">IF(OR(Table_Process_Details[[#This Row],[Display As]]="Real Step",Table_Process_Details[[#This Row],[Display As]]="Raw Material"),Table_Process_Details[[#This Row],[X Mover]],NA())</f>
        <v>34.161198461923846</v>
      </c>
      <c r="BD96" s="26">
        <f ca="1">IF(OR(Table_Process_Details[[#This Row],[Display As]]="Real Step",Table_Process_Details[[#This Row],[Display As]]="Raw Material"),Table_Process_Details[[#This Row],[Y Mover]],NA())</f>
        <v>2.7979615120406574</v>
      </c>
      <c r="BE96" s="22">
        <f>ROW()-ROW(Table_Process_Details[[#Headers],[Table Row]])</f>
        <v>92</v>
      </c>
      <c r="BF96" s="23" t="e" cm="1">
        <f t="array" aca="1" ref="BF96" ca="1">INDEX(Table_Process_Details[Display Name],MATCH(0,IF(Table_Process_Details[Input or Output]="Input",INDEX(COUNTIF(OFFSET(Table_Process_Details[[#Headers],[Unique Process Inputs]],0,0,Table_Process_Details[[#This Row],[Table Row]],1),Table_Process_Details[Display Name]),),""),0))</f>
        <v>#N/A</v>
      </c>
      <c r="BG96" s="23">
        <f ca="1">Table_Process_Details[[#This Row],[Physical Mass (kg)]]*Table_Process_Details[[#This Row],[Step Scale Factor for 1kg Packaged API]]</f>
        <v>16</v>
      </c>
      <c r="BH96"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6" s="23">
        <f ca="1">MATCH(Table_Process_Details[[#This Row],[LCA Data Source Class]],INDIRECT(Table_Process_Details[[#This Row],[Input or Output]]),0)</f>
        <v>2</v>
      </c>
      <c r="BJ96" s="23">
        <f ca="1">MATCH(Table_Process_Details[[#This Row],[LCA Data Source Subclass]],INDIRECT(Table_Process_Details[[#This Row],[LCA Data Source Class]]&amp;"[Name]"),0)</f>
        <v>45</v>
      </c>
      <c r="BK96" s="23">
        <f ca="1">IFERROR(INDEX(INDIRECT(Table_Process_Details[[#This Row],[LCA Data Source Class]]&amp;"[Mass Net (kg)]"),MATCH(Table_Process_Details[[#This Row],[LCA Data Source Subclass]],INDIRECT(Table_Process_Details[[#This Row],[LCA Data Source Class]]&amp;"[Name]"),0)),0)</f>
        <v>0.69945004</v>
      </c>
      <c r="BL96" s="23">
        <f ca="1">IFERROR(INDEX(INDIRECT(Table_Process_Details[[#This Row],[LCA Data Source Class]]&amp;"[Energy (MJ)]"),MATCH(Table_Process_Details[[#This Row],[LCA Data Source Subclass]],INDIRECT(Table_Process_Details[[#This Row],[LCA Data Source Class]]&amp;"[Name]"),0)),0)</f>
        <v>37.552323999999999</v>
      </c>
      <c r="BM96" s="23">
        <f ca="1">IFERROR(INDEX(INDIRECT(Table_Process_Details[[#This Row],[LCA Data Source Class]]&amp;"[GWP (kg CO2 equiv.)]"),MATCH(Table_Process_Details[[#This Row],[LCA Data Source Subclass]],INDIRECT(Table_Process_Details[[#This Row],[LCA Data Source Class]]&amp;"[Name]"),0)),0)</f>
        <v>0.74417988000000002</v>
      </c>
      <c r="BN96" s="23">
        <f ca="1">IFERROR(INDEX(INDIRECT(Table_Process_Details[[#This Row],[LCA Data Source Class]]&amp;"[Acidification (kg SO2 equiv.)]"),MATCH(Table_Process_Details[[#This Row],[LCA Data Source Subclass]],INDIRECT(Table_Process_Details[[#This Row],[LCA Data Source Class]]&amp;"[Name]"),0)),0)</f>
        <v>1.2483868E-3</v>
      </c>
      <c r="BO96" s="23">
        <f ca="1">IFERROR(INDEX(INDIRECT(Table_Process_Details[[#This Row],[LCA Data Source Class]]&amp;"[Eutrophication (kg posphate equiv.)]"),MATCH(Table_Process_Details[[#This Row],[LCA Data Source Subclass]],INDIRECT(Table_Process_Details[[#This Row],[LCA Data Source Class]]&amp;"[Name]"),0)),0)</f>
        <v>4.0846278999999999E-4</v>
      </c>
      <c r="BP96" s="23">
        <f ca="1">IFERROR(INDEX(INDIRECT(Table_Process_Details[[#This Row],[LCA Data Source Class]]&amp;"[Water (kg)]"),MATCH(Table_Process_Details[[#This Row],[LCA Data Source Subclass]],INDIRECT(Table_Process_Details[[#This Row],[LCA Data Source Class]]&amp;"[Name]"),0)),0)</f>
        <v>1.8455699999999999</v>
      </c>
      <c r="BQ96" s="27">
        <f ca="1">(Table_Process_Details[[#This Row],[Input or Output]]="Input")*(Table_Process_Details[[#This Row],[LCA Data Source Class]]&lt;&gt;"Process_Steps")*Table_Process_Details[[#This Row],[Scaled Physical Mass per kg API for All Inputs &amp; Outputs]]</f>
        <v>16</v>
      </c>
      <c r="BR96" s="27">
        <f ca="1">(Table_Process_Details[[#This Row],[Material Class]]="REAGENT")*Table_Process_Details[[#This Row],[Physical Mass per kg API]]</f>
        <v>0</v>
      </c>
      <c r="BS96" s="27">
        <f ca="1">(Table_Process_Details[[#This Row],[Material Class]]="METAL")*Table_Process_Details[[#This Row],[Physical Mass per kg API]]</f>
        <v>0</v>
      </c>
      <c r="BT96" s="27">
        <f ca="1">(Table_Process_Details[[#This Row],[Material Class]]="SOLVENT")*Table_Process_Details[[#This Row],[Physical Mass per kg API]]</f>
        <v>16</v>
      </c>
      <c r="BU96" s="27">
        <f ca="1">(Table_Process_Details[[#This Row],[Material Class]]="WATER")*Table_Process_Details[[#This Row],[Physical Mass per kg API]]</f>
        <v>0</v>
      </c>
      <c r="BV96" s="27">
        <f ca="1">(Table_Process_Details[[#This Row],[Material Class]]="ENZ&amp;PLNT")*Table_Process_Details[[#This Row],[Physical Mass per kg API]]</f>
        <v>0</v>
      </c>
      <c r="BW96" s="27">
        <f ca="1">(Table_Process_Details[[#This Row],[Material Class]]="OTHER")*Table_Process_Details[[#This Row],[Physical Mass per kg API]]</f>
        <v>0</v>
      </c>
      <c r="BX96"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16</v>
      </c>
      <c r="BY96"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6"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6"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16</v>
      </c>
      <c r="CB96"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6"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6"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6" s="1">
        <f ca="1">SUMIFS(Table_Process_Details[RV Physical Mass per kg API],Table_Process_Details[Display Name],Table_Process_Details[[#This Row],[Unique Process Inputs]],Table_Process_Details[Input or Output],"Input")</f>
        <v>0</v>
      </c>
      <c r="CF96" s="1">
        <f ca="1">SUMIFS(Table_Process_Details[RV Physical Mass per kg API (REAGENT)],Table_Process_Details[Display Name],Table_Process_Details[[#This Row],[Unique Process Inputs]],Table_Process_Details[Input or Output],"Input")</f>
        <v>0</v>
      </c>
      <c r="CG96" s="1">
        <f ca="1">SUMIFS(Table_Process_Details[RV Physical Mass per kg API (METAL)],Table_Process_Details[Display Name],Table_Process_Details[[#This Row],[Unique Process Inputs]],Table_Process_Details[Input or Output],"Input")</f>
        <v>0</v>
      </c>
      <c r="CH96" s="1">
        <f ca="1">SUMIFS(Table_Process_Details[RV Physical Mass per kg API (SOLVENT)],Table_Process_Details[Display Name],Table_Process_Details[[#This Row],[Unique Process Inputs]],Table_Process_Details[Input or Output],"Input")</f>
        <v>0</v>
      </c>
      <c r="CI96" s="1">
        <f ca="1">SUMIFS(Table_Process_Details[RV Physical Mass per kg API (WATER)],Table_Process_Details[Display Name],Table_Process_Details[[#This Row],[Unique Process Inputs]],Table_Process_Details[Input or Output],"Input")</f>
        <v>0</v>
      </c>
      <c r="CJ96" s="1">
        <f ca="1">SUMIFS(Table_Process_Details[RV Physical Mass per kg API (ENZ&amp;PLNT)],Table_Process_Details[Display Name],Table_Process_Details[[#This Row],[Unique Process Inputs]],Table_Process_Details[Input or Output],"Input")</f>
        <v>0</v>
      </c>
      <c r="CK96" s="1">
        <f ca="1">SUMIFS(Table_Process_Details[RV Physical Mass per kg API (OTHER)],Table_Process_Details[Display Name],Table_Process_Details[[#This Row],[Unique Process Inputs]],Table_Process_Details[Input or Output],"Input")</f>
        <v>0</v>
      </c>
      <c r="CL96" s="22" t="e">
        <f ca="1">INDEX(Table_Process_Details[Unique Process Inputs],MATCH(Table_Process_Details[[#This Row],['[Physical Mass per kg API'] of Unique Inputs Sorted by '[Physical Mass per kg API']]],Table_Process_Details[Total '[Physical Mass per kg API'] of Unique Inputs],0))</f>
        <v>#N/A</v>
      </c>
      <c r="CM96" s="22" t="e">
        <f ca="1">IF(LARGE(Table_Process_Details[Total '[Physical Mass per kg API'] of Unique Inputs],Table_Process_Details[[#This Row],[Table Row]])=0,NA(),LARGE(Table_Process_Details[Total '[Physical Mass per kg API'] of Unique Inputs],Table_Process_Details[[#This Row],[Table Row]]))</f>
        <v>#N/A</v>
      </c>
      <c r="CN96" s="22" t="e">
        <f ca="1">SUM(OFFSET(Table_Process_Details['[Physical Mass per kg API'] of Unique Inputs Sorted by '[Physical Mass per kg API']],0,0,Table_Process_Details[[#This Row],[Table Row]]))</f>
        <v>#N/A</v>
      </c>
      <c r="CO96" s="22" t="e">
        <f ca="1">"("&amp;TEXT(Table_Process_Details[[#This Row],['[Physical Mass per kg API'] of Unique Inputs Sorted by '[Physical Mass per kg API']]]/SUMIF(Table_Process_Details['[Physical Mass per kg API'] of Unique Inputs Sorted by '[Physical Mass per kg API']],"&lt;&gt;#N/A"),"0%")&amp;")"</f>
        <v>#N/A</v>
      </c>
      <c r="CP96" s="22" t="e">
        <f ca="1">INDEX(Table_Process_Details[Total '[Physical Mass per kg API'] of Unique Inputs (REAGENT)],MATCH(Table_Process_Details[[#This Row],[Unique Inputs Sorted by '[Physical Mass per kg API']]],Table_Process_Details[Unique Process Inputs],0))</f>
        <v>#N/A</v>
      </c>
      <c r="CQ96" s="22" t="e">
        <f ca="1">INDEX(Table_Process_Details[Total '[Physical Mass per kg API'] of Unique Inputs (METAL)],MATCH(Table_Process_Details[[#This Row],[Unique Inputs Sorted by '[Physical Mass per kg API']]],Table_Process_Details[Unique Process Inputs],0))</f>
        <v>#N/A</v>
      </c>
      <c r="CR96" s="22" t="e">
        <f ca="1">INDEX(Table_Process_Details[Total '[Physical Mass per kg API'] of Unique Inputs (SOLVENT)],MATCH(Table_Process_Details[[#This Row],[Unique Inputs Sorted by '[Physical Mass per kg API']]],Table_Process_Details[Unique Process Inputs],0))</f>
        <v>#N/A</v>
      </c>
      <c r="CS96" s="22" t="e">
        <f ca="1">INDEX(Table_Process_Details[Total '[Physical Mass per kg API'] of Unique Inputs (WATER)],MATCH(Table_Process_Details[[#This Row],[Unique Inputs Sorted by '[Physical Mass per kg API']]],Table_Process_Details[Unique Process Inputs],0))</f>
        <v>#N/A</v>
      </c>
      <c r="CT96" s="22" t="e">
        <f ca="1">INDEX(Table_Process_Details[Total '[Physical Mass per kg API'] of Unique Inputs (ENZ&amp;PLNT)],MATCH(Table_Process_Details[[#This Row],[Unique Inputs Sorted by '[Physical Mass per kg API']]],Table_Process_Details[Unique Process Inputs],0))</f>
        <v>#N/A</v>
      </c>
      <c r="CU96" s="22" t="e">
        <f ca="1">INDEX(Table_Process_Details[Total '[Physical Mass per kg API'] of Unique Inputs (OTHER)],MATCH(Table_Process_Details[[#This Row],[Unique Inputs Sorted by '[Physical Mass per kg API']]],Table_Process_Details[Unique Process Inputs],0))</f>
        <v>#N/A</v>
      </c>
      <c r="CV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11.19120064</v>
      </c>
      <c r="CW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11.19120064</v>
      </c>
      <c r="CZ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6"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6" s="22">
        <f ca="1">SUMIFS(Table_Process_Details[RV Mass Net (kg) per kg API],Table_Process_Details[Display Name],Table_Process_Details[[#This Row],[Unique Process Inputs]],Table_Process_Details[Input or Output],"Input")</f>
        <v>0</v>
      </c>
      <c r="DD96" s="22">
        <f ca="1">SUMIFS(Table_Process_Details[RV Mass Net (kg) per kg API (REAGENT)],Table_Process_Details[Display Name],Table_Process_Details[[#This Row],[Unique Process Inputs]],Table_Process_Details[Input or Output],"Input")</f>
        <v>0</v>
      </c>
      <c r="DE96" s="22">
        <f ca="1">SUMIFS(Table_Process_Details[RV Mass Net (kg) per kg API (METAL)],Table_Process_Details[Display Name],Table_Process_Details[[#This Row],[Unique Process Inputs]],Table_Process_Details[Input or Output],"Input")</f>
        <v>0</v>
      </c>
      <c r="DF96" s="22">
        <f ca="1">SUMIFS(Table_Process_Details[RV Mass Net (kg) per kg API (SOLVENT)],Table_Process_Details[Display Name],Table_Process_Details[[#This Row],[Unique Process Inputs]],Table_Process_Details[Input or Output],"Input")</f>
        <v>0</v>
      </c>
      <c r="DG96" s="22">
        <f ca="1">SUMIFS(Table_Process_Details[RV Mass Net (kg) per kg API (WATER)],Table_Process_Details[Display Name],Table_Process_Details[[#This Row],[Unique Process Inputs]],Table_Process_Details[Input or Output],"Input")</f>
        <v>0</v>
      </c>
      <c r="DH96" s="22">
        <f ca="1">SUMIFS(Table_Process_Details[RV Mass Net (kg) per kg API (ENZ&amp;PLNT)],Table_Process_Details[Display Name],Table_Process_Details[[#This Row],[Unique Process Inputs]],Table_Process_Details[Input or Output],"Input")</f>
        <v>0</v>
      </c>
      <c r="DI96" s="22">
        <f ca="1">SUMIFS(Table_Process_Details[RV Mass Net (kg) per kg API (OTHER)],Table_Process_Details[Display Name],Table_Process_Details[[#This Row],[Unique Process Inputs]],Table_Process_Details[Input or Output],"Input")</f>
        <v>0</v>
      </c>
      <c r="DJ96" s="22" t="e">
        <f ca="1">INDEX(Table_Process_Details[Unique Process Inputs],MATCH(Table_Process_Details[[#This Row],['[Mass Net (kg) per kg API'] of Unique Inputs Sorted by '[Mass Net (kg) per kg API']]],Table_Process_Details[Total '[Mass Net (kg) per kg API'] of Unique Inputs],0))</f>
        <v>#N/A</v>
      </c>
      <c r="DK96" s="22" t="e">
        <f ca="1">IF(LARGE(Table_Process_Details[Total '[Mass Net (kg) per kg API'] of Unique Inputs],Table_Process_Details[[#This Row],[Table Row]])=0,NA(),LARGE(Table_Process_Details[Total '[Mass Net (kg) per kg API'] of Unique Inputs],Table_Process_Details[[#This Row],[Table Row]]))</f>
        <v>#N/A</v>
      </c>
      <c r="DL96" s="22" t="e">
        <f ca="1">SUM(OFFSET(Table_Process_Details['[Mass Net (kg) per kg API'] of Unique Inputs Sorted by '[Mass Net (kg) per kg API']],0,0,Table_Process_Details[[#This Row],[Table Row]]))</f>
        <v>#N/A</v>
      </c>
      <c r="DM96" s="22" t="e">
        <f ca="1">"("&amp;TEXT(Table_Process_Details[[#This Row],['[Mass Net (kg) per kg API'] of Unique Inputs Sorted by '[Mass Net (kg) per kg API']]]/SUMIF(Table_Process_Details['[Mass Net (kg) per kg API'] of Unique Inputs Sorted by '[Mass Net (kg) per kg API']],"&lt;&gt;#N/A"),"0%")&amp;")"</f>
        <v>#N/A</v>
      </c>
      <c r="DN96" s="22" t="e">
        <f ca="1">INDEX(Table_Process_Details[Total '[Mass Net (kg) per kg API'] of Unique Inputs (REAGENT)], MATCH(Table_Process_Details[[#This Row],[Unique Inputs Sorted by '[Mass Net (kg) per kg API']]],Table_Process_Details[Unique Process Inputs],0))</f>
        <v>#N/A</v>
      </c>
      <c r="DO96" s="22" t="e">
        <f ca="1">INDEX(Table_Process_Details[Total '[Mass Net (kg) per kg API'] of Unique Inputs (METAL)], MATCH(Table_Process_Details[[#This Row],[Unique Inputs Sorted by '[Mass Net (kg) per kg API']]],Table_Process_Details[Unique Process Inputs],0))</f>
        <v>#N/A</v>
      </c>
      <c r="DP96" s="22" t="e">
        <f ca="1">INDEX(Table_Process_Details[Total '[Mass Net (kg) per kg API'] of Unique Inputs (SOLVENT)], MATCH(Table_Process_Details[[#This Row],[Unique Inputs Sorted by '[Mass Net (kg) per kg API']]],Table_Process_Details[Unique Process Inputs],0))</f>
        <v>#N/A</v>
      </c>
      <c r="DQ96" s="22" t="e">
        <f ca="1">INDEX(Table_Process_Details[Total '[Mass Net (kg) per kg API'] of Unique Inputs (WATER)], MATCH(Table_Process_Details[[#This Row],[Unique Inputs Sorted by '[Mass Net (kg) per kg API']]],Table_Process_Details[Unique Process Inputs],0))</f>
        <v>#N/A</v>
      </c>
      <c r="DR96" s="22" t="e">
        <f ca="1">INDEX(Table_Process_Details[Total '[Mass Net (kg) per kg API'] of Unique Inputs (ENZ&amp;PLNT)], MATCH(Table_Process_Details[[#This Row],[Unique Inputs Sorted by '[Mass Net (kg) per kg API']]],Table_Process_Details[Unique Process Inputs],0))</f>
        <v>#N/A</v>
      </c>
      <c r="DS96" s="22" t="e">
        <f ca="1">INDEX(Table_Process_Details[Total '[Mass Net (kg) per kg API'] of Unique Inputs (OTHER)], MATCH(Table_Process_Details[[#This Row],[Unique Inputs Sorted by '[Mass Net (kg) per kg API']]],Table_Process_Details[Unique Process Inputs],0))</f>
        <v>#N/A</v>
      </c>
      <c r="DT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600.83718399999998</v>
      </c>
      <c r="DU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600.83718399999998</v>
      </c>
      <c r="DX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6"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6" s="1">
        <f ca="1">SUMIFS(Table_Process_Details[RV Energy (MJ) per kg API],Table_Process_Details[Display Name],Table_Process_Details[[#This Row],[Unique Process Inputs]],Table_Process_Details[Input or Output],"Input")</f>
        <v>0</v>
      </c>
      <c r="EB96" s="1">
        <f ca="1">SUMIFS(Table_Process_Details[RV Energy (MJ) per kg API (REAGENT)],Table_Process_Details[Display Name],Table_Process_Details[[#This Row],[Unique Process Inputs]],Table_Process_Details[Input or Output],"Input")</f>
        <v>0</v>
      </c>
      <c r="EC96" s="1">
        <f ca="1">SUMIFS(Table_Process_Details[RV Energy (MJ) per kg API (METAL)],Table_Process_Details[Display Name],Table_Process_Details[[#This Row],[Unique Process Inputs]],Table_Process_Details[Input or Output],"Input")</f>
        <v>0</v>
      </c>
      <c r="ED96" s="1">
        <f ca="1">SUMIFS(Table_Process_Details[RV Energy (MJ) per kg API (SOLVENT)],Table_Process_Details[Display Name],Table_Process_Details[[#This Row],[Unique Process Inputs]],Table_Process_Details[Input or Output],"Input")</f>
        <v>0</v>
      </c>
      <c r="EE96" s="1">
        <f ca="1">SUMIFS(Table_Process_Details[RV Energy (MJ) per kg API (WATER)],Table_Process_Details[Display Name],Table_Process_Details[[#This Row],[Unique Process Inputs]],Table_Process_Details[Input or Output],"Input")</f>
        <v>0</v>
      </c>
      <c r="EF96" s="1">
        <f ca="1">SUMIFS(Table_Process_Details[RV Energy (MJ) per kg API (ENZ&amp;PLNT)],Table_Process_Details[Display Name],Table_Process_Details[[#This Row],[Unique Process Inputs]],Table_Process_Details[Input or Output],"Input")</f>
        <v>0</v>
      </c>
      <c r="EG96" s="1">
        <f ca="1">SUMIFS(Table_Process_Details[RV Energy (MJ) per kg API (OTHER)],Table_Process_Details[Display Name],Table_Process_Details[[#This Row],[Unique Process Inputs]],Table_Process_Details[Input or Output],"Input")</f>
        <v>0</v>
      </c>
      <c r="EH96" s="1" t="e">
        <f ca="1">INDEX(Table_Process_Details[Unique Process Inputs],MATCH(Table_Process_Details[[#This Row],['[Energy (MJ) per kg API'] of Unique Inputs Sorted by '[Energy (MJ) per kg API']]],Table_Process_Details[Total '[Energy (MJ) per kg API'] of Unique Inputs],0))</f>
        <v>#N/A</v>
      </c>
      <c r="EI96" s="22" t="e">
        <f ca="1">IF(LARGE(Table_Process_Details[Total '[Energy (MJ) per kg API'] of Unique Inputs],Table_Process_Details[[#This Row],[Table Row]])=0,NA(),LARGE(Table_Process_Details[Total '[Energy (MJ) per kg API'] of Unique Inputs],Table_Process_Details[[#This Row],[Table Row]]))</f>
        <v>#N/A</v>
      </c>
      <c r="EJ96" s="22" t="e">
        <f ca="1">SUM(OFFSET(Table_Process_Details['[Energy (MJ) per kg API'] of Unique Inputs Sorted by '[Energy (MJ) per kg API']],0,0,Table_Process_Details[[#This Row],[Table Row]]))</f>
        <v>#N/A</v>
      </c>
      <c r="EK96" s="22" t="e">
        <f ca="1">"("&amp;TEXT(Table_Process_Details[[#This Row],['[Energy (MJ) per kg API'] of Unique Inputs Sorted by '[Energy (MJ) per kg API']]]/SUMIF(Table_Process_Details['[Energy (MJ) per kg API'] of Unique Inputs Sorted by '[Energy (MJ) per kg API']],"&lt;&gt;#N/A"),"0%")&amp;")"</f>
        <v>#N/A</v>
      </c>
      <c r="EL96" s="22" t="e">
        <f ca="1">INDEX(Table_Process_Details[Total '[Energy (MJ) per kg API'] of Unique Inputs (REAGENT)], MATCH(Table_Process_Details[[#This Row],[Unique Inputs Sorted by '[Energy (MJ) per kg API']]],Table_Process_Details[Unique Process Inputs],0))</f>
        <v>#N/A</v>
      </c>
      <c r="EM96" s="22" t="e">
        <f ca="1">INDEX(Table_Process_Details[Total '[Energy (MJ) per kg API'] of Unique Inputs (METAL)], MATCH(Table_Process_Details[[#This Row],[Unique Inputs Sorted by '[Energy (MJ) per kg API']]],Table_Process_Details[Unique Process Inputs],0))</f>
        <v>#N/A</v>
      </c>
      <c r="EN96" s="22" t="e">
        <f ca="1">INDEX(Table_Process_Details[Total '[Energy (MJ) per kg API'] of Unique Inputs (SOLVENT)], MATCH(Table_Process_Details[[#This Row],[Unique Inputs Sorted by '[Energy (MJ) per kg API']]],Table_Process_Details[Unique Process Inputs],0))</f>
        <v>#N/A</v>
      </c>
      <c r="EO96" s="22" t="e">
        <f ca="1">INDEX(Table_Process_Details[Total '[Energy (MJ) per kg API'] of Unique Inputs (WATER)], MATCH(Table_Process_Details[[#This Row],[Unique Inputs Sorted by '[Energy (MJ) per kg API']]],Table_Process_Details[Unique Process Inputs],0))</f>
        <v>#N/A</v>
      </c>
      <c r="EP96" s="22" t="e">
        <f ca="1">INDEX(Table_Process_Details[Total '[Energy (MJ) per kg API'] of Unique Inputs (ENZ&amp;PLNT)], MATCH(Table_Process_Details[[#This Row],[Unique Inputs Sorted by '[Energy (MJ) per kg API']]],Table_Process_Details[Unique Process Inputs],0))</f>
        <v>#N/A</v>
      </c>
      <c r="EQ96" s="22" t="e">
        <f ca="1">INDEX(Table_Process_Details[Total '[Energy (MJ) per kg API'] of Unique Inputs (OTHER)], MATCH(Table_Process_Details[[#This Row],[Unique Inputs Sorted by '[Energy (MJ) per kg API']]],Table_Process_Details[Unique Process Inputs],0))</f>
        <v>#N/A</v>
      </c>
      <c r="ER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11.90687808</v>
      </c>
      <c r="ES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11.90687808</v>
      </c>
      <c r="EV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6"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6" s="22">
        <f ca="1">SUMIFS(Table_Process_Details[RV GWP (kg CO2 equiv.) per kg API],Table_Process_Details[Display Name],Table_Process_Details[[#This Row],[Unique Process Inputs]],Table_Process_Details[Input or Output],"Input")</f>
        <v>0</v>
      </c>
      <c r="EZ96" s="1">
        <f ca="1">SUMIFS(Table_Process_Details[RV GWP (kg CO2 equiv.) per kg API (REAGENT)],Table_Process_Details[Display Name],Table_Process_Details[[#This Row],[Unique Process Inputs]],Table_Process_Details[Input or Output],"Input")</f>
        <v>0</v>
      </c>
      <c r="FA96" s="1">
        <f ca="1">SUMIFS(Table_Process_Details[RV GWP (kg CO2 equiv.) per kg API (METAL)],Table_Process_Details[Display Name],Table_Process_Details[[#This Row],[Unique Process Inputs]],Table_Process_Details[Input or Output],"Input")</f>
        <v>0</v>
      </c>
      <c r="FB96" s="1">
        <f ca="1">SUMIFS(Table_Process_Details[RV GWP (kg CO2 equiv.) per kg API (SOLVENT)],Table_Process_Details[Display Name],Table_Process_Details[[#This Row],[Unique Process Inputs]],Table_Process_Details[Input or Output],"Input")</f>
        <v>0</v>
      </c>
      <c r="FC96" s="1">
        <f ca="1">SUMIFS(Table_Process_Details[RV GWP (kg CO2 equiv.) per kg API (WATER)],Table_Process_Details[Display Name],Table_Process_Details[[#This Row],[Unique Process Inputs]],Table_Process_Details[Input or Output],"Input")</f>
        <v>0</v>
      </c>
      <c r="FD96" s="1">
        <f ca="1">SUMIFS(Table_Process_Details[RV GWP (kg CO2 equiv.) per kg API (ENZ&amp;PLNT)],Table_Process_Details[Display Name],Table_Process_Details[[#This Row],[Unique Process Inputs]],Table_Process_Details[Input or Output],"Input")</f>
        <v>0</v>
      </c>
      <c r="FE96" s="1">
        <f ca="1">SUMIFS(Table_Process_Details[RV GWP (kg CO2 equiv.) per kg API (OTHER)],Table_Process_Details[Display Name],Table_Process_Details[[#This Row],[Unique Process Inputs]],Table_Process_Details[Input or Output],"Input")</f>
        <v>0</v>
      </c>
      <c r="FF96" s="22" t="e">
        <f ca="1">INDEX(Table_Process_Details[Unique Process Inputs],MATCH(Table_Process_Details[[#This Row],['[GWP (kg CO2 equiv.) per kg API'] of Unique Inputs Sorted by '[GWP (kg CO2 equiv.) per kg API']]],Table_Process_Details[Total '[GWP (kg CO2 equiv.) per kg API'] of Unique Inputs],0))</f>
        <v>#N/A</v>
      </c>
      <c r="FG96" s="22" t="e">
        <f ca="1">IF(LARGE(Table_Process_Details[Total '[GWP (kg CO2 equiv.) per kg API'] of Unique Inputs],Table_Process_Details[[#This Row],[Table Row]])=0,NA(),LARGE(Table_Process_Details[Total '[GWP (kg CO2 equiv.) per kg API'] of Unique Inputs],Table_Process_Details[[#This Row],[Table Row]]))</f>
        <v>#N/A</v>
      </c>
      <c r="FH96" s="22" t="e">
        <f ca="1">SUM(OFFSET(Table_Process_Details['[GWP (kg CO2 equiv.) per kg API'] of Unique Inputs Sorted by '[GWP (kg CO2 equiv.) per kg API']],0,0,Table_Process_Details[[#This Row],[Table Row]]))</f>
        <v>#N/A</v>
      </c>
      <c r="FI96" s="22" t="e">
        <f ca="1">"("&amp;TEXT(Table_Process_Details[[#This Row],['[GWP (kg CO2 equiv.) per kg API'] of Unique Inputs Sorted by '[GWP (kg CO2 equiv.) per kg API']]]/SUMIF(Table_Process_Details['[GWP (kg CO2 equiv.) per kg API'] of Unique Inputs Sorted by '[GWP (kg CO2 equiv.) per kg API']],"&lt;&gt;#N/A"),"0%")&amp;")"</f>
        <v>#N/A</v>
      </c>
      <c r="FJ96" s="22" t="e">
        <f ca="1">INDEX(Table_Process_Details[Total '[GWP (kg CO2 equiv.) per kg API'] of Unique Inputs (REAGENT)], MATCH(Table_Process_Details[[#This Row],[Unique Inputs Sorted by '[GWP (kg CO2 equiv.) per kg API']]],Table_Process_Details[Unique Process Inputs],0))</f>
        <v>#N/A</v>
      </c>
      <c r="FK96" s="22" t="e">
        <f ca="1">INDEX(Table_Process_Details[Total '[GWP (kg CO2 equiv.) per kg API'] of Unique Inputs (METAL)], MATCH(Table_Process_Details[[#This Row],[Unique Inputs Sorted by '[GWP (kg CO2 equiv.) per kg API']]],Table_Process_Details[Unique Process Inputs],0))</f>
        <v>#N/A</v>
      </c>
      <c r="FL96" s="22" t="e">
        <f ca="1">INDEX(Table_Process_Details[Total '[GWP (kg CO2 equiv.) per kg API'] of Unique Inputs (SOLVENT)], MATCH(Table_Process_Details[[#This Row],[Unique Inputs Sorted by '[GWP (kg CO2 equiv.) per kg API']]],Table_Process_Details[Unique Process Inputs],0))</f>
        <v>#N/A</v>
      </c>
      <c r="FM96" s="22" t="e">
        <f ca="1">INDEX(Table_Process_Details[Total '[GWP (kg CO2 equiv.) per kg API'] of Unique Inputs (WATER)], MATCH(Table_Process_Details[[#This Row],[Unique Inputs Sorted by '[GWP (kg CO2 equiv.) per kg API']]],Table_Process_Details[Unique Process Inputs],0))</f>
        <v>#N/A</v>
      </c>
      <c r="FN96" s="22" t="e">
        <f ca="1">INDEX(Table_Process_Details[Total '[GWP (kg CO2 equiv.) per kg API'] of Unique Inputs (ENZ&amp;PLNT)], MATCH(Table_Process_Details[[#This Row],[Unique Inputs Sorted by '[GWP (kg CO2 equiv.) per kg API']]],Table_Process_Details[Unique Process Inputs],0))</f>
        <v>#N/A</v>
      </c>
      <c r="FO96" s="22" t="e">
        <f ca="1">INDEX(Table_Process_Details[Total '[GWP (kg CO2 equiv.) per kg API'] of Unique Inputs (OTHER)], MATCH(Table_Process_Details[[#This Row],[Unique Inputs Sorted by '[GWP (kg CO2 equiv.) per kg API']]],Table_Process_Details[Unique Process Inputs],0))</f>
        <v>#N/A</v>
      </c>
      <c r="FP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1.9974188800000001E-2</v>
      </c>
      <c r="FQ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1.9974188800000001E-2</v>
      </c>
      <c r="FT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6"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6" s="22">
        <f ca="1">SUMIFS(Table_Process_Details[RV Acidification (kg SO2 equiv.) per kg API],Table_Process_Details[Display Name],Table_Process_Details[[#This Row],[Unique Process Inputs]],Table_Process_Details[Input or Output],"Input")</f>
        <v>0</v>
      </c>
      <c r="FX96" s="1">
        <f ca="1">SUMIFS(Table_Process_Details[RV Acidification (kg SO2 equiv.) per kg API (REAGENT)],Table_Process_Details[Display Name],Table_Process_Details[[#This Row],[Unique Process Inputs]],Table_Process_Details[Input or Output],"Input")</f>
        <v>0</v>
      </c>
      <c r="FY96" s="1">
        <f ca="1">SUMIFS(Table_Process_Details[RV Acidification (kg SO2 equiv.) per kg API (METAL)],Table_Process_Details[Display Name],Table_Process_Details[[#This Row],[Unique Process Inputs]],Table_Process_Details[Input or Output],"Input")</f>
        <v>0</v>
      </c>
      <c r="FZ96" s="1">
        <f ca="1">SUMIFS(Table_Process_Details[RV Acidification (kg SO2 equiv.) per kg API (SOLVENT)],Table_Process_Details[Display Name],Table_Process_Details[[#This Row],[Unique Process Inputs]],Table_Process_Details[Input or Output],"Input")</f>
        <v>0</v>
      </c>
      <c r="GA96" s="1">
        <f ca="1">SUMIFS(Table_Process_Details[RV Acidification (kg SO2 equiv.) per kg API (WATER)],Table_Process_Details[Display Name],Table_Process_Details[[#This Row],[Unique Process Inputs]],Table_Process_Details[Input or Output],"Input")</f>
        <v>0</v>
      </c>
      <c r="GB96" s="1">
        <f ca="1">SUMIFS(Table_Process_Details[RV Acidification (kg SO2 equiv.) per kg API (ENZ&amp;PLNT)],Table_Process_Details[Display Name],Table_Process_Details[[#This Row],[Unique Process Inputs]],Table_Process_Details[Input or Output],"Input")</f>
        <v>0</v>
      </c>
      <c r="GC96" s="1">
        <f ca="1">SUMIFS(Table_Process_Details[RV Acidification (kg SO2 equiv.) per kg API (OTHER)],Table_Process_Details[Display Name],Table_Process_Details[[#This Row],[Unique Process Inputs]],Table_Process_Details[Input or Output],"Input")</f>
        <v>0</v>
      </c>
      <c r="GD96"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6"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6" s="22" t="e">
        <f ca="1">SUM(OFFSET(Table_Process_Details['[Acidification (kg SO2 equiv.) per kg API'] of Unique Inputs Sorted by '[Acidification (kg SO2 equiv.) per kg API']],0,0,Table_Process_Details[[#This Row],[Table Row]]))</f>
        <v>#N/A</v>
      </c>
      <c r="GG96"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6" s="22" t="e">
        <f ca="1">INDEX(Table_Process_Details[Total '[Acidification (kg SO2 equiv.) per kg API'] of Unique Inputs (REAGENT)], MATCH(Table_Process_Details[[#This Row],[Unique Inputs Sorted by '[Acidification (kg SO2 equiv.) per kg API']]],Table_Process_Details[Unique Process Inputs],0))</f>
        <v>#N/A</v>
      </c>
      <c r="GI96" s="22" t="e">
        <f ca="1">INDEX(Table_Process_Details[Total '[Acidification (kg SO2 equiv.) per kg API'] of Unique Inputs (METAL)], MATCH(Table_Process_Details[[#This Row],[Unique Inputs Sorted by '[Acidification (kg SO2 equiv.) per kg API']]],Table_Process_Details[Unique Process Inputs],0))</f>
        <v>#N/A</v>
      </c>
      <c r="GJ96" s="22" t="e">
        <f ca="1">INDEX(Table_Process_Details[Total '[Acidification (kg SO2 equiv.) per kg API'] of Unique Inputs (SOLVENT)], MATCH(Table_Process_Details[[#This Row],[Unique Inputs Sorted by '[Acidification (kg SO2 equiv.) per kg API']]],Table_Process_Details[Unique Process Inputs],0))</f>
        <v>#N/A</v>
      </c>
      <c r="GK96" s="22" t="e">
        <f ca="1">INDEX(Table_Process_Details[Total '[Acidification (kg SO2 equiv.) per kg API'] of Unique Inputs (WATER)], MATCH(Table_Process_Details[[#This Row],[Unique Inputs Sorted by '[Acidification (kg SO2 equiv.) per kg API']]],Table_Process_Details[Unique Process Inputs],0))</f>
        <v>#N/A</v>
      </c>
      <c r="GL96" s="22" t="e">
        <f ca="1">INDEX(Table_Process_Details[Total '[Acidification (kg SO2 equiv.) per kg API'] of Unique Inputs (ENZ&amp;PLNT)], MATCH(Table_Process_Details[[#This Row],[Unique Inputs Sorted by '[Acidification (kg SO2 equiv.) per kg API']]],Table_Process_Details[Unique Process Inputs],0))</f>
        <v>#N/A</v>
      </c>
      <c r="GM96" s="22" t="e">
        <f ca="1">INDEX(Table_Process_Details[Total '[Acidification (kg SO2 equiv.) per kg API'] of Unique Inputs (OTHER)], MATCH(Table_Process_Details[[#This Row],[Unique Inputs Sorted by '[Acidification (kg SO2 equiv.) per kg API']]],Table_Process_Details[Unique Process Inputs],0))</f>
        <v>#N/A</v>
      </c>
      <c r="GN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6.5354046399999999E-3</v>
      </c>
      <c r="GO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6.5354046399999999E-3</v>
      </c>
      <c r="GR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6"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6" s="22">
        <f ca="1">SUMIFS(Table_Process_Details[RV Eutrophication (kg phosphate equiv.) per kg API],Table_Process_Details[Display Name],Table_Process_Details[[#This Row],[Unique Process Inputs]],Table_Process_Details[Input or Output],"Input")</f>
        <v>0</v>
      </c>
      <c r="GV96" s="1">
        <f ca="1">SUMIFS(Table_Process_Details[RV Eutrophication (kg phosphate equiv.) per kg API (REAGENT)],Table_Process_Details[Display Name],Table_Process_Details[[#This Row],[Unique Process Inputs]],Table_Process_Details[Input or Output],"Input")</f>
        <v>0</v>
      </c>
      <c r="GW96" s="1">
        <f ca="1">SUMIFS(Table_Process_Details[RV Eutrophication (kg phosphate equiv.) per kg API (METAL)],Table_Process_Details[Display Name],Table_Process_Details[[#This Row],[Unique Process Inputs]],Table_Process_Details[Input or Output],"Input")</f>
        <v>0</v>
      </c>
      <c r="GX96" s="1">
        <f ca="1">SUMIFS(Table_Process_Details[RV Eutrophication (kg phosphate equiv.) per kg API (SOLVENT)],Table_Process_Details[Display Name],Table_Process_Details[[#This Row],[Unique Process Inputs]],Table_Process_Details[Input or Output],"Input")</f>
        <v>0</v>
      </c>
      <c r="GY96" s="1">
        <f ca="1">SUMIFS(Table_Process_Details[RV Eutrophication (kg phosphate equiv.) per kg API (WATER)],Table_Process_Details[Display Name],Table_Process_Details[[#This Row],[Unique Process Inputs]],Table_Process_Details[Input or Output],"Input")</f>
        <v>0</v>
      </c>
      <c r="GZ96" s="1">
        <f ca="1">SUMIFS(Table_Process_Details[RV Eutrophication (kg phosphate equiv.) per kg API (ENZ&amp;PLNT)],Table_Process_Details[Display Name],Table_Process_Details[[#This Row],[Unique Process Inputs]],Table_Process_Details[Input or Output],"Input")</f>
        <v>0</v>
      </c>
      <c r="HA96" s="1">
        <f ca="1">SUMIFS(Table_Process_Details[RV Eutrophication (kg phosphate equiv.) per kg API (OTHER)],Table_Process_Details[Display Name],Table_Process_Details[[#This Row],[Unique Process Inputs]],Table_Process_Details[Input or Output],"Input")</f>
        <v>0</v>
      </c>
      <c r="HB96"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6"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6" s="22" t="e">
        <f ca="1">SUM(OFFSET(Table_Process_Details['[Eutrophication (kg posphate equiv.) per kg API'] of Unique Inputs Sorted by '[Eutrophication (kg posphate equiv.) per kg API']],0,0,Table_Process_Details[[#This Row],[Table Row]]))</f>
        <v>#N/A</v>
      </c>
      <c r="HE96"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6" s="1" t="e">
        <f ca="1">INDEX(Table_Process_Details[Total '[Eutrophication (kg posphate equiv.) per kg API'] of Unique Inputs (REAGENT)], MATCH(Table_Process_Details[[#This Row],[Unique Inputs Sorted by '[Eutrophication (kg posphate equiv.) per kg API']]],Table_Process_Details[Unique Process Inputs],0))</f>
        <v>#N/A</v>
      </c>
      <c r="HG96" s="1" t="e">
        <f ca="1">INDEX(Table_Process_Details[Total '[Eutrophication (kg posphate equiv.) per kg API'] of Unique Inputs (METAL)], MATCH(Table_Process_Details[[#This Row],[Unique Inputs Sorted by '[Eutrophication (kg posphate equiv.) per kg API']]],Table_Process_Details[Unique Process Inputs],0))</f>
        <v>#N/A</v>
      </c>
      <c r="HH96" s="1" t="e">
        <f ca="1">INDEX(Table_Process_Details[Total '[Eutrophication (kg posphate equiv.) per kg API'] of Unique Inputs (SOLVENT)], MATCH(Table_Process_Details[[#This Row],[Unique Inputs Sorted by '[Eutrophication (kg posphate equiv.) per kg API']]],Table_Process_Details[Unique Process Inputs],0))</f>
        <v>#N/A</v>
      </c>
      <c r="HI96" s="1" t="e">
        <f ca="1">INDEX(Table_Process_Details[Total '[Eutrophication (kg posphate equiv.) per kg API'] of Unique Inputs (WATER)], MATCH(Table_Process_Details[[#This Row],[Unique Inputs Sorted by '[Eutrophication (kg posphate equiv.) per kg API']]],Table_Process_Details[Unique Process Inputs],0))</f>
        <v>#N/A</v>
      </c>
      <c r="HJ96" s="1" t="e">
        <f ca="1">INDEX(Table_Process_Details[Total '[Eutrophication (kg posphate equiv.) per kg API'] of Unique Inputs (ENZ&amp;PLNT)], MATCH(Table_Process_Details[[#This Row],[Unique Inputs Sorted by '[Eutrophication (kg posphate equiv.) per kg API']]],Table_Process_Details[Unique Process Inputs],0))</f>
        <v>#N/A</v>
      </c>
      <c r="HK96" s="1" t="e">
        <f ca="1">INDEX(Table_Process_Details[Total '[Eutrophication (kg posphate equiv.) per kg API'] of Unique Inputs (OTHER)], MATCH(Table_Process_Details[[#This Row],[Unique Inputs Sorted by '[Eutrophication (kg posphate equiv.) per kg API']]],Table_Process_Details[Unique Process Inputs],0))</f>
        <v>#N/A</v>
      </c>
      <c r="HL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29.529119999999999</v>
      </c>
      <c r="HM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29.529119999999999</v>
      </c>
      <c r="HP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6"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6" s="1">
        <f ca="1">SUMIFS(Table_Process_Details[RV Water (kg) per kg API],Table_Process_Details[Display Name],Table_Process_Details[[#This Row],[Unique Process Inputs]],Table_Process_Details[Input or Output],"Input")</f>
        <v>0</v>
      </c>
      <c r="HT96" s="1">
        <f ca="1">SUMIFS(Table_Process_Details[RV Water (kg) per kg API (REAGENT)],Table_Process_Details[Display Name],Table_Process_Details[[#This Row],[Unique Process Inputs]],Table_Process_Details[Input or Output],"Input")</f>
        <v>0</v>
      </c>
      <c r="HU96" s="1">
        <f ca="1">SUMIFS(Table_Process_Details[RV Water (kg) per kg API (METAL)],Table_Process_Details[Display Name],Table_Process_Details[[#This Row],[Unique Process Inputs]],Table_Process_Details[Input or Output],"Input")</f>
        <v>0</v>
      </c>
      <c r="HV96" s="1">
        <f ca="1">SUMIFS(Table_Process_Details[RV Water (kg) per kg API (SOLVENT)],Table_Process_Details[Display Name],Table_Process_Details[[#This Row],[Unique Process Inputs]],Table_Process_Details[Input or Output],"Input")</f>
        <v>0</v>
      </c>
      <c r="HW96" s="1">
        <f ca="1">SUMIFS(Table_Process_Details[RV Water (kg) per kg API (WATER)],Table_Process_Details[Display Name],Table_Process_Details[[#This Row],[Unique Process Inputs]],Table_Process_Details[Input or Output],"Input")</f>
        <v>0</v>
      </c>
      <c r="HX96" s="1">
        <f ca="1">SUMIFS(Table_Process_Details[RV Water (kg) per kg API (ENZ&amp;PLNT)],Table_Process_Details[Display Name],Table_Process_Details[[#This Row],[Unique Process Inputs]],Table_Process_Details[Input or Output],"Input")</f>
        <v>0</v>
      </c>
      <c r="HY96" s="1">
        <f ca="1">SUMIFS(Table_Process_Details[RV Water (kg) per kg API (OTHER)],Table_Process_Details[Display Name],Table_Process_Details[[#This Row],[Unique Process Inputs]],Table_Process_Details[Input or Output],"Input")</f>
        <v>0</v>
      </c>
      <c r="HZ96" s="22" t="e">
        <f ca="1">INDEX(Table_Process_Details[Unique Process Inputs],MATCH(Table_Process_Details[[#This Row],['[Water (kg) per kg API'] of Unique Inputs Sorted by '[Water (kg) per kg API']]],Table_Process_Details[Total '[Water (kg) per kg API'] of Unique Inputs],0))</f>
        <v>#N/A</v>
      </c>
      <c r="IA96" s="22" t="e">
        <f ca="1">IF(LARGE(Table_Process_Details[Total '[Water (kg) per kg API'] of Unique Inputs],Table_Process_Details[[#This Row],[Table Row]])=0,NA(),LARGE(Table_Process_Details[Total '[Water (kg) per kg API'] of Unique Inputs],Table_Process_Details[[#This Row],[Table Row]]))</f>
        <v>#N/A</v>
      </c>
      <c r="IB96" s="1" t="e">
        <f ca="1">SUM(OFFSET(Table_Process_Details['[Water (kg) per kg API'] of Unique Inputs Sorted by '[Water (kg) per kg API']],0,0,Table_Process_Details[[#This Row],[Table Row]]))</f>
        <v>#N/A</v>
      </c>
      <c r="IC96" s="1" t="e">
        <f ca="1">"("&amp;TEXT(Table_Process_Details[[#This Row],['[Water (kg) per kg API'] of Unique Inputs Sorted by '[Water (kg) per kg API']]]/SUMIF(Table_Process_Details['[Water (kg) per kg API'] of Unique Inputs Sorted by '[Water (kg) per kg API']],"&lt;&gt;#N/A"),"0%")&amp;")"</f>
        <v>#N/A</v>
      </c>
      <c r="ID96" s="1" t="e">
        <f ca="1">INDEX(Table_Process_Details[Total '[Water (kg) per kg API'] of Unique Inputs (REAGENT)], MATCH(Table_Process_Details[[#This Row],[Unique Inputs Sorted by '[Water (kg) per kg API']]],Table_Process_Details[Unique Process Inputs],0))</f>
        <v>#N/A</v>
      </c>
      <c r="IE96" s="1" t="e">
        <f ca="1">INDEX(Table_Process_Details[Total '[Water (kg) per kg API'] of Unique Inputs (METAL)], MATCH(Table_Process_Details[[#This Row],[Unique Inputs Sorted by '[Water (kg) per kg API']]],Table_Process_Details[Unique Process Inputs],0))</f>
        <v>#N/A</v>
      </c>
      <c r="IF96" s="1" t="e">
        <f ca="1">INDEX(Table_Process_Details[Total '[Water (kg) per kg API'] of Unique Inputs (SOLVENT)], MATCH(Table_Process_Details[[#This Row],[Unique Inputs Sorted by '[Water (kg) per kg API']]],Table_Process_Details[Unique Process Inputs],0))</f>
        <v>#N/A</v>
      </c>
      <c r="IG96" s="1" t="e">
        <f ca="1">INDEX(Table_Process_Details[Total '[Water (kg) per kg API'] of Unique Inputs (WATER)], MATCH(Table_Process_Details[[#This Row],[Unique Inputs Sorted by '[Water (kg) per kg API']]],Table_Process_Details[Unique Process Inputs],0))</f>
        <v>#N/A</v>
      </c>
      <c r="IH96" s="1" t="e">
        <f ca="1">INDEX(Table_Process_Details[Total '[Water (kg) per kg API'] of Unique Inputs (ENZ&amp;PLNT)], MATCH(Table_Process_Details[[#This Row],[Unique Inputs Sorted by '[Water (kg) per kg API']]],Table_Process_Details[Unique Process Inputs],0))</f>
        <v>#N/A</v>
      </c>
      <c r="II96" s="1" t="e">
        <f ca="1">INDEX(Table_Process_Details[Total '[Water (kg) per kg API'] of Unique Inputs (OTHER)], MATCH(Table_Process_Details[[#This Row],[Unique Inputs Sorted by '[Water (kg) per kg API']]],Table_Process_Details[Unique Process Inputs],0))</f>
        <v>#N/A</v>
      </c>
    </row>
    <row r="97" spans="1:243" customFormat="1" x14ac:dyDescent="0.25">
      <c r="A97" s="22" t="str">
        <f t="shared" si="4"/>
        <v>5) Pure Step</v>
      </c>
      <c r="B97" s="21" t="s">
        <v>4</v>
      </c>
      <c r="C97" s="21" t="s">
        <v>153</v>
      </c>
      <c r="D97" s="22" t="s">
        <v>156</v>
      </c>
      <c r="E97" s="22" t="s">
        <v>840</v>
      </c>
      <c r="F97" s="26">
        <v>28</v>
      </c>
      <c r="G97" s="26"/>
      <c r="H97" s="26"/>
      <c r="I97" s="26"/>
      <c r="J97" s="26" t="str">
        <f>INDEX(Process_Steps[Reference],MATCH(Table_Process_Details[[#This Row],[Step Name]],Process_Steps[Name],0))</f>
        <v>Reference Document for API step</v>
      </c>
      <c r="K97" s="27" t="str">
        <f>INDEX(Process_Steps[Real or Virtual?],MATCH(Table_Process_Details[[#This Row],[Step Name]],Process_Steps[Name],0))</f>
        <v>Real</v>
      </c>
      <c r="L97"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xx</v>
      </c>
      <c r="M97"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REAGENT</v>
      </c>
      <c r="N97" s="26">
        <f>INDEX(Table_Process_Details[Physical Mass (kg)],MATCH(1,INDEX(((Table_Process_Details[Step Name]=Table_Process_Details[[#This Row],[Step Name]])*(Table_Process_Details[Input or Output]="Output")),0),0))</f>
        <v>28</v>
      </c>
      <c r="O97" s="29">
        <f ca="1">INDEX(Process_Steps[Step Scale Factor for 1kg Packaged API],MATCH(Table_Process_Details[[#This Row],[Step Name]],Process_Steps[Name],0))</f>
        <v>0.04</v>
      </c>
      <c r="P97"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19.600000000000001</v>
      </c>
      <c r="Q97"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0.60000000000000142</v>
      </c>
      <c r="R97" s="26">
        <f ca="1">_xlfn.SWITCH(Run_Reset_PNG,"Reset",Table_Process_Details[[#This Row],[X Init]],"Run",Table_Process_Details[[#This Row],[X Moved]],"Freeze",Table_Process_Details[[#This Row],[X Mover]])</f>
        <v>28.583288244239917</v>
      </c>
      <c r="S97" s="26">
        <f ca="1">_xlfn.SWITCH(Run_Reset_PNG,"Reset",Table_Process_Details[[#This Row],[Y Init]],"Run",Table_Process_Details[[#This Row],[Y Moved]],"Freeze",Table_Process_Details[[#This Row],[Y Mover]])</f>
        <v>0.73708046857326692</v>
      </c>
      <c r="T97" s="26" cm="1">
        <f t="array" aca="1" ref="T97"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-0.53293835229835329</v>
      </c>
      <c r="U97" s="26" cm="1">
        <f t="array" aca="1" ref="U97"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-5.6798029326583297</v>
      </c>
      <c r="V97" s="26" cm="1">
        <f t="array" aca="1" ref="V97" ca="1">SUM(--(SQRT((Table_Process_Details[[#This Row],[X Mover]]-Table_Process_Details[X Mover])^2+(Table_Process_Details[[#This Row],[Y Mover]]-Table_Process_Details[Y Mover])^2)&lt;Collision_Distance))</f>
        <v>12</v>
      </c>
      <c r="W97" s="26" cm="1">
        <f t="array" aca="1" ref="W97"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0.16983425564823737</v>
      </c>
      <c r="X97" s="26" cm="1">
        <f t="array" aca="1" ref="X97"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0.49581185212260398</v>
      </c>
      <c r="Y97" s="26" cm="1">
        <f t="array" aca="1" ref="Y97"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7" s="26">
        <f>0</f>
        <v>0</v>
      </c>
      <c r="AA97" s="26">
        <f>0</f>
        <v>0</v>
      </c>
      <c r="AB97"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-14.291644122119958</v>
      </c>
      <c r="AC97" s="26" cm="1">
        <f t="array" aca="1" ref="AC97"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-0.36854023428663346</v>
      </c>
      <c r="AD97" s="26">
        <f>MIN(1,COUNTA(Table_Process_Details[[#This Row],[target x]]),COUNTA(Table_Process_Details[[#This Row],[target y]]))*COUNTA(Table_Process_Details[Step Name])</f>
        <v>98</v>
      </c>
      <c r="AE97"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28.562877867243017</v>
      </c>
      <c r="AF97"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0.75581479500543225</v>
      </c>
      <c r="AG97"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7" s="26" cm="1">
        <f t="array" aca="1" ref="AH97" ca="1">INDEX(Table_Process_Details[X Mover],MATCH(1,INDEX((Table_Process_Details[Input or Output]="Output")*(Table_Process_Details[Step Name]=Table_Process_Details[[#This Row],[Step Name]])*(Table_Process_Details[[#This Row],[Input or Output]]="Input"),0),0))</f>
        <v>29.895118457910893</v>
      </c>
      <c r="AI97" s="26" cm="1">
        <f t="array" aca="1" ref="AI97" ca="1">INDEX(Table_Process_Details[Y Mover],MATCH(1,INDEX((Table_Process_Details[Input or Output]="Output")*(Table_Process_Details[Step Name]=Table_Process_Details[[#This Row],[Step Name]])*(Table_Process_Details[[#This Row],[Input or Output]]="Input"),0),0))</f>
        <v>4.5668200309955704</v>
      </c>
      <c r="AJ97" s="26">
        <f ca="1">SQRT((Table_Process_Details[[#This Row],[X End (To Node Center)]]-Table_Process_Details[[#This Row],[X Guide]])^2+(Table_Process_Details[[#This Row],[Y End (to Node Center)]]-Table_Process_Details[[#This Row],[Y Guide]])^2)</f>
        <v>4.0481852261825439</v>
      </c>
      <c r="AK97" s="26" t="e" cm="1">
        <f t="array" ref="AK97">INDEX(Table_Process_Details[X Mover],MATCH(1,INDEX((Table_Process_Details[Step Name]=Table_Process_Details[[#This Row],[LCA Data Source Subclass]])*(Table_Process_Details[Input or Output]="Output"),0)*(Table_Process_Details[[#This Row],[Input or Output]]="Input"),0))</f>
        <v>#N/A</v>
      </c>
      <c r="AL97" s="26" cm="1">
        <f t="array" aca="1" ref="AL97" ca="1">INDEX(Table_Process_Details[X Mover],MATCH(1,INDEX(((Table_Process_Details[Table Row]=Table_Process_Details[[#This Row],[Table Row]])*(1)),0)*(Table_Process_Details[[#This Row],[Input or Output]]="Input"),0))</f>
        <v>28.583288244239917</v>
      </c>
      <c r="AM97" s="26" cm="1">
        <f t="array" aca="1" ref="AM97" ca="1">(Table_Process_Details[[#This Row],[X End (To Node Center)]]*Table_Process_Details[[#This Row],[r0]]-Table_Process_Details[[#This Row],[X End (To Node Center)]]*Arrow_Offset+Table_Process_Details[[#This Row],[X Guide]]*Arrow_Offset)/Table_Process_Details[[#This Row],[r0]]</f>
        <v>29.635875337277696</v>
      </c>
      <c r="AN97" s="26" t="e">
        <f>IF(NOT(Table_Process_Details[[#This Row],[Display As]]="None"),Table_Process_Details[[#This Row],[X Start Prefilter]],NA())</f>
        <v>#N/A</v>
      </c>
      <c r="AO97" s="26">
        <f ca="1">IF(NOT(Table_Process_Details[[#This Row],[Display As]]="None"),Table_Process_Details[[#This Row],[X Guide Prefilter]],NA())</f>
        <v>28.583288244239917</v>
      </c>
      <c r="AP97" s="26">
        <f ca="1">IF(NOT(Table_Process_Details[[#This Row],[Display As]]="None"),Table_Process_Details[[#This Row],[X End (to Stop Radius) Prefilter]],NA())</f>
        <v>29.635875337277696</v>
      </c>
      <c r="AQ97" s="26" t="e">
        <f>NA()</f>
        <v>#N/A</v>
      </c>
      <c r="AR97" s="26" t="e" cm="1">
        <f t="array" ref="AR97">INDEX(Table_Process_Details[Y Mover],MATCH(1,INDEX((Table_Process_Details[Step Name]=Table_Process_Details[[#This Row],[LCA Data Source Subclass]])*(Table_Process_Details[Input or Output]="Output"),0)*(Table_Process_Details[[#This Row],[Input or Output]]="Input"),0))</f>
        <v>#N/A</v>
      </c>
      <c r="AS97" s="26" cm="1">
        <f t="array" aca="1" ref="AS97" ca="1">INDEX(Table_Process_Details[Y Mover],MATCH(1,INDEX(((Table_Process_Details[Table Row]=Table_Process_Details[[#This Row],[Table Row]])*(1)),0)*(Table_Process_Details[[#This Row],[Input or Output]]="Input"),0))</f>
        <v>0.73708046857326692</v>
      </c>
      <c r="AT97" s="26" cm="1">
        <f t="array" aca="1" ref="AT97" ca="1">(Table_Process_Details[[#This Row],[Y Guide]]*Arrow_Offset-Table_Process_Details[[#This Row],[Y End (to Node Center)]]*Arrow_Offset+Table_Process_Details[[#This Row],[Y End (to Node Center)]]*Table_Process_Details[[#This Row],[r0]])/Table_Process_Details[[#This Row],[r0]]</f>
        <v>3.8099891354816782</v>
      </c>
      <c r="AU97" s="26" t="e">
        <f>IF(NOT(Table_Process_Details[[#This Row],[Display As]]="None"),Table_Process_Details[[#This Row],[Y Start Prefilter]],NA())</f>
        <v>#N/A</v>
      </c>
      <c r="AV97" s="26">
        <f ca="1">IF(NOT(Table_Process_Details[[#This Row],[Display As]]="None"),Table_Process_Details[[#This Row],[Y Guide Prefilter]],NA())</f>
        <v>0.73708046857326692</v>
      </c>
      <c r="AW97" s="26">
        <f ca="1">IF(NOT(Table_Process_Details[[#This Row],[Display As]]="None"),Table_Process_Details[[#This Row],[Y End (to Stop Radius) Prefilter]],NA())</f>
        <v>3.8099891354816782</v>
      </c>
      <c r="AX97" s="26" t="e">
        <f>NA()</f>
        <v>#N/A</v>
      </c>
      <c r="AY97" s="26" t="e">
        <f>IF(Table_Process_Details[[#This Row],[Display As]]="Real Step",Table_Process_Details[[#This Row],[X Mover]],NA())</f>
        <v>#N/A</v>
      </c>
      <c r="AZ97" s="26" t="e">
        <f>IF(Table_Process_Details[[#This Row],[Display As]]="Real Step",Table_Process_Details[[#This Row],[Y Mover]],NA())</f>
        <v>#N/A</v>
      </c>
      <c r="BA97" s="26">
        <f ca="1">IF(Table_Process_Details[[#This Row],[Display As]]="Raw Material",Table_Process_Details[[#This Row],[X Mover]],NA())</f>
        <v>28.583288244239917</v>
      </c>
      <c r="BB97" s="26">
        <f ca="1">IF(Table_Process_Details[[#This Row],[Display As]]="Raw Material",Table_Process_Details[[#This Row],[Y Mover]],NA())</f>
        <v>0.73708046857326692</v>
      </c>
      <c r="BC97" s="26">
        <f ca="1">IF(OR(Table_Process_Details[[#This Row],[Display As]]="Real Step",Table_Process_Details[[#This Row],[Display As]]="Raw Material"),Table_Process_Details[[#This Row],[X Mover]],NA())</f>
        <v>28.583288244239917</v>
      </c>
      <c r="BD97" s="26">
        <f ca="1">IF(OR(Table_Process_Details[[#This Row],[Display As]]="Real Step",Table_Process_Details[[#This Row],[Display As]]="Raw Material"),Table_Process_Details[[#This Row],[Y Mover]],NA())</f>
        <v>0.73708046857326692</v>
      </c>
      <c r="BE97" s="22">
        <f>ROW()-ROW(Table_Process_Details[[#Headers],[Table Row]])</f>
        <v>93</v>
      </c>
      <c r="BF97" s="23" t="e" cm="1">
        <f t="array" aca="1" ref="BF97" ca="1">INDEX(Table_Process_Details[Display Name],MATCH(0,IF(Table_Process_Details[Input or Output]="Input",INDEX(COUNTIF(OFFSET(Table_Process_Details[[#Headers],[Unique Process Inputs]],0,0,Table_Process_Details[[#This Row],[Table Row]],1),Table_Process_Details[Display Name]),),""),0))</f>
        <v>#N/A</v>
      </c>
      <c r="BG97" s="23">
        <f ca="1">Table_Process_Details[[#This Row],[Physical Mass (kg)]]*Table_Process_Details[[#This Row],[Step Scale Factor for 1kg Packaged API]]</f>
        <v>1.1200000000000001</v>
      </c>
      <c r="BH97"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7" s="23">
        <f ca="1">MATCH(Table_Process_Details[[#This Row],[LCA Data Source Class]],INDIRECT(Table_Process_Details[[#This Row],[Input or Output]]),0)</f>
        <v>3</v>
      </c>
      <c r="BJ97" s="23">
        <f ca="1">MATCH(Table_Process_Details[[#This Row],[LCA Data Source Subclass]],INDIRECT(Table_Process_Details[[#This Row],[LCA Data Source Class]]&amp;"[Name]"),0)</f>
        <v>1</v>
      </c>
      <c r="BK97" s="23">
        <f ca="1">IFERROR(INDEX(INDIRECT(Table_Process_Details[[#This Row],[LCA Data Source Class]]&amp;"[Mass Net (kg)]"),MATCH(Table_Process_Details[[#This Row],[LCA Data Source Subclass]],INDIRECT(Table_Process_Details[[#This Row],[LCA Data Source Class]]&amp;"[Name]"),0)),0)</f>
        <v>2.0861208174193546</v>
      </c>
      <c r="BL97" s="23">
        <f ca="1">IFERROR(INDEX(INDIRECT(Table_Process_Details[[#This Row],[LCA Data Source Class]]&amp;"[Energy (MJ)]"),MATCH(Table_Process_Details[[#This Row],[LCA Data Source Subclass]],INDIRECT(Table_Process_Details[[#This Row],[LCA Data Source Class]]&amp;"[Name]"),0)),0)</f>
        <v>74.867288612903238</v>
      </c>
      <c r="BM97" s="23">
        <f ca="1">IFERROR(INDEX(INDIRECT(Table_Process_Details[[#This Row],[LCA Data Source Class]]&amp;"[GWP (kg CO2 equiv.)]"),MATCH(Table_Process_Details[[#This Row],[LCA Data Source Subclass]],INDIRECT(Table_Process_Details[[#This Row],[LCA Data Source Class]]&amp;"[Name]"),0)),0)</f>
        <v>2.6244035558064511</v>
      </c>
      <c r="BN97" s="23">
        <f ca="1">IFERROR(INDEX(INDIRECT(Table_Process_Details[[#This Row],[LCA Data Source Class]]&amp;"[Acidification (kg SO2 equiv.)]"),MATCH(Table_Process_Details[[#This Row],[LCA Data Source Subclass]],INDIRECT(Table_Process_Details[[#This Row],[LCA Data Source Class]]&amp;"[Name]"),0)),0)</f>
        <v>1.1223113743548388E-2</v>
      </c>
      <c r="BO97" s="23">
        <f ca="1">IFERROR(INDEX(INDIRECT(Table_Process_Details[[#This Row],[LCA Data Source Class]]&amp;"[Eutrophication (kg posphate equiv.)]"),MATCH(Table_Process_Details[[#This Row],[LCA Data Source Subclass]],INDIRECT(Table_Process_Details[[#This Row],[LCA Data Source Class]]&amp;"[Name]"),0)),0)</f>
        <v>8.9864536225806452E-3</v>
      </c>
      <c r="BP97" s="23">
        <f ca="1">IFERROR(INDEX(INDIRECT(Table_Process_Details[[#This Row],[LCA Data Source Class]]&amp;"[Water (kg)]"),MATCH(Table_Process_Details[[#This Row],[LCA Data Source Subclass]],INDIRECT(Table_Process_Details[[#This Row],[LCA Data Source Class]]&amp;"[Name]"),0)),0)</f>
        <v>14.695319198225807</v>
      </c>
      <c r="BQ97" s="27">
        <f ca="1">(Table_Process_Details[[#This Row],[Input or Output]]="Input")*(Table_Process_Details[[#This Row],[LCA Data Source Class]]&lt;&gt;"Process_Steps")*Table_Process_Details[[#This Row],[Scaled Physical Mass per kg API for All Inputs &amp; Outputs]]</f>
        <v>1.1200000000000001</v>
      </c>
      <c r="BR97" s="27">
        <f ca="1">(Table_Process_Details[[#This Row],[Material Class]]="REAGENT")*Table_Process_Details[[#This Row],[Physical Mass per kg API]]</f>
        <v>1.1200000000000001</v>
      </c>
      <c r="BS97" s="27">
        <f ca="1">(Table_Process_Details[[#This Row],[Material Class]]="METAL")*Table_Process_Details[[#This Row],[Physical Mass per kg API]]</f>
        <v>0</v>
      </c>
      <c r="BT97" s="27">
        <f ca="1">(Table_Process_Details[[#This Row],[Material Class]]="SOLVENT")*Table_Process_Details[[#This Row],[Physical Mass per kg API]]</f>
        <v>0</v>
      </c>
      <c r="BU97" s="27">
        <f ca="1">(Table_Process_Details[[#This Row],[Material Class]]="WATER")*Table_Process_Details[[#This Row],[Physical Mass per kg API]]</f>
        <v>0</v>
      </c>
      <c r="BV97" s="27">
        <f ca="1">(Table_Process_Details[[#This Row],[Material Class]]="ENZ&amp;PLNT")*Table_Process_Details[[#This Row],[Physical Mass per kg API]]</f>
        <v>0</v>
      </c>
      <c r="BW97" s="27">
        <f ca="1">(Table_Process_Details[[#This Row],[Material Class]]="OTHER")*Table_Process_Details[[#This Row],[Physical Mass per kg API]]</f>
        <v>0</v>
      </c>
      <c r="BX97"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1.1200000000000001</v>
      </c>
      <c r="BY97"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1.1200000000000001</v>
      </c>
      <c r="BZ97"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7"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7"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7"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7"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7" s="1">
        <f ca="1">SUMIFS(Table_Process_Details[RV Physical Mass per kg API],Table_Process_Details[Display Name],Table_Process_Details[[#This Row],[Unique Process Inputs]],Table_Process_Details[Input or Output],"Input")</f>
        <v>0</v>
      </c>
      <c r="CF97" s="1">
        <f ca="1">SUMIFS(Table_Process_Details[RV Physical Mass per kg API (REAGENT)],Table_Process_Details[Display Name],Table_Process_Details[[#This Row],[Unique Process Inputs]],Table_Process_Details[Input or Output],"Input")</f>
        <v>0</v>
      </c>
      <c r="CG97" s="1">
        <f ca="1">SUMIFS(Table_Process_Details[RV Physical Mass per kg API (METAL)],Table_Process_Details[Display Name],Table_Process_Details[[#This Row],[Unique Process Inputs]],Table_Process_Details[Input or Output],"Input")</f>
        <v>0</v>
      </c>
      <c r="CH97" s="1">
        <f ca="1">SUMIFS(Table_Process_Details[RV Physical Mass per kg API (SOLVENT)],Table_Process_Details[Display Name],Table_Process_Details[[#This Row],[Unique Process Inputs]],Table_Process_Details[Input or Output],"Input")</f>
        <v>0</v>
      </c>
      <c r="CI97" s="1">
        <f ca="1">SUMIFS(Table_Process_Details[RV Physical Mass per kg API (WATER)],Table_Process_Details[Display Name],Table_Process_Details[[#This Row],[Unique Process Inputs]],Table_Process_Details[Input or Output],"Input")</f>
        <v>0</v>
      </c>
      <c r="CJ97" s="1">
        <f ca="1">SUMIFS(Table_Process_Details[RV Physical Mass per kg API (ENZ&amp;PLNT)],Table_Process_Details[Display Name],Table_Process_Details[[#This Row],[Unique Process Inputs]],Table_Process_Details[Input or Output],"Input")</f>
        <v>0</v>
      </c>
      <c r="CK97" s="1">
        <f ca="1">SUMIFS(Table_Process_Details[RV Physical Mass per kg API (OTHER)],Table_Process_Details[Display Name],Table_Process_Details[[#This Row],[Unique Process Inputs]],Table_Process_Details[Input or Output],"Input")</f>
        <v>0</v>
      </c>
      <c r="CL97" s="22" t="e">
        <f ca="1">INDEX(Table_Process_Details[Unique Process Inputs],MATCH(Table_Process_Details[[#This Row],['[Physical Mass per kg API'] of Unique Inputs Sorted by '[Physical Mass per kg API']]],Table_Process_Details[Total '[Physical Mass per kg API'] of Unique Inputs],0))</f>
        <v>#N/A</v>
      </c>
      <c r="CM97" s="22" t="e">
        <f ca="1">IF(LARGE(Table_Process_Details[Total '[Physical Mass per kg API'] of Unique Inputs],Table_Process_Details[[#This Row],[Table Row]])=0,NA(),LARGE(Table_Process_Details[Total '[Physical Mass per kg API'] of Unique Inputs],Table_Process_Details[[#This Row],[Table Row]]))</f>
        <v>#N/A</v>
      </c>
      <c r="CN97" s="22" t="e">
        <f ca="1">SUM(OFFSET(Table_Process_Details['[Physical Mass per kg API'] of Unique Inputs Sorted by '[Physical Mass per kg API']],0,0,Table_Process_Details[[#This Row],[Table Row]]))</f>
        <v>#N/A</v>
      </c>
      <c r="CO97" s="22" t="e">
        <f ca="1">"("&amp;TEXT(Table_Process_Details[[#This Row],['[Physical Mass per kg API'] of Unique Inputs Sorted by '[Physical Mass per kg API']]]/SUMIF(Table_Process_Details['[Physical Mass per kg API'] of Unique Inputs Sorted by '[Physical Mass per kg API']],"&lt;&gt;#N/A"),"0%")&amp;")"</f>
        <v>#N/A</v>
      </c>
      <c r="CP97" s="22" t="e">
        <f ca="1">INDEX(Table_Process_Details[Total '[Physical Mass per kg API'] of Unique Inputs (REAGENT)],MATCH(Table_Process_Details[[#This Row],[Unique Inputs Sorted by '[Physical Mass per kg API']]],Table_Process_Details[Unique Process Inputs],0))</f>
        <v>#N/A</v>
      </c>
      <c r="CQ97" s="22" t="e">
        <f ca="1">INDEX(Table_Process_Details[Total '[Physical Mass per kg API'] of Unique Inputs (METAL)],MATCH(Table_Process_Details[[#This Row],[Unique Inputs Sorted by '[Physical Mass per kg API']]],Table_Process_Details[Unique Process Inputs],0))</f>
        <v>#N/A</v>
      </c>
      <c r="CR97" s="22" t="e">
        <f ca="1">INDEX(Table_Process_Details[Total '[Physical Mass per kg API'] of Unique Inputs (SOLVENT)],MATCH(Table_Process_Details[[#This Row],[Unique Inputs Sorted by '[Physical Mass per kg API']]],Table_Process_Details[Unique Process Inputs],0))</f>
        <v>#N/A</v>
      </c>
      <c r="CS97" s="22" t="e">
        <f ca="1">INDEX(Table_Process_Details[Total '[Physical Mass per kg API'] of Unique Inputs (WATER)],MATCH(Table_Process_Details[[#This Row],[Unique Inputs Sorted by '[Physical Mass per kg API']]],Table_Process_Details[Unique Process Inputs],0))</f>
        <v>#N/A</v>
      </c>
      <c r="CT97" s="22" t="e">
        <f ca="1">INDEX(Table_Process_Details[Total '[Physical Mass per kg API'] of Unique Inputs (ENZ&amp;PLNT)],MATCH(Table_Process_Details[[#This Row],[Unique Inputs Sorted by '[Physical Mass per kg API']]],Table_Process_Details[Unique Process Inputs],0))</f>
        <v>#N/A</v>
      </c>
      <c r="CU97" s="22" t="e">
        <f ca="1">INDEX(Table_Process_Details[Total '[Physical Mass per kg API'] of Unique Inputs (OTHER)],MATCH(Table_Process_Details[[#This Row],[Unique Inputs Sorted by '[Physical Mass per kg API']]],Table_Process_Details[Unique Process Inputs],0))</f>
        <v>#N/A</v>
      </c>
      <c r="CV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2.3364553155096774</v>
      </c>
      <c r="CW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2.3364553155096774</v>
      </c>
      <c r="CX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7"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7" s="22">
        <f ca="1">SUMIFS(Table_Process_Details[RV Mass Net (kg) per kg API],Table_Process_Details[Display Name],Table_Process_Details[[#This Row],[Unique Process Inputs]],Table_Process_Details[Input or Output],"Input")</f>
        <v>0</v>
      </c>
      <c r="DD97" s="22">
        <f ca="1">SUMIFS(Table_Process_Details[RV Mass Net (kg) per kg API (REAGENT)],Table_Process_Details[Display Name],Table_Process_Details[[#This Row],[Unique Process Inputs]],Table_Process_Details[Input or Output],"Input")</f>
        <v>0</v>
      </c>
      <c r="DE97" s="22">
        <f ca="1">SUMIFS(Table_Process_Details[RV Mass Net (kg) per kg API (METAL)],Table_Process_Details[Display Name],Table_Process_Details[[#This Row],[Unique Process Inputs]],Table_Process_Details[Input or Output],"Input")</f>
        <v>0</v>
      </c>
      <c r="DF97" s="22">
        <f ca="1">SUMIFS(Table_Process_Details[RV Mass Net (kg) per kg API (SOLVENT)],Table_Process_Details[Display Name],Table_Process_Details[[#This Row],[Unique Process Inputs]],Table_Process_Details[Input or Output],"Input")</f>
        <v>0</v>
      </c>
      <c r="DG97" s="22">
        <f ca="1">SUMIFS(Table_Process_Details[RV Mass Net (kg) per kg API (WATER)],Table_Process_Details[Display Name],Table_Process_Details[[#This Row],[Unique Process Inputs]],Table_Process_Details[Input or Output],"Input")</f>
        <v>0</v>
      </c>
      <c r="DH97" s="22">
        <f ca="1">SUMIFS(Table_Process_Details[RV Mass Net (kg) per kg API (ENZ&amp;PLNT)],Table_Process_Details[Display Name],Table_Process_Details[[#This Row],[Unique Process Inputs]],Table_Process_Details[Input or Output],"Input")</f>
        <v>0</v>
      </c>
      <c r="DI97" s="22">
        <f ca="1">SUMIFS(Table_Process_Details[RV Mass Net (kg) per kg API (OTHER)],Table_Process_Details[Display Name],Table_Process_Details[[#This Row],[Unique Process Inputs]],Table_Process_Details[Input or Output],"Input")</f>
        <v>0</v>
      </c>
      <c r="DJ97" s="22" t="e">
        <f ca="1">INDEX(Table_Process_Details[Unique Process Inputs],MATCH(Table_Process_Details[[#This Row],['[Mass Net (kg) per kg API'] of Unique Inputs Sorted by '[Mass Net (kg) per kg API']]],Table_Process_Details[Total '[Mass Net (kg) per kg API'] of Unique Inputs],0))</f>
        <v>#N/A</v>
      </c>
      <c r="DK97" s="22" t="e">
        <f ca="1">IF(LARGE(Table_Process_Details[Total '[Mass Net (kg) per kg API'] of Unique Inputs],Table_Process_Details[[#This Row],[Table Row]])=0,NA(),LARGE(Table_Process_Details[Total '[Mass Net (kg) per kg API'] of Unique Inputs],Table_Process_Details[[#This Row],[Table Row]]))</f>
        <v>#N/A</v>
      </c>
      <c r="DL97" s="22" t="e">
        <f ca="1">SUM(OFFSET(Table_Process_Details['[Mass Net (kg) per kg API'] of Unique Inputs Sorted by '[Mass Net (kg) per kg API']],0,0,Table_Process_Details[[#This Row],[Table Row]]))</f>
        <v>#N/A</v>
      </c>
      <c r="DM97" s="22" t="e">
        <f ca="1">"("&amp;TEXT(Table_Process_Details[[#This Row],['[Mass Net (kg) per kg API'] of Unique Inputs Sorted by '[Mass Net (kg) per kg API']]]/SUMIF(Table_Process_Details['[Mass Net (kg) per kg API'] of Unique Inputs Sorted by '[Mass Net (kg) per kg API']],"&lt;&gt;#N/A"),"0%")&amp;")"</f>
        <v>#N/A</v>
      </c>
      <c r="DN97" s="22" t="e">
        <f ca="1">INDEX(Table_Process_Details[Total '[Mass Net (kg) per kg API'] of Unique Inputs (REAGENT)], MATCH(Table_Process_Details[[#This Row],[Unique Inputs Sorted by '[Mass Net (kg) per kg API']]],Table_Process_Details[Unique Process Inputs],0))</f>
        <v>#N/A</v>
      </c>
      <c r="DO97" s="22" t="e">
        <f ca="1">INDEX(Table_Process_Details[Total '[Mass Net (kg) per kg API'] of Unique Inputs (METAL)], MATCH(Table_Process_Details[[#This Row],[Unique Inputs Sorted by '[Mass Net (kg) per kg API']]],Table_Process_Details[Unique Process Inputs],0))</f>
        <v>#N/A</v>
      </c>
      <c r="DP97" s="22" t="e">
        <f ca="1">INDEX(Table_Process_Details[Total '[Mass Net (kg) per kg API'] of Unique Inputs (SOLVENT)], MATCH(Table_Process_Details[[#This Row],[Unique Inputs Sorted by '[Mass Net (kg) per kg API']]],Table_Process_Details[Unique Process Inputs],0))</f>
        <v>#N/A</v>
      </c>
      <c r="DQ97" s="22" t="e">
        <f ca="1">INDEX(Table_Process_Details[Total '[Mass Net (kg) per kg API'] of Unique Inputs (WATER)], MATCH(Table_Process_Details[[#This Row],[Unique Inputs Sorted by '[Mass Net (kg) per kg API']]],Table_Process_Details[Unique Process Inputs],0))</f>
        <v>#N/A</v>
      </c>
      <c r="DR97" s="22" t="e">
        <f ca="1">INDEX(Table_Process_Details[Total '[Mass Net (kg) per kg API'] of Unique Inputs (ENZ&amp;PLNT)], MATCH(Table_Process_Details[[#This Row],[Unique Inputs Sorted by '[Mass Net (kg) per kg API']]],Table_Process_Details[Unique Process Inputs],0))</f>
        <v>#N/A</v>
      </c>
      <c r="DS97" s="22" t="e">
        <f ca="1">INDEX(Table_Process_Details[Total '[Mass Net (kg) per kg API'] of Unique Inputs (OTHER)], MATCH(Table_Process_Details[[#This Row],[Unique Inputs Sorted by '[Mass Net (kg) per kg API']]],Table_Process_Details[Unique Process Inputs],0))</f>
        <v>#N/A</v>
      </c>
      <c r="DT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83.851363246451641</v>
      </c>
      <c r="DU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83.851363246451641</v>
      </c>
      <c r="DV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7"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7" s="1">
        <f ca="1">SUMIFS(Table_Process_Details[RV Energy (MJ) per kg API],Table_Process_Details[Display Name],Table_Process_Details[[#This Row],[Unique Process Inputs]],Table_Process_Details[Input or Output],"Input")</f>
        <v>0</v>
      </c>
      <c r="EB97" s="1">
        <f ca="1">SUMIFS(Table_Process_Details[RV Energy (MJ) per kg API (REAGENT)],Table_Process_Details[Display Name],Table_Process_Details[[#This Row],[Unique Process Inputs]],Table_Process_Details[Input or Output],"Input")</f>
        <v>0</v>
      </c>
      <c r="EC97" s="1">
        <f ca="1">SUMIFS(Table_Process_Details[RV Energy (MJ) per kg API (METAL)],Table_Process_Details[Display Name],Table_Process_Details[[#This Row],[Unique Process Inputs]],Table_Process_Details[Input or Output],"Input")</f>
        <v>0</v>
      </c>
      <c r="ED97" s="1">
        <f ca="1">SUMIFS(Table_Process_Details[RV Energy (MJ) per kg API (SOLVENT)],Table_Process_Details[Display Name],Table_Process_Details[[#This Row],[Unique Process Inputs]],Table_Process_Details[Input or Output],"Input")</f>
        <v>0</v>
      </c>
      <c r="EE97" s="1">
        <f ca="1">SUMIFS(Table_Process_Details[RV Energy (MJ) per kg API (WATER)],Table_Process_Details[Display Name],Table_Process_Details[[#This Row],[Unique Process Inputs]],Table_Process_Details[Input or Output],"Input")</f>
        <v>0</v>
      </c>
      <c r="EF97" s="1">
        <f ca="1">SUMIFS(Table_Process_Details[RV Energy (MJ) per kg API (ENZ&amp;PLNT)],Table_Process_Details[Display Name],Table_Process_Details[[#This Row],[Unique Process Inputs]],Table_Process_Details[Input or Output],"Input")</f>
        <v>0</v>
      </c>
      <c r="EG97" s="1">
        <f ca="1">SUMIFS(Table_Process_Details[RV Energy (MJ) per kg API (OTHER)],Table_Process_Details[Display Name],Table_Process_Details[[#This Row],[Unique Process Inputs]],Table_Process_Details[Input or Output],"Input")</f>
        <v>0</v>
      </c>
      <c r="EH97" s="1" t="e">
        <f ca="1">INDEX(Table_Process_Details[Unique Process Inputs],MATCH(Table_Process_Details[[#This Row],['[Energy (MJ) per kg API'] of Unique Inputs Sorted by '[Energy (MJ) per kg API']]],Table_Process_Details[Total '[Energy (MJ) per kg API'] of Unique Inputs],0))</f>
        <v>#N/A</v>
      </c>
      <c r="EI97" s="22" t="e">
        <f ca="1">IF(LARGE(Table_Process_Details[Total '[Energy (MJ) per kg API'] of Unique Inputs],Table_Process_Details[[#This Row],[Table Row]])=0,NA(),LARGE(Table_Process_Details[Total '[Energy (MJ) per kg API'] of Unique Inputs],Table_Process_Details[[#This Row],[Table Row]]))</f>
        <v>#N/A</v>
      </c>
      <c r="EJ97" s="22" t="e">
        <f ca="1">SUM(OFFSET(Table_Process_Details['[Energy (MJ) per kg API'] of Unique Inputs Sorted by '[Energy (MJ) per kg API']],0,0,Table_Process_Details[[#This Row],[Table Row]]))</f>
        <v>#N/A</v>
      </c>
      <c r="EK97" s="22" t="e">
        <f ca="1">"("&amp;TEXT(Table_Process_Details[[#This Row],['[Energy (MJ) per kg API'] of Unique Inputs Sorted by '[Energy (MJ) per kg API']]]/SUMIF(Table_Process_Details['[Energy (MJ) per kg API'] of Unique Inputs Sorted by '[Energy (MJ) per kg API']],"&lt;&gt;#N/A"),"0%")&amp;")"</f>
        <v>#N/A</v>
      </c>
      <c r="EL97" s="22" t="e">
        <f ca="1">INDEX(Table_Process_Details[Total '[Energy (MJ) per kg API'] of Unique Inputs (REAGENT)], MATCH(Table_Process_Details[[#This Row],[Unique Inputs Sorted by '[Energy (MJ) per kg API']]],Table_Process_Details[Unique Process Inputs],0))</f>
        <v>#N/A</v>
      </c>
      <c r="EM97" s="22" t="e">
        <f ca="1">INDEX(Table_Process_Details[Total '[Energy (MJ) per kg API'] of Unique Inputs (METAL)], MATCH(Table_Process_Details[[#This Row],[Unique Inputs Sorted by '[Energy (MJ) per kg API']]],Table_Process_Details[Unique Process Inputs],0))</f>
        <v>#N/A</v>
      </c>
      <c r="EN97" s="22" t="e">
        <f ca="1">INDEX(Table_Process_Details[Total '[Energy (MJ) per kg API'] of Unique Inputs (SOLVENT)], MATCH(Table_Process_Details[[#This Row],[Unique Inputs Sorted by '[Energy (MJ) per kg API']]],Table_Process_Details[Unique Process Inputs],0))</f>
        <v>#N/A</v>
      </c>
      <c r="EO97" s="22" t="e">
        <f ca="1">INDEX(Table_Process_Details[Total '[Energy (MJ) per kg API'] of Unique Inputs (WATER)], MATCH(Table_Process_Details[[#This Row],[Unique Inputs Sorted by '[Energy (MJ) per kg API']]],Table_Process_Details[Unique Process Inputs],0))</f>
        <v>#N/A</v>
      </c>
      <c r="EP97" s="22" t="e">
        <f ca="1">INDEX(Table_Process_Details[Total '[Energy (MJ) per kg API'] of Unique Inputs (ENZ&amp;PLNT)], MATCH(Table_Process_Details[[#This Row],[Unique Inputs Sorted by '[Energy (MJ) per kg API']]],Table_Process_Details[Unique Process Inputs],0))</f>
        <v>#N/A</v>
      </c>
      <c r="EQ97" s="22" t="e">
        <f ca="1">INDEX(Table_Process_Details[Total '[Energy (MJ) per kg API'] of Unique Inputs (OTHER)], MATCH(Table_Process_Details[[#This Row],[Unique Inputs Sorted by '[Energy (MJ) per kg API']]],Table_Process_Details[Unique Process Inputs],0))</f>
        <v>#N/A</v>
      </c>
      <c r="ER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2.9393319825032256</v>
      </c>
      <c r="ES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2.9393319825032256</v>
      </c>
      <c r="ET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7"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7" s="22">
        <f ca="1">SUMIFS(Table_Process_Details[RV GWP (kg CO2 equiv.) per kg API],Table_Process_Details[Display Name],Table_Process_Details[[#This Row],[Unique Process Inputs]],Table_Process_Details[Input or Output],"Input")</f>
        <v>0</v>
      </c>
      <c r="EZ97" s="1">
        <f ca="1">SUMIFS(Table_Process_Details[RV GWP (kg CO2 equiv.) per kg API (REAGENT)],Table_Process_Details[Display Name],Table_Process_Details[[#This Row],[Unique Process Inputs]],Table_Process_Details[Input or Output],"Input")</f>
        <v>0</v>
      </c>
      <c r="FA97" s="1">
        <f ca="1">SUMIFS(Table_Process_Details[RV GWP (kg CO2 equiv.) per kg API (METAL)],Table_Process_Details[Display Name],Table_Process_Details[[#This Row],[Unique Process Inputs]],Table_Process_Details[Input or Output],"Input")</f>
        <v>0</v>
      </c>
      <c r="FB97" s="1">
        <f ca="1">SUMIFS(Table_Process_Details[RV GWP (kg CO2 equiv.) per kg API (SOLVENT)],Table_Process_Details[Display Name],Table_Process_Details[[#This Row],[Unique Process Inputs]],Table_Process_Details[Input or Output],"Input")</f>
        <v>0</v>
      </c>
      <c r="FC97" s="1">
        <f ca="1">SUMIFS(Table_Process_Details[RV GWP (kg CO2 equiv.) per kg API (WATER)],Table_Process_Details[Display Name],Table_Process_Details[[#This Row],[Unique Process Inputs]],Table_Process_Details[Input or Output],"Input")</f>
        <v>0</v>
      </c>
      <c r="FD97" s="1">
        <f ca="1">SUMIFS(Table_Process_Details[RV GWP (kg CO2 equiv.) per kg API (ENZ&amp;PLNT)],Table_Process_Details[Display Name],Table_Process_Details[[#This Row],[Unique Process Inputs]],Table_Process_Details[Input or Output],"Input")</f>
        <v>0</v>
      </c>
      <c r="FE97" s="1">
        <f ca="1">SUMIFS(Table_Process_Details[RV GWP (kg CO2 equiv.) per kg API (OTHER)],Table_Process_Details[Display Name],Table_Process_Details[[#This Row],[Unique Process Inputs]],Table_Process_Details[Input or Output],"Input")</f>
        <v>0</v>
      </c>
      <c r="FF97" s="22" t="e">
        <f ca="1">INDEX(Table_Process_Details[Unique Process Inputs],MATCH(Table_Process_Details[[#This Row],['[GWP (kg CO2 equiv.) per kg API'] of Unique Inputs Sorted by '[GWP (kg CO2 equiv.) per kg API']]],Table_Process_Details[Total '[GWP (kg CO2 equiv.) per kg API'] of Unique Inputs],0))</f>
        <v>#N/A</v>
      </c>
      <c r="FG97" s="22" t="e">
        <f ca="1">IF(LARGE(Table_Process_Details[Total '[GWP (kg CO2 equiv.) per kg API'] of Unique Inputs],Table_Process_Details[[#This Row],[Table Row]])=0,NA(),LARGE(Table_Process_Details[Total '[GWP (kg CO2 equiv.) per kg API'] of Unique Inputs],Table_Process_Details[[#This Row],[Table Row]]))</f>
        <v>#N/A</v>
      </c>
      <c r="FH97" s="22" t="e">
        <f ca="1">SUM(OFFSET(Table_Process_Details['[GWP (kg CO2 equiv.) per kg API'] of Unique Inputs Sorted by '[GWP (kg CO2 equiv.) per kg API']],0,0,Table_Process_Details[[#This Row],[Table Row]]))</f>
        <v>#N/A</v>
      </c>
      <c r="FI97" s="22" t="e">
        <f ca="1">"("&amp;TEXT(Table_Process_Details[[#This Row],['[GWP (kg CO2 equiv.) per kg API'] of Unique Inputs Sorted by '[GWP (kg CO2 equiv.) per kg API']]]/SUMIF(Table_Process_Details['[GWP (kg CO2 equiv.) per kg API'] of Unique Inputs Sorted by '[GWP (kg CO2 equiv.) per kg API']],"&lt;&gt;#N/A"),"0%")&amp;")"</f>
        <v>#N/A</v>
      </c>
      <c r="FJ97" s="22" t="e">
        <f ca="1">INDEX(Table_Process_Details[Total '[GWP (kg CO2 equiv.) per kg API'] of Unique Inputs (REAGENT)], MATCH(Table_Process_Details[[#This Row],[Unique Inputs Sorted by '[GWP (kg CO2 equiv.) per kg API']]],Table_Process_Details[Unique Process Inputs],0))</f>
        <v>#N/A</v>
      </c>
      <c r="FK97" s="22" t="e">
        <f ca="1">INDEX(Table_Process_Details[Total '[GWP (kg CO2 equiv.) per kg API'] of Unique Inputs (METAL)], MATCH(Table_Process_Details[[#This Row],[Unique Inputs Sorted by '[GWP (kg CO2 equiv.) per kg API']]],Table_Process_Details[Unique Process Inputs],0))</f>
        <v>#N/A</v>
      </c>
      <c r="FL97" s="22" t="e">
        <f ca="1">INDEX(Table_Process_Details[Total '[GWP (kg CO2 equiv.) per kg API'] of Unique Inputs (SOLVENT)], MATCH(Table_Process_Details[[#This Row],[Unique Inputs Sorted by '[GWP (kg CO2 equiv.) per kg API']]],Table_Process_Details[Unique Process Inputs],0))</f>
        <v>#N/A</v>
      </c>
      <c r="FM97" s="22" t="e">
        <f ca="1">INDEX(Table_Process_Details[Total '[GWP (kg CO2 equiv.) per kg API'] of Unique Inputs (WATER)], MATCH(Table_Process_Details[[#This Row],[Unique Inputs Sorted by '[GWP (kg CO2 equiv.) per kg API']]],Table_Process_Details[Unique Process Inputs],0))</f>
        <v>#N/A</v>
      </c>
      <c r="FN97" s="22" t="e">
        <f ca="1">INDEX(Table_Process_Details[Total '[GWP (kg CO2 equiv.) per kg API'] of Unique Inputs (ENZ&amp;PLNT)], MATCH(Table_Process_Details[[#This Row],[Unique Inputs Sorted by '[GWP (kg CO2 equiv.) per kg API']]],Table_Process_Details[Unique Process Inputs],0))</f>
        <v>#N/A</v>
      </c>
      <c r="FO97" s="22" t="e">
        <f ca="1">INDEX(Table_Process_Details[Total '[GWP (kg CO2 equiv.) per kg API'] of Unique Inputs (OTHER)], MATCH(Table_Process_Details[[#This Row],[Unique Inputs Sorted by '[GWP (kg CO2 equiv.) per kg API']]],Table_Process_Details[Unique Process Inputs],0))</f>
        <v>#N/A</v>
      </c>
      <c r="FP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1.2569887392774195E-2</v>
      </c>
      <c r="FQ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1.2569887392774195E-2</v>
      </c>
      <c r="FR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7"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7" s="22">
        <f ca="1">SUMIFS(Table_Process_Details[RV Acidification (kg SO2 equiv.) per kg API],Table_Process_Details[Display Name],Table_Process_Details[[#This Row],[Unique Process Inputs]],Table_Process_Details[Input or Output],"Input")</f>
        <v>0</v>
      </c>
      <c r="FX97" s="1">
        <f ca="1">SUMIFS(Table_Process_Details[RV Acidification (kg SO2 equiv.) per kg API (REAGENT)],Table_Process_Details[Display Name],Table_Process_Details[[#This Row],[Unique Process Inputs]],Table_Process_Details[Input or Output],"Input")</f>
        <v>0</v>
      </c>
      <c r="FY97" s="1">
        <f ca="1">SUMIFS(Table_Process_Details[RV Acidification (kg SO2 equiv.) per kg API (METAL)],Table_Process_Details[Display Name],Table_Process_Details[[#This Row],[Unique Process Inputs]],Table_Process_Details[Input or Output],"Input")</f>
        <v>0</v>
      </c>
      <c r="FZ97" s="1">
        <f ca="1">SUMIFS(Table_Process_Details[RV Acidification (kg SO2 equiv.) per kg API (SOLVENT)],Table_Process_Details[Display Name],Table_Process_Details[[#This Row],[Unique Process Inputs]],Table_Process_Details[Input or Output],"Input")</f>
        <v>0</v>
      </c>
      <c r="GA97" s="1">
        <f ca="1">SUMIFS(Table_Process_Details[RV Acidification (kg SO2 equiv.) per kg API (WATER)],Table_Process_Details[Display Name],Table_Process_Details[[#This Row],[Unique Process Inputs]],Table_Process_Details[Input or Output],"Input")</f>
        <v>0</v>
      </c>
      <c r="GB97" s="1">
        <f ca="1">SUMIFS(Table_Process_Details[RV Acidification (kg SO2 equiv.) per kg API (ENZ&amp;PLNT)],Table_Process_Details[Display Name],Table_Process_Details[[#This Row],[Unique Process Inputs]],Table_Process_Details[Input or Output],"Input")</f>
        <v>0</v>
      </c>
      <c r="GC97" s="1">
        <f ca="1">SUMIFS(Table_Process_Details[RV Acidification (kg SO2 equiv.) per kg API (OTHER)],Table_Process_Details[Display Name],Table_Process_Details[[#This Row],[Unique Process Inputs]],Table_Process_Details[Input or Output],"Input")</f>
        <v>0</v>
      </c>
      <c r="GD97"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7"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7" s="22" t="e">
        <f ca="1">SUM(OFFSET(Table_Process_Details['[Acidification (kg SO2 equiv.) per kg API'] of Unique Inputs Sorted by '[Acidification (kg SO2 equiv.) per kg API']],0,0,Table_Process_Details[[#This Row],[Table Row]]))</f>
        <v>#N/A</v>
      </c>
      <c r="GG97"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7" s="22" t="e">
        <f ca="1">INDEX(Table_Process_Details[Total '[Acidification (kg SO2 equiv.) per kg API'] of Unique Inputs (REAGENT)], MATCH(Table_Process_Details[[#This Row],[Unique Inputs Sorted by '[Acidification (kg SO2 equiv.) per kg API']]],Table_Process_Details[Unique Process Inputs],0))</f>
        <v>#N/A</v>
      </c>
      <c r="GI97" s="22" t="e">
        <f ca="1">INDEX(Table_Process_Details[Total '[Acidification (kg SO2 equiv.) per kg API'] of Unique Inputs (METAL)], MATCH(Table_Process_Details[[#This Row],[Unique Inputs Sorted by '[Acidification (kg SO2 equiv.) per kg API']]],Table_Process_Details[Unique Process Inputs],0))</f>
        <v>#N/A</v>
      </c>
      <c r="GJ97" s="22" t="e">
        <f ca="1">INDEX(Table_Process_Details[Total '[Acidification (kg SO2 equiv.) per kg API'] of Unique Inputs (SOLVENT)], MATCH(Table_Process_Details[[#This Row],[Unique Inputs Sorted by '[Acidification (kg SO2 equiv.) per kg API']]],Table_Process_Details[Unique Process Inputs],0))</f>
        <v>#N/A</v>
      </c>
      <c r="GK97" s="22" t="e">
        <f ca="1">INDEX(Table_Process_Details[Total '[Acidification (kg SO2 equiv.) per kg API'] of Unique Inputs (WATER)], MATCH(Table_Process_Details[[#This Row],[Unique Inputs Sorted by '[Acidification (kg SO2 equiv.) per kg API']]],Table_Process_Details[Unique Process Inputs],0))</f>
        <v>#N/A</v>
      </c>
      <c r="GL97" s="22" t="e">
        <f ca="1">INDEX(Table_Process_Details[Total '[Acidification (kg SO2 equiv.) per kg API'] of Unique Inputs (ENZ&amp;PLNT)], MATCH(Table_Process_Details[[#This Row],[Unique Inputs Sorted by '[Acidification (kg SO2 equiv.) per kg API']]],Table_Process_Details[Unique Process Inputs],0))</f>
        <v>#N/A</v>
      </c>
      <c r="GM97" s="22" t="e">
        <f ca="1">INDEX(Table_Process_Details[Total '[Acidification (kg SO2 equiv.) per kg API'] of Unique Inputs (OTHER)], MATCH(Table_Process_Details[[#This Row],[Unique Inputs Sorted by '[Acidification (kg SO2 equiv.) per kg API']]],Table_Process_Details[Unique Process Inputs],0))</f>
        <v>#N/A</v>
      </c>
      <c r="GN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1.0064828057290323E-2</v>
      </c>
      <c r="GO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1.0064828057290323E-2</v>
      </c>
      <c r="GP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7"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7" s="22">
        <f ca="1">SUMIFS(Table_Process_Details[RV Eutrophication (kg phosphate equiv.) per kg API],Table_Process_Details[Display Name],Table_Process_Details[[#This Row],[Unique Process Inputs]],Table_Process_Details[Input or Output],"Input")</f>
        <v>0</v>
      </c>
      <c r="GV97" s="1">
        <f ca="1">SUMIFS(Table_Process_Details[RV Eutrophication (kg phosphate equiv.) per kg API (REAGENT)],Table_Process_Details[Display Name],Table_Process_Details[[#This Row],[Unique Process Inputs]],Table_Process_Details[Input or Output],"Input")</f>
        <v>0</v>
      </c>
      <c r="GW97" s="1">
        <f ca="1">SUMIFS(Table_Process_Details[RV Eutrophication (kg phosphate equiv.) per kg API (METAL)],Table_Process_Details[Display Name],Table_Process_Details[[#This Row],[Unique Process Inputs]],Table_Process_Details[Input or Output],"Input")</f>
        <v>0</v>
      </c>
      <c r="GX97" s="1">
        <f ca="1">SUMIFS(Table_Process_Details[RV Eutrophication (kg phosphate equiv.) per kg API (SOLVENT)],Table_Process_Details[Display Name],Table_Process_Details[[#This Row],[Unique Process Inputs]],Table_Process_Details[Input or Output],"Input")</f>
        <v>0</v>
      </c>
      <c r="GY97" s="1">
        <f ca="1">SUMIFS(Table_Process_Details[RV Eutrophication (kg phosphate equiv.) per kg API (WATER)],Table_Process_Details[Display Name],Table_Process_Details[[#This Row],[Unique Process Inputs]],Table_Process_Details[Input or Output],"Input")</f>
        <v>0</v>
      </c>
      <c r="GZ97" s="1">
        <f ca="1">SUMIFS(Table_Process_Details[RV Eutrophication (kg phosphate equiv.) per kg API (ENZ&amp;PLNT)],Table_Process_Details[Display Name],Table_Process_Details[[#This Row],[Unique Process Inputs]],Table_Process_Details[Input or Output],"Input")</f>
        <v>0</v>
      </c>
      <c r="HA97" s="1">
        <f ca="1">SUMIFS(Table_Process_Details[RV Eutrophication (kg phosphate equiv.) per kg API (OTHER)],Table_Process_Details[Display Name],Table_Process_Details[[#This Row],[Unique Process Inputs]],Table_Process_Details[Input or Output],"Input")</f>
        <v>0</v>
      </c>
      <c r="HB97"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7"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7" s="22" t="e">
        <f ca="1">SUM(OFFSET(Table_Process_Details['[Eutrophication (kg posphate equiv.) per kg API'] of Unique Inputs Sorted by '[Eutrophication (kg posphate equiv.) per kg API']],0,0,Table_Process_Details[[#This Row],[Table Row]]))</f>
        <v>#N/A</v>
      </c>
      <c r="HE97"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7" s="1" t="e">
        <f ca="1">INDEX(Table_Process_Details[Total '[Eutrophication (kg posphate equiv.) per kg API'] of Unique Inputs (REAGENT)], MATCH(Table_Process_Details[[#This Row],[Unique Inputs Sorted by '[Eutrophication (kg posphate equiv.) per kg API']]],Table_Process_Details[Unique Process Inputs],0))</f>
        <v>#N/A</v>
      </c>
      <c r="HG97" s="1" t="e">
        <f ca="1">INDEX(Table_Process_Details[Total '[Eutrophication (kg posphate equiv.) per kg API'] of Unique Inputs (METAL)], MATCH(Table_Process_Details[[#This Row],[Unique Inputs Sorted by '[Eutrophication (kg posphate equiv.) per kg API']]],Table_Process_Details[Unique Process Inputs],0))</f>
        <v>#N/A</v>
      </c>
      <c r="HH97" s="1" t="e">
        <f ca="1">INDEX(Table_Process_Details[Total '[Eutrophication (kg posphate equiv.) per kg API'] of Unique Inputs (SOLVENT)], MATCH(Table_Process_Details[[#This Row],[Unique Inputs Sorted by '[Eutrophication (kg posphate equiv.) per kg API']]],Table_Process_Details[Unique Process Inputs],0))</f>
        <v>#N/A</v>
      </c>
      <c r="HI97" s="1" t="e">
        <f ca="1">INDEX(Table_Process_Details[Total '[Eutrophication (kg posphate equiv.) per kg API'] of Unique Inputs (WATER)], MATCH(Table_Process_Details[[#This Row],[Unique Inputs Sorted by '[Eutrophication (kg posphate equiv.) per kg API']]],Table_Process_Details[Unique Process Inputs],0))</f>
        <v>#N/A</v>
      </c>
      <c r="HJ97" s="1" t="e">
        <f ca="1">INDEX(Table_Process_Details[Total '[Eutrophication (kg posphate equiv.) per kg API'] of Unique Inputs (ENZ&amp;PLNT)], MATCH(Table_Process_Details[[#This Row],[Unique Inputs Sorted by '[Eutrophication (kg posphate equiv.) per kg API']]],Table_Process_Details[Unique Process Inputs],0))</f>
        <v>#N/A</v>
      </c>
      <c r="HK97" s="1" t="e">
        <f ca="1">INDEX(Table_Process_Details[Total '[Eutrophication (kg posphate equiv.) per kg API'] of Unique Inputs (OTHER)], MATCH(Table_Process_Details[[#This Row],[Unique Inputs Sorted by '[Eutrophication (kg posphate equiv.) per kg API']]],Table_Process_Details[Unique Process Inputs],0))</f>
        <v>#N/A</v>
      </c>
      <c r="HL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16.458757502012904</v>
      </c>
      <c r="HM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16.458757502012904</v>
      </c>
      <c r="HN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7"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7" s="1">
        <f ca="1">SUMIFS(Table_Process_Details[RV Water (kg) per kg API],Table_Process_Details[Display Name],Table_Process_Details[[#This Row],[Unique Process Inputs]],Table_Process_Details[Input or Output],"Input")</f>
        <v>0</v>
      </c>
      <c r="HT97" s="1">
        <f ca="1">SUMIFS(Table_Process_Details[RV Water (kg) per kg API (REAGENT)],Table_Process_Details[Display Name],Table_Process_Details[[#This Row],[Unique Process Inputs]],Table_Process_Details[Input or Output],"Input")</f>
        <v>0</v>
      </c>
      <c r="HU97" s="1">
        <f ca="1">SUMIFS(Table_Process_Details[RV Water (kg) per kg API (METAL)],Table_Process_Details[Display Name],Table_Process_Details[[#This Row],[Unique Process Inputs]],Table_Process_Details[Input or Output],"Input")</f>
        <v>0</v>
      </c>
      <c r="HV97" s="1">
        <f ca="1">SUMIFS(Table_Process_Details[RV Water (kg) per kg API (SOLVENT)],Table_Process_Details[Display Name],Table_Process_Details[[#This Row],[Unique Process Inputs]],Table_Process_Details[Input or Output],"Input")</f>
        <v>0</v>
      </c>
      <c r="HW97" s="1">
        <f ca="1">SUMIFS(Table_Process_Details[RV Water (kg) per kg API (WATER)],Table_Process_Details[Display Name],Table_Process_Details[[#This Row],[Unique Process Inputs]],Table_Process_Details[Input or Output],"Input")</f>
        <v>0</v>
      </c>
      <c r="HX97" s="1">
        <f ca="1">SUMIFS(Table_Process_Details[RV Water (kg) per kg API (ENZ&amp;PLNT)],Table_Process_Details[Display Name],Table_Process_Details[[#This Row],[Unique Process Inputs]],Table_Process_Details[Input or Output],"Input")</f>
        <v>0</v>
      </c>
      <c r="HY97" s="1">
        <f ca="1">SUMIFS(Table_Process_Details[RV Water (kg) per kg API (OTHER)],Table_Process_Details[Display Name],Table_Process_Details[[#This Row],[Unique Process Inputs]],Table_Process_Details[Input or Output],"Input")</f>
        <v>0</v>
      </c>
      <c r="HZ97" s="22" t="e">
        <f ca="1">INDEX(Table_Process_Details[Unique Process Inputs],MATCH(Table_Process_Details[[#This Row],['[Water (kg) per kg API'] of Unique Inputs Sorted by '[Water (kg) per kg API']]],Table_Process_Details[Total '[Water (kg) per kg API'] of Unique Inputs],0))</f>
        <v>#N/A</v>
      </c>
      <c r="IA97" s="22" t="e">
        <f ca="1">IF(LARGE(Table_Process_Details[Total '[Water (kg) per kg API'] of Unique Inputs],Table_Process_Details[[#This Row],[Table Row]])=0,NA(),LARGE(Table_Process_Details[Total '[Water (kg) per kg API'] of Unique Inputs],Table_Process_Details[[#This Row],[Table Row]]))</f>
        <v>#N/A</v>
      </c>
      <c r="IB97" s="1" t="e">
        <f ca="1">SUM(OFFSET(Table_Process_Details['[Water (kg) per kg API'] of Unique Inputs Sorted by '[Water (kg) per kg API']],0,0,Table_Process_Details[[#This Row],[Table Row]]))</f>
        <v>#N/A</v>
      </c>
      <c r="IC97" s="1" t="e">
        <f ca="1">"("&amp;TEXT(Table_Process_Details[[#This Row],['[Water (kg) per kg API'] of Unique Inputs Sorted by '[Water (kg) per kg API']]]/SUMIF(Table_Process_Details['[Water (kg) per kg API'] of Unique Inputs Sorted by '[Water (kg) per kg API']],"&lt;&gt;#N/A"),"0%")&amp;")"</f>
        <v>#N/A</v>
      </c>
      <c r="ID97" s="1" t="e">
        <f ca="1">INDEX(Table_Process_Details[Total '[Water (kg) per kg API'] of Unique Inputs (REAGENT)], MATCH(Table_Process_Details[[#This Row],[Unique Inputs Sorted by '[Water (kg) per kg API']]],Table_Process_Details[Unique Process Inputs],0))</f>
        <v>#N/A</v>
      </c>
      <c r="IE97" s="1" t="e">
        <f ca="1">INDEX(Table_Process_Details[Total '[Water (kg) per kg API'] of Unique Inputs (METAL)], MATCH(Table_Process_Details[[#This Row],[Unique Inputs Sorted by '[Water (kg) per kg API']]],Table_Process_Details[Unique Process Inputs],0))</f>
        <v>#N/A</v>
      </c>
      <c r="IF97" s="1" t="e">
        <f ca="1">INDEX(Table_Process_Details[Total '[Water (kg) per kg API'] of Unique Inputs (SOLVENT)], MATCH(Table_Process_Details[[#This Row],[Unique Inputs Sorted by '[Water (kg) per kg API']]],Table_Process_Details[Unique Process Inputs],0))</f>
        <v>#N/A</v>
      </c>
      <c r="IG97" s="1" t="e">
        <f ca="1">INDEX(Table_Process_Details[Total '[Water (kg) per kg API'] of Unique Inputs (WATER)], MATCH(Table_Process_Details[[#This Row],[Unique Inputs Sorted by '[Water (kg) per kg API']]],Table_Process_Details[Unique Process Inputs],0))</f>
        <v>#N/A</v>
      </c>
      <c r="IH97" s="1" t="e">
        <f ca="1">INDEX(Table_Process_Details[Total '[Water (kg) per kg API'] of Unique Inputs (ENZ&amp;PLNT)], MATCH(Table_Process_Details[[#This Row],[Unique Inputs Sorted by '[Water (kg) per kg API']]],Table_Process_Details[Unique Process Inputs],0))</f>
        <v>#N/A</v>
      </c>
      <c r="II97" s="1" t="e">
        <f ca="1">INDEX(Table_Process_Details[Total '[Water (kg) per kg API'] of Unique Inputs (OTHER)], MATCH(Table_Process_Details[[#This Row],[Unique Inputs Sorted by '[Water (kg) per kg API']]],Table_Process_Details[Unique Process Inputs],0))</f>
        <v>#N/A</v>
      </c>
    </row>
    <row r="98" spans="1:243" customFormat="1" x14ac:dyDescent="0.25">
      <c r="A98" s="22" t="str">
        <f t="shared" si="4"/>
        <v>5) Pure Step</v>
      </c>
      <c r="B98" s="21" t="s">
        <v>4</v>
      </c>
      <c r="C98" s="21" t="s">
        <v>170</v>
      </c>
      <c r="D98" s="22" t="str">
        <f>A100</f>
        <v>5) Pure Step</v>
      </c>
      <c r="E98" s="22" t="str">
        <f>E100</f>
        <v>Fictional API</v>
      </c>
      <c r="F98" s="26">
        <v>3</v>
      </c>
      <c r="G98" s="26" t="s">
        <v>847</v>
      </c>
      <c r="H98" s="26" t="s">
        <v>848</v>
      </c>
      <c r="I98" s="26"/>
      <c r="J98" s="26" t="str">
        <f>INDEX(Process_Steps[Reference],MATCH(Table_Process_Details[[#This Row],[Step Name]],Process_Steps[Name],0))</f>
        <v>Reference Document for API step</v>
      </c>
      <c r="K98" s="27" t="str">
        <f>INDEX(Process_Steps[Real or Virtual?],MATCH(Table_Process_Details[[#This Row],[Step Name]],Process_Steps[Name],0))</f>
        <v>Real</v>
      </c>
      <c r="L98"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98"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98" s="26">
        <f>INDEX(Table_Process_Details[Physical Mass (kg)],MATCH(1,INDEX(((Table_Process_Details[Step Name]=Table_Process_Details[[#This Row],[Step Name]])*(Table_Process_Details[Input or Output]="Output")),0),0))</f>
        <v>28</v>
      </c>
      <c r="O98" s="29">
        <f ca="1">INDEX(Process_Steps[Step Scale Factor for 1kg Packaged API],MATCH(Table_Process_Details[[#This Row],[Step Name]],Process_Steps[Name],0))</f>
        <v>0.04</v>
      </c>
      <c r="P98"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20</v>
      </c>
      <c r="Q98"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v>
      </c>
      <c r="R98" s="26">
        <f ca="1">_xlfn.SWITCH(Run_Reset_PNG,"Reset",Table_Process_Details[[#This Row],[X Init]],"Run",Table_Process_Details[[#This Row],[X Moved]],"Freeze",Table_Process_Details[[#This Row],[X Mover]])</f>
        <v>28.851410138015801</v>
      </c>
      <c r="S98" s="26">
        <f ca="1">_xlfn.SWITCH(Run_Reset_PNG,"Reset",Table_Process_Details[[#This Row],[Y Init]],"Run",Table_Process_Details[[#This Row],[Y Moved]],"Freeze",Table_Process_Details[[#This Row],[Y Mover]])</f>
        <v>8.3629651215714489</v>
      </c>
      <c r="T98" s="26" cm="1">
        <f t="array" aca="1" ref="T98"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-0.44136333752056922</v>
      </c>
      <c r="U98" s="26" cm="1">
        <f t="array" aca="1" ref="U98"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6.7231276874820578</v>
      </c>
      <c r="V98" s="26" cm="1">
        <f t="array" aca="1" ref="V98" ca="1">SUM(--(SQRT((Table_Process_Details[[#This Row],[X Mover]]-Table_Process_Details[X Mover])^2+(Table_Process_Details[[#This Row],[Y Mover]]-Table_Process_Details[Y Mover])^2)&lt;Collision_Distance))</f>
        <v>13</v>
      </c>
      <c r="W98" s="26" cm="1">
        <f t="array" aca="1" ref="W98"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0.12420146459381264</v>
      </c>
      <c r="X98" s="26" cm="1">
        <f t="array" aca="1" ref="X98"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-0.45174190056042368</v>
      </c>
      <c r="Y98" s="26" cm="1">
        <f t="array" aca="1" ref="Y98"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8" s="26">
        <f>0</f>
        <v>0</v>
      </c>
      <c r="AA98" s="26">
        <f>0</f>
        <v>0</v>
      </c>
      <c r="AB98"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-14.425705069007901</v>
      </c>
      <c r="AC98" s="26" cm="1">
        <f t="array" aca="1" ref="AC98"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-4.1814825607857244</v>
      </c>
      <c r="AD98" s="26">
        <f>MIN(1,COUNTA(Table_Process_Details[[#This Row],[target x]]),COUNTA(Table_Process_Details[[#This Row],[target y]]))*COUNTA(Table_Process_Details[Step Name])</f>
        <v>98</v>
      </c>
      <c r="AE98"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28.79445950451376</v>
      </c>
      <c r="AF98"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8.3857186998831033</v>
      </c>
      <c r="AG98"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98" s="26" cm="1">
        <f t="array" aca="1" ref="AH98" ca="1">INDEX(Table_Process_Details[X Mover],MATCH(1,INDEX((Table_Process_Details[Input or Output]="Output")*(Table_Process_Details[Step Name]=Table_Process_Details[[#This Row],[Step Name]])*(Table_Process_Details[[#This Row],[Input or Output]]="Input"),0),0))</f>
        <v>29.895118457910893</v>
      </c>
      <c r="AI98" s="26" cm="1">
        <f t="array" aca="1" ref="AI98" ca="1">INDEX(Table_Process_Details[Y Mover],MATCH(1,INDEX((Table_Process_Details[Input or Output]="Output")*(Table_Process_Details[Step Name]=Table_Process_Details[[#This Row],[Step Name]])*(Table_Process_Details[[#This Row],[Input or Output]]="Input"),0),0))</f>
        <v>4.5668200309955704</v>
      </c>
      <c r="AJ98" s="26">
        <f ca="1">SQRT((Table_Process_Details[[#This Row],[X End (To Node Center)]]-Table_Process_Details[[#This Row],[X Guide]])^2+(Table_Process_Details[[#This Row],[Y End (to Node Center)]]-Table_Process_Details[[#This Row],[Y Guide]])^2)</f>
        <v>3.9370096019341356</v>
      </c>
      <c r="AK98" s="26" cm="1">
        <f t="array" aca="1" ref="AK98" ca="1">INDEX(Table_Process_Details[X Mover],MATCH(1,INDEX((Table_Process_Details[Step Name]=Table_Process_Details[[#This Row],[LCA Data Source Subclass]])*(Table_Process_Details[Input or Output]="Output"),0)*(Table_Process_Details[[#This Row],[Input or Output]]="Input"),0))</f>
        <v>29.895118457910893</v>
      </c>
      <c r="AL98" s="26" cm="1">
        <f t="array" aca="1" ref="AL98" ca="1">INDEX(Table_Process_Details[X Mover],MATCH(1,INDEX(((Table_Process_Details[Table Row]=Table_Process_Details[[#This Row],[Table Row]])*(1)),0)*(Table_Process_Details[[#This Row],[Input or Output]]="Input"),0))</f>
        <v>28.851410138015801</v>
      </c>
      <c r="AM98" s="26" cm="1">
        <f t="array" aca="1" ref="AM98" ca="1">(Table_Process_Details[[#This Row],[X End (To Node Center)]]*Table_Process_Details[[#This Row],[r0]]-Table_Process_Details[[#This Row],[X End (To Node Center)]]*Arrow_Offset+Table_Process_Details[[#This Row],[X Guide]]*Arrow_Offset)/Table_Process_Details[[#This Row],[r0]]</f>
        <v>29.683037020388905</v>
      </c>
      <c r="AN98" s="26">
        <f ca="1">IF(NOT(Table_Process_Details[[#This Row],[Display As]]="None"),Table_Process_Details[[#This Row],[X Start Prefilter]],NA())</f>
        <v>29.895118457910893</v>
      </c>
      <c r="AO98" s="26">
        <f ca="1">IF(NOT(Table_Process_Details[[#This Row],[Display As]]="None"),Table_Process_Details[[#This Row],[X Guide Prefilter]],NA())</f>
        <v>28.851410138015801</v>
      </c>
      <c r="AP98" s="26">
        <f ca="1">IF(NOT(Table_Process_Details[[#This Row],[Display As]]="None"),Table_Process_Details[[#This Row],[X End (to Stop Radius) Prefilter]],NA())</f>
        <v>29.683037020388905</v>
      </c>
      <c r="AQ98" s="26" t="e">
        <f>NA()</f>
        <v>#N/A</v>
      </c>
      <c r="AR98" s="26" cm="1">
        <f t="array" aca="1" ref="AR98" ca="1">INDEX(Table_Process_Details[Y Mover],MATCH(1,INDEX((Table_Process_Details[Step Name]=Table_Process_Details[[#This Row],[LCA Data Source Subclass]])*(Table_Process_Details[Input or Output]="Output"),0)*(Table_Process_Details[[#This Row],[Input or Output]]="Input"),0))</f>
        <v>4.5668200309955704</v>
      </c>
      <c r="AS98" s="26" cm="1">
        <f t="array" aca="1" ref="AS98" ca="1">INDEX(Table_Process_Details[Y Mover],MATCH(1,INDEX(((Table_Process_Details[Table Row]=Table_Process_Details[[#This Row],[Table Row]])*(1)),0)*(Table_Process_Details[[#This Row],[Input or Output]]="Input"),0))</f>
        <v>8.3629651215714489</v>
      </c>
      <c r="AT98" s="26" cm="1">
        <f t="array" aca="1" ref="AT98" ca="1">(Table_Process_Details[[#This Row],[Y Guide]]*Arrow_Offset-Table_Process_Details[[#This Row],[Y End (to Node Center)]]*Arrow_Offset+Table_Process_Details[[#This Row],[Y End (to Node Center)]]*Table_Process_Details[[#This Row],[r0]])/Table_Process_Details[[#This Row],[r0]]</f>
        <v>5.338196374850245</v>
      </c>
      <c r="AU98" s="26">
        <f ca="1">IF(NOT(Table_Process_Details[[#This Row],[Display As]]="None"),Table_Process_Details[[#This Row],[Y Start Prefilter]],NA())</f>
        <v>4.5668200309955704</v>
      </c>
      <c r="AV98" s="26">
        <f ca="1">IF(NOT(Table_Process_Details[[#This Row],[Display As]]="None"),Table_Process_Details[[#This Row],[Y Guide Prefilter]],NA())</f>
        <v>8.3629651215714489</v>
      </c>
      <c r="AW98" s="26">
        <f ca="1">IF(NOT(Table_Process_Details[[#This Row],[Display As]]="None"),Table_Process_Details[[#This Row],[Y End (to Stop Radius) Prefilter]],NA())</f>
        <v>5.338196374850245</v>
      </c>
      <c r="AX98" s="26" t="e">
        <f>NA()</f>
        <v>#N/A</v>
      </c>
      <c r="AY98" s="26" t="e">
        <f>IF(Table_Process_Details[[#This Row],[Display As]]="Real Step",Table_Process_Details[[#This Row],[X Mover]],NA())</f>
        <v>#N/A</v>
      </c>
      <c r="AZ98" s="26" t="e">
        <f>IF(Table_Process_Details[[#This Row],[Display As]]="Real Step",Table_Process_Details[[#This Row],[Y Mover]],NA())</f>
        <v>#N/A</v>
      </c>
      <c r="BA98" s="26" t="e">
        <f>IF(Table_Process_Details[[#This Row],[Display As]]="Raw Material",Table_Process_Details[[#This Row],[X Mover]],NA())</f>
        <v>#N/A</v>
      </c>
      <c r="BB98" s="26" t="e">
        <f>IF(Table_Process_Details[[#This Row],[Display As]]="Raw Material",Table_Process_Details[[#This Row],[Y Mover]],NA())</f>
        <v>#N/A</v>
      </c>
      <c r="BC98" s="26" t="e">
        <f>IF(OR(Table_Process_Details[[#This Row],[Display As]]="Real Step",Table_Process_Details[[#This Row],[Display As]]="Raw Material"),Table_Process_Details[[#This Row],[X Mover]],NA())</f>
        <v>#N/A</v>
      </c>
      <c r="BD98" s="26" t="e">
        <f>IF(OR(Table_Process_Details[[#This Row],[Display As]]="Real Step",Table_Process_Details[[#This Row],[Display As]]="Raw Material"),Table_Process_Details[[#This Row],[Y Mover]],NA())</f>
        <v>#N/A</v>
      </c>
      <c r="BE98" s="22">
        <f>ROW()-ROW(Table_Process_Details[[#Headers],[Table Row]])</f>
        <v>94</v>
      </c>
      <c r="BF98" s="23" t="e" cm="1">
        <f t="array" aca="1" ref="BF98" ca="1">INDEX(Table_Process_Details[Display Name],MATCH(0,IF(Table_Process_Details[Input or Output]="Input",INDEX(COUNTIF(OFFSET(Table_Process_Details[[#Headers],[Unique Process Inputs]],0,0,Table_Process_Details[[#This Row],[Table Row]],1),Table_Process_Details[Display Name]),),""),0))</f>
        <v>#N/A</v>
      </c>
      <c r="BG98" s="23">
        <f ca="1">Table_Process_Details[[#This Row],[Physical Mass (kg)]]*Table_Process_Details[[#This Row],[Step Scale Factor for 1kg Packaged API]]</f>
        <v>0.12</v>
      </c>
      <c r="BH98"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0.10714285714285712</v>
      </c>
      <c r="BI98" s="23">
        <f ca="1">MATCH(Table_Process_Details[[#This Row],[LCA Data Source Class]],INDIRECT(Table_Process_Details[[#This Row],[Input or Output]]),0)</f>
        <v>1</v>
      </c>
      <c r="BJ98" s="23">
        <f ca="1">MATCH(Table_Process_Details[[#This Row],[LCA Data Source Subclass]],INDIRECT(Table_Process_Details[[#This Row],[LCA Data Source Class]]&amp;"[Name]"),0)</f>
        <v>20</v>
      </c>
      <c r="BK98" s="23">
        <f ca="1">IFERROR(INDEX(INDIRECT(Table_Process_Details[[#This Row],[LCA Data Source Class]]&amp;"[Mass Net (kg)]"),MATCH(Table_Process_Details[[#This Row],[LCA Data Source Subclass]],INDIRECT(Table_Process_Details[[#This Row],[LCA Data Source Class]]&amp;"[Name]"),0)),0)</f>
        <v>0</v>
      </c>
      <c r="BL98" s="23">
        <f ca="1">IFERROR(INDEX(INDIRECT(Table_Process_Details[[#This Row],[LCA Data Source Class]]&amp;"[Energy (MJ)]"),MATCH(Table_Process_Details[[#This Row],[LCA Data Source Subclass]],INDIRECT(Table_Process_Details[[#This Row],[LCA Data Source Class]]&amp;"[Name]"),0)),0)</f>
        <v>0</v>
      </c>
      <c r="BM98" s="23">
        <f ca="1">IFERROR(INDEX(INDIRECT(Table_Process_Details[[#This Row],[LCA Data Source Class]]&amp;"[GWP (kg CO2 equiv.)]"),MATCH(Table_Process_Details[[#This Row],[LCA Data Source Subclass]],INDIRECT(Table_Process_Details[[#This Row],[LCA Data Source Class]]&amp;"[Name]"),0)),0)</f>
        <v>0</v>
      </c>
      <c r="BN98" s="23">
        <f ca="1">IFERROR(INDEX(INDIRECT(Table_Process_Details[[#This Row],[LCA Data Source Class]]&amp;"[Acidification (kg SO2 equiv.)]"),MATCH(Table_Process_Details[[#This Row],[LCA Data Source Subclass]],INDIRECT(Table_Process_Details[[#This Row],[LCA Data Source Class]]&amp;"[Name]"),0)),0)</f>
        <v>0</v>
      </c>
      <c r="BO98" s="23">
        <f ca="1">IFERROR(INDEX(INDIRECT(Table_Process_Details[[#This Row],[LCA Data Source Class]]&amp;"[Eutrophication (kg posphate equiv.)]"),MATCH(Table_Process_Details[[#This Row],[LCA Data Source Subclass]],INDIRECT(Table_Process_Details[[#This Row],[LCA Data Source Class]]&amp;"[Name]"),0)),0)</f>
        <v>0</v>
      </c>
      <c r="BP98" s="23">
        <f ca="1">IFERROR(INDEX(INDIRECT(Table_Process_Details[[#This Row],[LCA Data Source Class]]&amp;"[Water (kg)]"),MATCH(Table_Process_Details[[#This Row],[LCA Data Source Subclass]],INDIRECT(Table_Process_Details[[#This Row],[LCA Data Source Class]]&amp;"[Name]"),0)),0)</f>
        <v>0</v>
      </c>
      <c r="BQ98" s="27">
        <f ca="1">(Table_Process_Details[[#This Row],[Input or Output]]="Input")*(Table_Process_Details[[#This Row],[LCA Data Source Class]]&lt;&gt;"Process_Steps")*Table_Process_Details[[#This Row],[Scaled Physical Mass per kg API for All Inputs &amp; Outputs]]</f>
        <v>0</v>
      </c>
      <c r="BR98" s="27">
        <f ca="1">(Table_Process_Details[[#This Row],[Material Class]]="REAGENT")*Table_Process_Details[[#This Row],[Physical Mass per kg API]]</f>
        <v>0</v>
      </c>
      <c r="BS98" s="27">
        <f ca="1">(Table_Process_Details[[#This Row],[Material Class]]="METAL")*Table_Process_Details[[#This Row],[Physical Mass per kg API]]</f>
        <v>0</v>
      </c>
      <c r="BT98" s="27">
        <f ca="1">(Table_Process_Details[[#This Row],[Material Class]]="SOLVENT")*Table_Process_Details[[#This Row],[Physical Mass per kg API]]</f>
        <v>0</v>
      </c>
      <c r="BU98" s="27">
        <f ca="1">(Table_Process_Details[[#This Row],[Material Class]]="WATER")*Table_Process_Details[[#This Row],[Physical Mass per kg API]]</f>
        <v>0</v>
      </c>
      <c r="BV98" s="27">
        <f ca="1">(Table_Process_Details[[#This Row],[Material Class]]="ENZ&amp;PLNT")*Table_Process_Details[[#This Row],[Physical Mass per kg API]]</f>
        <v>0</v>
      </c>
      <c r="BW98" s="27">
        <f ca="1">(Table_Process_Details[[#This Row],[Material Class]]="OTHER")*Table_Process_Details[[#This Row],[Physical Mass per kg API]]</f>
        <v>0</v>
      </c>
      <c r="BX98"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98"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8"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8"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98"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8"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8"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8" s="1">
        <f ca="1">SUMIFS(Table_Process_Details[RV Physical Mass per kg API],Table_Process_Details[Display Name],Table_Process_Details[[#This Row],[Unique Process Inputs]],Table_Process_Details[Input or Output],"Input")</f>
        <v>0</v>
      </c>
      <c r="CF98" s="1">
        <f ca="1">SUMIFS(Table_Process_Details[RV Physical Mass per kg API (REAGENT)],Table_Process_Details[Display Name],Table_Process_Details[[#This Row],[Unique Process Inputs]],Table_Process_Details[Input or Output],"Input")</f>
        <v>0</v>
      </c>
      <c r="CG98" s="1">
        <f ca="1">SUMIFS(Table_Process_Details[RV Physical Mass per kg API (METAL)],Table_Process_Details[Display Name],Table_Process_Details[[#This Row],[Unique Process Inputs]],Table_Process_Details[Input or Output],"Input")</f>
        <v>0</v>
      </c>
      <c r="CH98" s="1">
        <f ca="1">SUMIFS(Table_Process_Details[RV Physical Mass per kg API (SOLVENT)],Table_Process_Details[Display Name],Table_Process_Details[[#This Row],[Unique Process Inputs]],Table_Process_Details[Input or Output],"Input")</f>
        <v>0</v>
      </c>
      <c r="CI98" s="1">
        <f ca="1">SUMIFS(Table_Process_Details[RV Physical Mass per kg API (WATER)],Table_Process_Details[Display Name],Table_Process_Details[[#This Row],[Unique Process Inputs]],Table_Process_Details[Input or Output],"Input")</f>
        <v>0</v>
      </c>
      <c r="CJ98" s="1">
        <f ca="1">SUMIFS(Table_Process_Details[RV Physical Mass per kg API (ENZ&amp;PLNT)],Table_Process_Details[Display Name],Table_Process_Details[[#This Row],[Unique Process Inputs]],Table_Process_Details[Input or Output],"Input")</f>
        <v>0</v>
      </c>
      <c r="CK98" s="1">
        <f ca="1">SUMIFS(Table_Process_Details[RV Physical Mass per kg API (OTHER)],Table_Process_Details[Display Name],Table_Process_Details[[#This Row],[Unique Process Inputs]],Table_Process_Details[Input or Output],"Input")</f>
        <v>0</v>
      </c>
      <c r="CL98" s="22" t="e">
        <f ca="1">INDEX(Table_Process_Details[Unique Process Inputs],MATCH(Table_Process_Details[[#This Row],['[Physical Mass per kg API'] of Unique Inputs Sorted by '[Physical Mass per kg API']]],Table_Process_Details[Total '[Physical Mass per kg API'] of Unique Inputs],0))</f>
        <v>#N/A</v>
      </c>
      <c r="CM98" s="22" t="e">
        <f ca="1">IF(LARGE(Table_Process_Details[Total '[Physical Mass per kg API'] of Unique Inputs],Table_Process_Details[[#This Row],[Table Row]])=0,NA(),LARGE(Table_Process_Details[Total '[Physical Mass per kg API'] of Unique Inputs],Table_Process_Details[[#This Row],[Table Row]]))</f>
        <v>#N/A</v>
      </c>
      <c r="CN98" s="22" t="e">
        <f ca="1">SUM(OFFSET(Table_Process_Details['[Physical Mass per kg API'] of Unique Inputs Sorted by '[Physical Mass per kg API']],0,0,Table_Process_Details[[#This Row],[Table Row]]))</f>
        <v>#N/A</v>
      </c>
      <c r="CO98" s="22" t="e">
        <f ca="1">"("&amp;TEXT(Table_Process_Details[[#This Row],['[Physical Mass per kg API'] of Unique Inputs Sorted by '[Physical Mass per kg API']]]/SUMIF(Table_Process_Details['[Physical Mass per kg API'] of Unique Inputs Sorted by '[Physical Mass per kg API']],"&lt;&gt;#N/A"),"0%")&amp;")"</f>
        <v>#N/A</v>
      </c>
      <c r="CP98" s="22" t="e">
        <f ca="1">INDEX(Table_Process_Details[Total '[Physical Mass per kg API'] of Unique Inputs (REAGENT)],MATCH(Table_Process_Details[[#This Row],[Unique Inputs Sorted by '[Physical Mass per kg API']]],Table_Process_Details[Unique Process Inputs],0))</f>
        <v>#N/A</v>
      </c>
      <c r="CQ98" s="22" t="e">
        <f ca="1">INDEX(Table_Process_Details[Total '[Physical Mass per kg API'] of Unique Inputs (METAL)],MATCH(Table_Process_Details[[#This Row],[Unique Inputs Sorted by '[Physical Mass per kg API']]],Table_Process_Details[Unique Process Inputs],0))</f>
        <v>#N/A</v>
      </c>
      <c r="CR98" s="22" t="e">
        <f ca="1">INDEX(Table_Process_Details[Total '[Physical Mass per kg API'] of Unique Inputs (SOLVENT)],MATCH(Table_Process_Details[[#This Row],[Unique Inputs Sorted by '[Physical Mass per kg API']]],Table_Process_Details[Unique Process Inputs],0))</f>
        <v>#N/A</v>
      </c>
      <c r="CS98" s="22" t="e">
        <f ca="1">INDEX(Table_Process_Details[Total '[Physical Mass per kg API'] of Unique Inputs (WATER)],MATCH(Table_Process_Details[[#This Row],[Unique Inputs Sorted by '[Physical Mass per kg API']]],Table_Process_Details[Unique Process Inputs],0))</f>
        <v>#N/A</v>
      </c>
      <c r="CT98" s="22" t="e">
        <f ca="1">INDEX(Table_Process_Details[Total '[Physical Mass per kg API'] of Unique Inputs (ENZ&amp;PLNT)],MATCH(Table_Process_Details[[#This Row],[Unique Inputs Sorted by '[Physical Mass per kg API']]],Table_Process_Details[Unique Process Inputs],0))</f>
        <v>#N/A</v>
      </c>
      <c r="CU98" s="22" t="e">
        <f ca="1">INDEX(Table_Process_Details[Total '[Physical Mass per kg API'] of Unique Inputs (OTHER)],MATCH(Table_Process_Details[[#This Row],[Unique Inputs Sorted by '[Physical Mass per kg API']]],Table_Process_Details[Unique Process Inputs],0))</f>
        <v>#N/A</v>
      </c>
      <c r="CV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8"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8" s="22">
        <f ca="1">SUMIFS(Table_Process_Details[RV Mass Net (kg) per kg API],Table_Process_Details[Display Name],Table_Process_Details[[#This Row],[Unique Process Inputs]],Table_Process_Details[Input or Output],"Input")</f>
        <v>0</v>
      </c>
      <c r="DD98" s="22">
        <f ca="1">SUMIFS(Table_Process_Details[RV Mass Net (kg) per kg API (REAGENT)],Table_Process_Details[Display Name],Table_Process_Details[[#This Row],[Unique Process Inputs]],Table_Process_Details[Input or Output],"Input")</f>
        <v>0</v>
      </c>
      <c r="DE98" s="22">
        <f ca="1">SUMIFS(Table_Process_Details[RV Mass Net (kg) per kg API (METAL)],Table_Process_Details[Display Name],Table_Process_Details[[#This Row],[Unique Process Inputs]],Table_Process_Details[Input or Output],"Input")</f>
        <v>0</v>
      </c>
      <c r="DF98" s="22">
        <f ca="1">SUMIFS(Table_Process_Details[RV Mass Net (kg) per kg API (SOLVENT)],Table_Process_Details[Display Name],Table_Process_Details[[#This Row],[Unique Process Inputs]],Table_Process_Details[Input or Output],"Input")</f>
        <v>0</v>
      </c>
      <c r="DG98" s="22">
        <f ca="1">SUMIFS(Table_Process_Details[RV Mass Net (kg) per kg API (WATER)],Table_Process_Details[Display Name],Table_Process_Details[[#This Row],[Unique Process Inputs]],Table_Process_Details[Input or Output],"Input")</f>
        <v>0</v>
      </c>
      <c r="DH98" s="22">
        <f ca="1">SUMIFS(Table_Process_Details[RV Mass Net (kg) per kg API (ENZ&amp;PLNT)],Table_Process_Details[Display Name],Table_Process_Details[[#This Row],[Unique Process Inputs]],Table_Process_Details[Input or Output],"Input")</f>
        <v>0</v>
      </c>
      <c r="DI98" s="22">
        <f ca="1">SUMIFS(Table_Process_Details[RV Mass Net (kg) per kg API (OTHER)],Table_Process_Details[Display Name],Table_Process_Details[[#This Row],[Unique Process Inputs]],Table_Process_Details[Input or Output],"Input")</f>
        <v>0</v>
      </c>
      <c r="DJ98" s="22" t="e">
        <f ca="1">INDEX(Table_Process_Details[Unique Process Inputs],MATCH(Table_Process_Details[[#This Row],['[Mass Net (kg) per kg API'] of Unique Inputs Sorted by '[Mass Net (kg) per kg API']]],Table_Process_Details[Total '[Mass Net (kg) per kg API'] of Unique Inputs],0))</f>
        <v>#N/A</v>
      </c>
      <c r="DK98" s="22" t="e">
        <f ca="1">IF(LARGE(Table_Process_Details[Total '[Mass Net (kg) per kg API'] of Unique Inputs],Table_Process_Details[[#This Row],[Table Row]])=0,NA(),LARGE(Table_Process_Details[Total '[Mass Net (kg) per kg API'] of Unique Inputs],Table_Process_Details[[#This Row],[Table Row]]))</f>
        <v>#N/A</v>
      </c>
      <c r="DL98" s="22" t="e">
        <f ca="1">SUM(OFFSET(Table_Process_Details['[Mass Net (kg) per kg API'] of Unique Inputs Sorted by '[Mass Net (kg) per kg API']],0,0,Table_Process_Details[[#This Row],[Table Row]]))</f>
        <v>#N/A</v>
      </c>
      <c r="DM98" s="22" t="e">
        <f ca="1">"("&amp;TEXT(Table_Process_Details[[#This Row],['[Mass Net (kg) per kg API'] of Unique Inputs Sorted by '[Mass Net (kg) per kg API']]]/SUMIF(Table_Process_Details['[Mass Net (kg) per kg API'] of Unique Inputs Sorted by '[Mass Net (kg) per kg API']],"&lt;&gt;#N/A"),"0%")&amp;")"</f>
        <v>#N/A</v>
      </c>
      <c r="DN98" s="22" t="e">
        <f ca="1">INDEX(Table_Process_Details[Total '[Mass Net (kg) per kg API'] of Unique Inputs (REAGENT)], MATCH(Table_Process_Details[[#This Row],[Unique Inputs Sorted by '[Mass Net (kg) per kg API']]],Table_Process_Details[Unique Process Inputs],0))</f>
        <v>#N/A</v>
      </c>
      <c r="DO98" s="22" t="e">
        <f ca="1">INDEX(Table_Process_Details[Total '[Mass Net (kg) per kg API'] of Unique Inputs (METAL)], MATCH(Table_Process_Details[[#This Row],[Unique Inputs Sorted by '[Mass Net (kg) per kg API']]],Table_Process_Details[Unique Process Inputs],0))</f>
        <v>#N/A</v>
      </c>
      <c r="DP98" s="22" t="e">
        <f ca="1">INDEX(Table_Process_Details[Total '[Mass Net (kg) per kg API'] of Unique Inputs (SOLVENT)], MATCH(Table_Process_Details[[#This Row],[Unique Inputs Sorted by '[Mass Net (kg) per kg API']]],Table_Process_Details[Unique Process Inputs],0))</f>
        <v>#N/A</v>
      </c>
      <c r="DQ98" s="22" t="e">
        <f ca="1">INDEX(Table_Process_Details[Total '[Mass Net (kg) per kg API'] of Unique Inputs (WATER)], MATCH(Table_Process_Details[[#This Row],[Unique Inputs Sorted by '[Mass Net (kg) per kg API']]],Table_Process_Details[Unique Process Inputs],0))</f>
        <v>#N/A</v>
      </c>
      <c r="DR98" s="22" t="e">
        <f ca="1">INDEX(Table_Process_Details[Total '[Mass Net (kg) per kg API'] of Unique Inputs (ENZ&amp;PLNT)], MATCH(Table_Process_Details[[#This Row],[Unique Inputs Sorted by '[Mass Net (kg) per kg API']]],Table_Process_Details[Unique Process Inputs],0))</f>
        <v>#N/A</v>
      </c>
      <c r="DS98" s="22" t="e">
        <f ca="1">INDEX(Table_Process_Details[Total '[Mass Net (kg) per kg API'] of Unique Inputs (OTHER)], MATCH(Table_Process_Details[[#This Row],[Unique Inputs Sorted by '[Mass Net (kg) per kg API']]],Table_Process_Details[Unique Process Inputs],0))</f>
        <v>#N/A</v>
      </c>
      <c r="DT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8"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8" s="1">
        <f ca="1">SUMIFS(Table_Process_Details[RV Energy (MJ) per kg API],Table_Process_Details[Display Name],Table_Process_Details[[#This Row],[Unique Process Inputs]],Table_Process_Details[Input or Output],"Input")</f>
        <v>0</v>
      </c>
      <c r="EB98" s="1">
        <f ca="1">SUMIFS(Table_Process_Details[RV Energy (MJ) per kg API (REAGENT)],Table_Process_Details[Display Name],Table_Process_Details[[#This Row],[Unique Process Inputs]],Table_Process_Details[Input or Output],"Input")</f>
        <v>0</v>
      </c>
      <c r="EC98" s="1">
        <f ca="1">SUMIFS(Table_Process_Details[RV Energy (MJ) per kg API (METAL)],Table_Process_Details[Display Name],Table_Process_Details[[#This Row],[Unique Process Inputs]],Table_Process_Details[Input or Output],"Input")</f>
        <v>0</v>
      </c>
      <c r="ED98" s="1">
        <f ca="1">SUMIFS(Table_Process_Details[RV Energy (MJ) per kg API (SOLVENT)],Table_Process_Details[Display Name],Table_Process_Details[[#This Row],[Unique Process Inputs]],Table_Process_Details[Input or Output],"Input")</f>
        <v>0</v>
      </c>
      <c r="EE98" s="1">
        <f ca="1">SUMIFS(Table_Process_Details[RV Energy (MJ) per kg API (WATER)],Table_Process_Details[Display Name],Table_Process_Details[[#This Row],[Unique Process Inputs]],Table_Process_Details[Input or Output],"Input")</f>
        <v>0</v>
      </c>
      <c r="EF98" s="1">
        <f ca="1">SUMIFS(Table_Process_Details[RV Energy (MJ) per kg API (ENZ&amp;PLNT)],Table_Process_Details[Display Name],Table_Process_Details[[#This Row],[Unique Process Inputs]],Table_Process_Details[Input or Output],"Input")</f>
        <v>0</v>
      </c>
      <c r="EG98" s="1">
        <f ca="1">SUMIFS(Table_Process_Details[RV Energy (MJ) per kg API (OTHER)],Table_Process_Details[Display Name],Table_Process_Details[[#This Row],[Unique Process Inputs]],Table_Process_Details[Input or Output],"Input")</f>
        <v>0</v>
      </c>
      <c r="EH98" s="1" t="e">
        <f ca="1">INDEX(Table_Process_Details[Unique Process Inputs],MATCH(Table_Process_Details[[#This Row],['[Energy (MJ) per kg API'] of Unique Inputs Sorted by '[Energy (MJ) per kg API']]],Table_Process_Details[Total '[Energy (MJ) per kg API'] of Unique Inputs],0))</f>
        <v>#N/A</v>
      </c>
      <c r="EI98" s="22" t="e">
        <f ca="1">IF(LARGE(Table_Process_Details[Total '[Energy (MJ) per kg API'] of Unique Inputs],Table_Process_Details[[#This Row],[Table Row]])=0,NA(),LARGE(Table_Process_Details[Total '[Energy (MJ) per kg API'] of Unique Inputs],Table_Process_Details[[#This Row],[Table Row]]))</f>
        <v>#N/A</v>
      </c>
      <c r="EJ98" s="22" t="e">
        <f ca="1">SUM(OFFSET(Table_Process_Details['[Energy (MJ) per kg API'] of Unique Inputs Sorted by '[Energy (MJ) per kg API']],0,0,Table_Process_Details[[#This Row],[Table Row]]))</f>
        <v>#N/A</v>
      </c>
      <c r="EK98" s="22" t="e">
        <f ca="1">"("&amp;TEXT(Table_Process_Details[[#This Row],['[Energy (MJ) per kg API'] of Unique Inputs Sorted by '[Energy (MJ) per kg API']]]/SUMIF(Table_Process_Details['[Energy (MJ) per kg API'] of Unique Inputs Sorted by '[Energy (MJ) per kg API']],"&lt;&gt;#N/A"),"0%")&amp;")"</f>
        <v>#N/A</v>
      </c>
      <c r="EL98" s="22" t="e">
        <f ca="1">INDEX(Table_Process_Details[Total '[Energy (MJ) per kg API'] of Unique Inputs (REAGENT)], MATCH(Table_Process_Details[[#This Row],[Unique Inputs Sorted by '[Energy (MJ) per kg API']]],Table_Process_Details[Unique Process Inputs],0))</f>
        <v>#N/A</v>
      </c>
      <c r="EM98" s="22" t="e">
        <f ca="1">INDEX(Table_Process_Details[Total '[Energy (MJ) per kg API'] of Unique Inputs (METAL)], MATCH(Table_Process_Details[[#This Row],[Unique Inputs Sorted by '[Energy (MJ) per kg API']]],Table_Process_Details[Unique Process Inputs],0))</f>
        <v>#N/A</v>
      </c>
      <c r="EN98" s="22" t="e">
        <f ca="1">INDEX(Table_Process_Details[Total '[Energy (MJ) per kg API'] of Unique Inputs (SOLVENT)], MATCH(Table_Process_Details[[#This Row],[Unique Inputs Sorted by '[Energy (MJ) per kg API']]],Table_Process_Details[Unique Process Inputs],0))</f>
        <v>#N/A</v>
      </c>
      <c r="EO98" s="22" t="e">
        <f ca="1">INDEX(Table_Process_Details[Total '[Energy (MJ) per kg API'] of Unique Inputs (WATER)], MATCH(Table_Process_Details[[#This Row],[Unique Inputs Sorted by '[Energy (MJ) per kg API']]],Table_Process_Details[Unique Process Inputs],0))</f>
        <v>#N/A</v>
      </c>
      <c r="EP98" s="22" t="e">
        <f ca="1">INDEX(Table_Process_Details[Total '[Energy (MJ) per kg API'] of Unique Inputs (ENZ&amp;PLNT)], MATCH(Table_Process_Details[[#This Row],[Unique Inputs Sorted by '[Energy (MJ) per kg API']]],Table_Process_Details[Unique Process Inputs],0))</f>
        <v>#N/A</v>
      </c>
      <c r="EQ98" s="22" t="e">
        <f ca="1">INDEX(Table_Process_Details[Total '[Energy (MJ) per kg API'] of Unique Inputs (OTHER)], MATCH(Table_Process_Details[[#This Row],[Unique Inputs Sorted by '[Energy (MJ) per kg API']]],Table_Process_Details[Unique Process Inputs],0))</f>
        <v>#N/A</v>
      </c>
      <c r="ER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8"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8" s="22">
        <f ca="1">SUMIFS(Table_Process_Details[RV GWP (kg CO2 equiv.) per kg API],Table_Process_Details[Display Name],Table_Process_Details[[#This Row],[Unique Process Inputs]],Table_Process_Details[Input or Output],"Input")</f>
        <v>0</v>
      </c>
      <c r="EZ98" s="1">
        <f ca="1">SUMIFS(Table_Process_Details[RV GWP (kg CO2 equiv.) per kg API (REAGENT)],Table_Process_Details[Display Name],Table_Process_Details[[#This Row],[Unique Process Inputs]],Table_Process_Details[Input or Output],"Input")</f>
        <v>0</v>
      </c>
      <c r="FA98" s="1">
        <f ca="1">SUMIFS(Table_Process_Details[RV GWP (kg CO2 equiv.) per kg API (METAL)],Table_Process_Details[Display Name],Table_Process_Details[[#This Row],[Unique Process Inputs]],Table_Process_Details[Input or Output],"Input")</f>
        <v>0</v>
      </c>
      <c r="FB98" s="1">
        <f ca="1">SUMIFS(Table_Process_Details[RV GWP (kg CO2 equiv.) per kg API (SOLVENT)],Table_Process_Details[Display Name],Table_Process_Details[[#This Row],[Unique Process Inputs]],Table_Process_Details[Input or Output],"Input")</f>
        <v>0</v>
      </c>
      <c r="FC98" s="1">
        <f ca="1">SUMIFS(Table_Process_Details[RV GWP (kg CO2 equiv.) per kg API (WATER)],Table_Process_Details[Display Name],Table_Process_Details[[#This Row],[Unique Process Inputs]],Table_Process_Details[Input or Output],"Input")</f>
        <v>0</v>
      </c>
      <c r="FD98" s="1">
        <f ca="1">SUMIFS(Table_Process_Details[RV GWP (kg CO2 equiv.) per kg API (ENZ&amp;PLNT)],Table_Process_Details[Display Name],Table_Process_Details[[#This Row],[Unique Process Inputs]],Table_Process_Details[Input or Output],"Input")</f>
        <v>0</v>
      </c>
      <c r="FE98" s="1">
        <f ca="1">SUMIFS(Table_Process_Details[RV GWP (kg CO2 equiv.) per kg API (OTHER)],Table_Process_Details[Display Name],Table_Process_Details[[#This Row],[Unique Process Inputs]],Table_Process_Details[Input or Output],"Input")</f>
        <v>0</v>
      </c>
      <c r="FF98" s="22" t="e">
        <f ca="1">INDEX(Table_Process_Details[Unique Process Inputs],MATCH(Table_Process_Details[[#This Row],['[GWP (kg CO2 equiv.) per kg API'] of Unique Inputs Sorted by '[GWP (kg CO2 equiv.) per kg API']]],Table_Process_Details[Total '[GWP (kg CO2 equiv.) per kg API'] of Unique Inputs],0))</f>
        <v>#N/A</v>
      </c>
      <c r="FG98" s="22" t="e">
        <f ca="1">IF(LARGE(Table_Process_Details[Total '[GWP (kg CO2 equiv.) per kg API'] of Unique Inputs],Table_Process_Details[[#This Row],[Table Row]])=0,NA(),LARGE(Table_Process_Details[Total '[GWP (kg CO2 equiv.) per kg API'] of Unique Inputs],Table_Process_Details[[#This Row],[Table Row]]))</f>
        <v>#N/A</v>
      </c>
      <c r="FH98" s="22" t="e">
        <f ca="1">SUM(OFFSET(Table_Process_Details['[GWP (kg CO2 equiv.) per kg API'] of Unique Inputs Sorted by '[GWP (kg CO2 equiv.) per kg API']],0,0,Table_Process_Details[[#This Row],[Table Row]]))</f>
        <v>#N/A</v>
      </c>
      <c r="FI98" s="22" t="e">
        <f ca="1">"("&amp;TEXT(Table_Process_Details[[#This Row],['[GWP (kg CO2 equiv.) per kg API'] of Unique Inputs Sorted by '[GWP (kg CO2 equiv.) per kg API']]]/SUMIF(Table_Process_Details['[GWP (kg CO2 equiv.) per kg API'] of Unique Inputs Sorted by '[GWP (kg CO2 equiv.) per kg API']],"&lt;&gt;#N/A"),"0%")&amp;")"</f>
        <v>#N/A</v>
      </c>
      <c r="FJ98" s="22" t="e">
        <f ca="1">INDEX(Table_Process_Details[Total '[GWP (kg CO2 equiv.) per kg API'] of Unique Inputs (REAGENT)], MATCH(Table_Process_Details[[#This Row],[Unique Inputs Sorted by '[GWP (kg CO2 equiv.) per kg API']]],Table_Process_Details[Unique Process Inputs],0))</f>
        <v>#N/A</v>
      </c>
      <c r="FK98" s="22" t="e">
        <f ca="1">INDEX(Table_Process_Details[Total '[GWP (kg CO2 equiv.) per kg API'] of Unique Inputs (METAL)], MATCH(Table_Process_Details[[#This Row],[Unique Inputs Sorted by '[GWP (kg CO2 equiv.) per kg API']]],Table_Process_Details[Unique Process Inputs],0))</f>
        <v>#N/A</v>
      </c>
      <c r="FL98" s="22" t="e">
        <f ca="1">INDEX(Table_Process_Details[Total '[GWP (kg CO2 equiv.) per kg API'] of Unique Inputs (SOLVENT)], MATCH(Table_Process_Details[[#This Row],[Unique Inputs Sorted by '[GWP (kg CO2 equiv.) per kg API']]],Table_Process_Details[Unique Process Inputs],0))</f>
        <v>#N/A</v>
      </c>
      <c r="FM98" s="22" t="e">
        <f ca="1">INDEX(Table_Process_Details[Total '[GWP (kg CO2 equiv.) per kg API'] of Unique Inputs (WATER)], MATCH(Table_Process_Details[[#This Row],[Unique Inputs Sorted by '[GWP (kg CO2 equiv.) per kg API']]],Table_Process_Details[Unique Process Inputs],0))</f>
        <v>#N/A</v>
      </c>
      <c r="FN98" s="22" t="e">
        <f ca="1">INDEX(Table_Process_Details[Total '[GWP (kg CO2 equiv.) per kg API'] of Unique Inputs (ENZ&amp;PLNT)], MATCH(Table_Process_Details[[#This Row],[Unique Inputs Sorted by '[GWP (kg CO2 equiv.) per kg API']]],Table_Process_Details[Unique Process Inputs],0))</f>
        <v>#N/A</v>
      </c>
      <c r="FO98" s="22" t="e">
        <f ca="1">INDEX(Table_Process_Details[Total '[GWP (kg CO2 equiv.) per kg API'] of Unique Inputs (OTHER)], MATCH(Table_Process_Details[[#This Row],[Unique Inputs Sorted by '[GWP (kg CO2 equiv.) per kg API']]],Table_Process_Details[Unique Process Inputs],0))</f>
        <v>#N/A</v>
      </c>
      <c r="FP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8"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8" s="22">
        <f ca="1">SUMIFS(Table_Process_Details[RV Acidification (kg SO2 equiv.) per kg API],Table_Process_Details[Display Name],Table_Process_Details[[#This Row],[Unique Process Inputs]],Table_Process_Details[Input or Output],"Input")</f>
        <v>0</v>
      </c>
      <c r="FX98" s="1">
        <f ca="1">SUMIFS(Table_Process_Details[RV Acidification (kg SO2 equiv.) per kg API (REAGENT)],Table_Process_Details[Display Name],Table_Process_Details[[#This Row],[Unique Process Inputs]],Table_Process_Details[Input or Output],"Input")</f>
        <v>0</v>
      </c>
      <c r="FY98" s="1">
        <f ca="1">SUMIFS(Table_Process_Details[RV Acidification (kg SO2 equiv.) per kg API (METAL)],Table_Process_Details[Display Name],Table_Process_Details[[#This Row],[Unique Process Inputs]],Table_Process_Details[Input or Output],"Input")</f>
        <v>0</v>
      </c>
      <c r="FZ98" s="1">
        <f ca="1">SUMIFS(Table_Process_Details[RV Acidification (kg SO2 equiv.) per kg API (SOLVENT)],Table_Process_Details[Display Name],Table_Process_Details[[#This Row],[Unique Process Inputs]],Table_Process_Details[Input or Output],"Input")</f>
        <v>0</v>
      </c>
      <c r="GA98" s="1">
        <f ca="1">SUMIFS(Table_Process_Details[RV Acidification (kg SO2 equiv.) per kg API (WATER)],Table_Process_Details[Display Name],Table_Process_Details[[#This Row],[Unique Process Inputs]],Table_Process_Details[Input or Output],"Input")</f>
        <v>0</v>
      </c>
      <c r="GB98" s="1">
        <f ca="1">SUMIFS(Table_Process_Details[RV Acidification (kg SO2 equiv.) per kg API (ENZ&amp;PLNT)],Table_Process_Details[Display Name],Table_Process_Details[[#This Row],[Unique Process Inputs]],Table_Process_Details[Input or Output],"Input")</f>
        <v>0</v>
      </c>
      <c r="GC98" s="1">
        <f ca="1">SUMIFS(Table_Process_Details[RV Acidification (kg SO2 equiv.) per kg API (OTHER)],Table_Process_Details[Display Name],Table_Process_Details[[#This Row],[Unique Process Inputs]],Table_Process_Details[Input or Output],"Input")</f>
        <v>0</v>
      </c>
      <c r="GD98"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8"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8" s="22" t="e">
        <f ca="1">SUM(OFFSET(Table_Process_Details['[Acidification (kg SO2 equiv.) per kg API'] of Unique Inputs Sorted by '[Acidification (kg SO2 equiv.) per kg API']],0,0,Table_Process_Details[[#This Row],[Table Row]]))</f>
        <v>#N/A</v>
      </c>
      <c r="GG98"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8" s="22" t="e">
        <f ca="1">INDEX(Table_Process_Details[Total '[Acidification (kg SO2 equiv.) per kg API'] of Unique Inputs (REAGENT)], MATCH(Table_Process_Details[[#This Row],[Unique Inputs Sorted by '[Acidification (kg SO2 equiv.) per kg API']]],Table_Process_Details[Unique Process Inputs],0))</f>
        <v>#N/A</v>
      </c>
      <c r="GI98" s="22" t="e">
        <f ca="1">INDEX(Table_Process_Details[Total '[Acidification (kg SO2 equiv.) per kg API'] of Unique Inputs (METAL)], MATCH(Table_Process_Details[[#This Row],[Unique Inputs Sorted by '[Acidification (kg SO2 equiv.) per kg API']]],Table_Process_Details[Unique Process Inputs],0))</f>
        <v>#N/A</v>
      </c>
      <c r="GJ98" s="22" t="e">
        <f ca="1">INDEX(Table_Process_Details[Total '[Acidification (kg SO2 equiv.) per kg API'] of Unique Inputs (SOLVENT)], MATCH(Table_Process_Details[[#This Row],[Unique Inputs Sorted by '[Acidification (kg SO2 equiv.) per kg API']]],Table_Process_Details[Unique Process Inputs],0))</f>
        <v>#N/A</v>
      </c>
      <c r="GK98" s="22" t="e">
        <f ca="1">INDEX(Table_Process_Details[Total '[Acidification (kg SO2 equiv.) per kg API'] of Unique Inputs (WATER)], MATCH(Table_Process_Details[[#This Row],[Unique Inputs Sorted by '[Acidification (kg SO2 equiv.) per kg API']]],Table_Process_Details[Unique Process Inputs],0))</f>
        <v>#N/A</v>
      </c>
      <c r="GL98" s="22" t="e">
        <f ca="1">INDEX(Table_Process_Details[Total '[Acidification (kg SO2 equiv.) per kg API'] of Unique Inputs (ENZ&amp;PLNT)], MATCH(Table_Process_Details[[#This Row],[Unique Inputs Sorted by '[Acidification (kg SO2 equiv.) per kg API']]],Table_Process_Details[Unique Process Inputs],0))</f>
        <v>#N/A</v>
      </c>
      <c r="GM98" s="22" t="e">
        <f ca="1">INDEX(Table_Process_Details[Total '[Acidification (kg SO2 equiv.) per kg API'] of Unique Inputs (OTHER)], MATCH(Table_Process_Details[[#This Row],[Unique Inputs Sorted by '[Acidification (kg SO2 equiv.) per kg API']]],Table_Process_Details[Unique Process Inputs],0))</f>
        <v>#N/A</v>
      </c>
      <c r="GN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8"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8" s="22">
        <f ca="1">SUMIFS(Table_Process_Details[RV Eutrophication (kg phosphate equiv.) per kg API],Table_Process_Details[Display Name],Table_Process_Details[[#This Row],[Unique Process Inputs]],Table_Process_Details[Input or Output],"Input")</f>
        <v>0</v>
      </c>
      <c r="GV98" s="1">
        <f ca="1">SUMIFS(Table_Process_Details[RV Eutrophication (kg phosphate equiv.) per kg API (REAGENT)],Table_Process_Details[Display Name],Table_Process_Details[[#This Row],[Unique Process Inputs]],Table_Process_Details[Input or Output],"Input")</f>
        <v>0</v>
      </c>
      <c r="GW98" s="1">
        <f ca="1">SUMIFS(Table_Process_Details[RV Eutrophication (kg phosphate equiv.) per kg API (METAL)],Table_Process_Details[Display Name],Table_Process_Details[[#This Row],[Unique Process Inputs]],Table_Process_Details[Input or Output],"Input")</f>
        <v>0</v>
      </c>
      <c r="GX98" s="1">
        <f ca="1">SUMIFS(Table_Process_Details[RV Eutrophication (kg phosphate equiv.) per kg API (SOLVENT)],Table_Process_Details[Display Name],Table_Process_Details[[#This Row],[Unique Process Inputs]],Table_Process_Details[Input or Output],"Input")</f>
        <v>0</v>
      </c>
      <c r="GY98" s="1">
        <f ca="1">SUMIFS(Table_Process_Details[RV Eutrophication (kg phosphate equiv.) per kg API (WATER)],Table_Process_Details[Display Name],Table_Process_Details[[#This Row],[Unique Process Inputs]],Table_Process_Details[Input or Output],"Input")</f>
        <v>0</v>
      </c>
      <c r="GZ98" s="1">
        <f ca="1">SUMIFS(Table_Process_Details[RV Eutrophication (kg phosphate equiv.) per kg API (ENZ&amp;PLNT)],Table_Process_Details[Display Name],Table_Process_Details[[#This Row],[Unique Process Inputs]],Table_Process_Details[Input or Output],"Input")</f>
        <v>0</v>
      </c>
      <c r="HA98" s="1">
        <f ca="1">SUMIFS(Table_Process_Details[RV Eutrophication (kg phosphate equiv.) per kg API (OTHER)],Table_Process_Details[Display Name],Table_Process_Details[[#This Row],[Unique Process Inputs]],Table_Process_Details[Input or Output],"Input")</f>
        <v>0</v>
      </c>
      <c r="HB98"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8"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8" s="22" t="e">
        <f ca="1">SUM(OFFSET(Table_Process_Details['[Eutrophication (kg posphate equiv.) per kg API'] of Unique Inputs Sorted by '[Eutrophication (kg posphate equiv.) per kg API']],0,0,Table_Process_Details[[#This Row],[Table Row]]))</f>
        <v>#N/A</v>
      </c>
      <c r="HE98"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8" s="1" t="e">
        <f ca="1">INDEX(Table_Process_Details[Total '[Eutrophication (kg posphate equiv.) per kg API'] of Unique Inputs (REAGENT)], MATCH(Table_Process_Details[[#This Row],[Unique Inputs Sorted by '[Eutrophication (kg posphate equiv.) per kg API']]],Table_Process_Details[Unique Process Inputs],0))</f>
        <v>#N/A</v>
      </c>
      <c r="HG98" s="1" t="e">
        <f ca="1">INDEX(Table_Process_Details[Total '[Eutrophication (kg posphate equiv.) per kg API'] of Unique Inputs (METAL)], MATCH(Table_Process_Details[[#This Row],[Unique Inputs Sorted by '[Eutrophication (kg posphate equiv.) per kg API']]],Table_Process_Details[Unique Process Inputs],0))</f>
        <v>#N/A</v>
      </c>
      <c r="HH98" s="1" t="e">
        <f ca="1">INDEX(Table_Process_Details[Total '[Eutrophication (kg posphate equiv.) per kg API'] of Unique Inputs (SOLVENT)], MATCH(Table_Process_Details[[#This Row],[Unique Inputs Sorted by '[Eutrophication (kg posphate equiv.) per kg API']]],Table_Process_Details[Unique Process Inputs],0))</f>
        <v>#N/A</v>
      </c>
      <c r="HI98" s="1" t="e">
        <f ca="1">INDEX(Table_Process_Details[Total '[Eutrophication (kg posphate equiv.) per kg API'] of Unique Inputs (WATER)], MATCH(Table_Process_Details[[#This Row],[Unique Inputs Sorted by '[Eutrophication (kg posphate equiv.) per kg API']]],Table_Process_Details[Unique Process Inputs],0))</f>
        <v>#N/A</v>
      </c>
      <c r="HJ98" s="1" t="e">
        <f ca="1">INDEX(Table_Process_Details[Total '[Eutrophication (kg posphate equiv.) per kg API'] of Unique Inputs (ENZ&amp;PLNT)], MATCH(Table_Process_Details[[#This Row],[Unique Inputs Sorted by '[Eutrophication (kg posphate equiv.) per kg API']]],Table_Process_Details[Unique Process Inputs],0))</f>
        <v>#N/A</v>
      </c>
      <c r="HK98" s="1" t="e">
        <f ca="1">INDEX(Table_Process_Details[Total '[Eutrophication (kg posphate equiv.) per kg API'] of Unique Inputs (OTHER)], MATCH(Table_Process_Details[[#This Row],[Unique Inputs Sorted by '[Eutrophication (kg posphate equiv.) per kg API']]],Table_Process_Details[Unique Process Inputs],0))</f>
        <v>#N/A</v>
      </c>
      <c r="HL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8"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8" s="1">
        <f ca="1">SUMIFS(Table_Process_Details[RV Water (kg) per kg API],Table_Process_Details[Display Name],Table_Process_Details[[#This Row],[Unique Process Inputs]],Table_Process_Details[Input or Output],"Input")</f>
        <v>0</v>
      </c>
      <c r="HT98" s="1">
        <f ca="1">SUMIFS(Table_Process_Details[RV Water (kg) per kg API (REAGENT)],Table_Process_Details[Display Name],Table_Process_Details[[#This Row],[Unique Process Inputs]],Table_Process_Details[Input or Output],"Input")</f>
        <v>0</v>
      </c>
      <c r="HU98" s="1">
        <f ca="1">SUMIFS(Table_Process_Details[RV Water (kg) per kg API (METAL)],Table_Process_Details[Display Name],Table_Process_Details[[#This Row],[Unique Process Inputs]],Table_Process_Details[Input or Output],"Input")</f>
        <v>0</v>
      </c>
      <c r="HV98" s="1">
        <f ca="1">SUMIFS(Table_Process_Details[RV Water (kg) per kg API (SOLVENT)],Table_Process_Details[Display Name],Table_Process_Details[[#This Row],[Unique Process Inputs]],Table_Process_Details[Input or Output],"Input")</f>
        <v>0</v>
      </c>
      <c r="HW98" s="1">
        <f ca="1">SUMIFS(Table_Process_Details[RV Water (kg) per kg API (WATER)],Table_Process_Details[Display Name],Table_Process_Details[[#This Row],[Unique Process Inputs]],Table_Process_Details[Input or Output],"Input")</f>
        <v>0</v>
      </c>
      <c r="HX98" s="1">
        <f ca="1">SUMIFS(Table_Process_Details[RV Water (kg) per kg API (ENZ&amp;PLNT)],Table_Process_Details[Display Name],Table_Process_Details[[#This Row],[Unique Process Inputs]],Table_Process_Details[Input or Output],"Input")</f>
        <v>0</v>
      </c>
      <c r="HY98" s="1">
        <f ca="1">SUMIFS(Table_Process_Details[RV Water (kg) per kg API (OTHER)],Table_Process_Details[Display Name],Table_Process_Details[[#This Row],[Unique Process Inputs]],Table_Process_Details[Input or Output],"Input")</f>
        <v>0</v>
      </c>
      <c r="HZ98" s="22" t="e">
        <f ca="1">INDEX(Table_Process_Details[Unique Process Inputs],MATCH(Table_Process_Details[[#This Row],['[Water (kg) per kg API'] of Unique Inputs Sorted by '[Water (kg) per kg API']]],Table_Process_Details[Total '[Water (kg) per kg API'] of Unique Inputs],0))</f>
        <v>#N/A</v>
      </c>
      <c r="IA98" s="22" t="e">
        <f ca="1">IF(LARGE(Table_Process_Details[Total '[Water (kg) per kg API'] of Unique Inputs],Table_Process_Details[[#This Row],[Table Row]])=0,NA(),LARGE(Table_Process_Details[Total '[Water (kg) per kg API'] of Unique Inputs],Table_Process_Details[[#This Row],[Table Row]]))</f>
        <v>#N/A</v>
      </c>
      <c r="IB98" s="1" t="e">
        <f ca="1">SUM(OFFSET(Table_Process_Details['[Water (kg) per kg API'] of Unique Inputs Sorted by '[Water (kg) per kg API']],0,0,Table_Process_Details[[#This Row],[Table Row]]))</f>
        <v>#N/A</v>
      </c>
      <c r="IC98" s="1" t="e">
        <f ca="1">"("&amp;TEXT(Table_Process_Details[[#This Row],['[Water (kg) per kg API'] of Unique Inputs Sorted by '[Water (kg) per kg API']]]/SUMIF(Table_Process_Details['[Water (kg) per kg API'] of Unique Inputs Sorted by '[Water (kg) per kg API']],"&lt;&gt;#N/A"),"0%")&amp;")"</f>
        <v>#N/A</v>
      </c>
      <c r="ID98" s="1" t="e">
        <f ca="1">INDEX(Table_Process_Details[Total '[Water (kg) per kg API'] of Unique Inputs (REAGENT)], MATCH(Table_Process_Details[[#This Row],[Unique Inputs Sorted by '[Water (kg) per kg API']]],Table_Process_Details[Unique Process Inputs],0))</f>
        <v>#N/A</v>
      </c>
      <c r="IE98" s="1" t="e">
        <f ca="1">INDEX(Table_Process_Details[Total '[Water (kg) per kg API'] of Unique Inputs (METAL)], MATCH(Table_Process_Details[[#This Row],[Unique Inputs Sorted by '[Water (kg) per kg API']]],Table_Process_Details[Unique Process Inputs],0))</f>
        <v>#N/A</v>
      </c>
      <c r="IF98" s="1" t="e">
        <f ca="1">INDEX(Table_Process_Details[Total '[Water (kg) per kg API'] of Unique Inputs (SOLVENT)], MATCH(Table_Process_Details[[#This Row],[Unique Inputs Sorted by '[Water (kg) per kg API']]],Table_Process_Details[Unique Process Inputs],0))</f>
        <v>#N/A</v>
      </c>
      <c r="IG98" s="1" t="e">
        <f ca="1">INDEX(Table_Process_Details[Total '[Water (kg) per kg API'] of Unique Inputs (WATER)], MATCH(Table_Process_Details[[#This Row],[Unique Inputs Sorted by '[Water (kg) per kg API']]],Table_Process_Details[Unique Process Inputs],0))</f>
        <v>#N/A</v>
      </c>
      <c r="IH98" s="1" t="e">
        <f ca="1">INDEX(Table_Process_Details[Total '[Water (kg) per kg API'] of Unique Inputs (ENZ&amp;PLNT)], MATCH(Table_Process_Details[[#This Row],[Unique Inputs Sorted by '[Water (kg) per kg API']]],Table_Process_Details[Unique Process Inputs],0))</f>
        <v>#N/A</v>
      </c>
      <c r="II98" s="1" t="e">
        <f ca="1">INDEX(Table_Process_Details[Total '[Water (kg) per kg API'] of Unique Inputs (OTHER)], MATCH(Table_Process_Details[[#This Row],[Unique Inputs Sorted by '[Water (kg) per kg API']]],Table_Process_Details[Unique Process Inputs],0))</f>
        <v>#N/A</v>
      </c>
    </row>
    <row r="99" spans="1:243" customFormat="1" x14ac:dyDescent="0.25">
      <c r="A99" s="22" t="str">
        <f t="shared" si="4"/>
        <v>5) Pure Step</v>
      </c>
      <c r="B99" s="21" t="s">
        <v>4</v>
      </c>
      <c r="C99" s="21" t="s">
        <v>6</v>
      </c>
      <c r="D99" s="22" t="s">
        <v>40</v>
      </c>
      <c r="E99" s="22" t="s">
        <v>841</v>
      </c>
      <c r="F99" s="26">
        <v>500</v>
      </c>
      <c r="G99" s="26"/>
      <c r="H99" s="26"/>
      <c r="I99" s="26"/>
      <c r="J99" s="26" t="str">
        <f>INDEX(Process_Steps[Reference],MATCH(Table_Process_Details[[#This Row],[Step Name]],Process_Steps[Name],0))</f>
        <v>Reference Document for API step</v>
      </c>
      <c r="K99" s="27" t="str">
        <f>INDEX(Process_Steps[Real or Virtual?],MATCH(Table_Process_Details[[#This Row],[Step Name]],Process_Steps[Name],0))</f>
        <v>Real</v>
      </c>
      <c r="L99"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67-63-0</v>
      </c>
      <c r="M99"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SOLVENT</v>
      </c>
      <c r="N99" s="26">
        <f>INDEX(Table_Process_Details[Physical Mass (kg)],MATCH(1,INDEX(((Table_Process_Details[Step Name]=Table_Process_Details[[#This Row],[Step Name]])*(Table_Process_Details[Input or Output]="Output")),0),0))</f>
        <v>28</v>
      </c>
      <c r="O99" s="29">
        <f ca="1">INDEX(Process_Steps[Step Scale Factor for 1kg Packaged API],MATCH(Table_Process_Details[[#This Row],[Step Name]],Process_Steps[Name],0))</f>
        <v>0.04</v>
      </c>
      <c r="P99"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19.8</v>
      </c>
      <c r="Q99"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0.80000000000000071</v>
      </c>
      <c r="R99" s="26">
        <f ca="1">_xlfn.SWITCH(Run_Reset_PNG,"Reset",Table_Process_Details[[#This Row],[X Init]],"Run",Table_Process_Details[[#This Row],[X Moved]],"Freeze",Table_Process_Details[[#This Row],[X Mover]])</f>
        <v>26.501091310278941</v>
      </c>
      <c r="S99" s="26">
        <f ca="1">_xlfn.SWITCH(Run_Reset_PNG,"Reset",Table_Process_Details[[#This Row],[Y Init]],"Run",Table_Process_Details[[#This Row],[Y Moved]],"Freeze",Table_Process_Details[[#This Row],[Y Mover]])</f>
        <v>6.5085732642133696</v>
      </c>
      <c r="T99" s="26" cm="1">
        <f t="array" aca="1" ref="T99"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-4.4635896906575256</v>
      </c>
      <c r="U99" s="26" cm="1">
        <f t="array" aca="1" ref="U99"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3.8926972200210779</v>
      </c>
      <c r="V99" s="26" cm="1">
        <f t="array" aca="1" ref="V99" ca="1">SUM(--(SQRT((Table_Process_Details[[#This Row],[X Mover]]-Table_Process_Details[X Mover])^2+(Table_Process_Details[[#This Row],[Y Mover]]-Table_Process_Details[Y Mover])^2)&lt;Collision_Distance))</f>
        <v>14</v>
      </c>
      <c r="W99" s="26" cm="1">
        <f t="array" aca="1" ref="W99"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0.39503061269248851</v>
      </c>
      <c r="X99" s="26" cm="1">
        <f t="array" aca="1" ref="X99"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-0.2260005403760037</v>
      </c>
      <c r="Y99" s="26" cm="1">
        <f t="array" aca="1" ref="Y99"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99" s="26">
        <f>0</f>
        <v>0</v>
      </c>
      <c r="AA99" s="26">
        <f>0</f>
        <v>0</v>
      </c>
      <c r="AB99"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-13.25054565513947</v>
      </c>
      <c r="AC99" s="26" cm="1">
        <f t="array" aca="1" ref="AC99"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-3.2542866321066848</v>
      </c>
      <c r="AD99" s="26">
        <f>MIN(1,COUNTA(Table_Process_Details[[#This Row],[target x]]),COUNTA(Table_Process_Details[[#This Row],[target y]]))*COUNTA(Table_Process_Details[Step Name])</f>
        <v>98</v>
      </c>
      <c r="AE99"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26.442084438382221</v>
      </c>
      <c r="AF99"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6.5274155188173753</v>
      </c>
      <c r="AG99"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Raw Material</v>
      </c>
      <c r="AH99" s="26" cm="1">
        <f t="array" aca="1" ref="AH99" ca="1">INDEX(Table_Process_Details[X Mover],MATCH(1,INDEX((Table_Process_Details[Input or Output]="Output")*(Table_Process_Details[Step Name]=Table_Process_Details[[#This Row],[Step Name]])*(Table_Process_Details[[#This Row],[Input or Output]]="Input"),0),0))</f>
        <v>29.895118457910893</v>
      </c>
      <c r="AI99" s="26" cm="1">
        <f t="array" aca="1" ref="AI99" ca="1">INDEX(Table_Process_Details[Y Mover],MATCH(1,INDEX((Table_Process_Details[Input or Output]="Output")*(Table_Process_Details[Step Name]=Table_Process_Details[[#This Row],[Step Name]])*(Table_Process_Details[[#This Row],[Input or Output]]="Input"),0),0))</f>
        <v>4.5668200309955704</v>
      </c>
      <c r="AJ99" s="26">
        <f ca="1">SQRT((Table_Process_Details[[#This Row],[X End (To Node Center)]]-Table_Process_Details[[#This Row],[X Guide]])^2+(Table_Process_Details[[#This Row],[Y End (to Node Center)]]-Table_Process_Details[[#This Row],[Y Guide]])^2)</f>
        <v>3.9102206967861113</v>
      </c>
      <c r="AK99" s="26" t="e" cm="1">
        <f t="array" ref="AK99">INDEX(Table_Process_Details[X Mover],MATCH(1,INDEX((Table_Process_Details[Step Name]=Table_Process_Details[[#This Row],[LCA Data Source Subclass]])*(Table_Process_Details[Input or Output]="Output"),0)*(Table_Process_Details[[#This Row],[Input or Output]]="Input"),0))</f>
        <v>#N/A</v>
      </c>
      <c r="AL99" s="26" cm="1">
        <f t="array" aca="1" ref="AL99" ca="1">INDEX(Table_Process_Details[X Mover],MATCH(1,INDEX(((Table_Process_Details[Table Row]=Table_Process_Details[[#This Row],[Table Row]])*(1)),0)*(Table_Process_Details[[#This Row],[Input or Output]]="Input"),0))</f>
        <v>26.501091310278941</v>
      </c>
      <c r="AM99" s="26" cm="1">
        <f t="array" aca="1" ref="AM99" ca="1">(Table_Process_Details[[#This Row],[X End (To Node Center)]]*Table_Process_Details[[#This Row],[r0]]-Table_Process_Details[[#This Row],[X End (To Node Center)]]*Arrow_Offset+Table_Process_Details[[#This Row],[X Guide]]*Arrow_Offset)/Table_Process_Details[[#This Row],[r0]]</f>
        <v>29.200727545311704</v>
      </c>
      <c r="AN99" s="26" t="e">
        <f>IF(NOT(Table_Process_Details[[#This Row],[Display As]]="None"),Table_Process_Details[[#This Row],[X Start Prefilter]],NA())</f>
        <v>#N/A</v>
      </c>
      <c r="AO99" s="26">
        <f ca="1">IF(NOT(Table_Process_Details[[#This Row],[Display As]]="None"),Table_Process_Details[[#This Row],[X Guide Prefilter]],NA())</f>
        <v>26.501091310278941</v>
      </c>
      <c r="AP99" s="26">
        <f ca="1">IF(NOT(Table_Process_Details[[#This Row],[Display As]]="None"),Table_Process_Details[[#This Row],[X End (to Stop Radius) Prefilter]],NA())</f>
        <v>29.200727545311704</v>
      </c>
      <c r="AQ99" s="26" t="e">
        <f>NA()</f>
        <v>#N/A</v>
      </c>
      <c r="AR99" s="26" t="e" cm="1">
        <f t="array" ref="AR99">INDEX(Table_Process_Details[Y Mover],MATCH(1,INDEX((Table_Process_Details[Step Name]=Table_Process_Details[[#This Row],[LCA Data Source Subclass]])*(Table_Process_Details[Input or Output]="Output"),0)*(Table_Process_Details[[#This Row],[Input or Output]]="Input"),0))</f>
        <v>#N/A</v>
      </c>
      <c r="AS99" s="26" cm="1">
        <f t="array" aca="1" ref="AS99" ca="1">INDEX(Table_Process_Details[Y Mover],MATCH(1,INDEX(((Table_Process_Details[Table Row]=Table_Process_Details[[#This Row],[Table Row]])*(1)),0)*(Table_Process_Details[[#This Row],[Input or Output]]="Input"),0))</f>
        <v>6.5085732642133696</v>
      </c>
      <c r="AT99" s="26" cm="1">
        <f t="array" aca="1" ref="AT99" ca="1">(Table_Process_Details[[#This Row],[Y Guide]]*Arrow_Offset-Table_Process_Details[[#This Row],[Y End (to Node Center)]]*Arrow_Offset+Table_Process_Details[[#This Row],[Y End (to Node Center)]]*Table_Process_Details[[#This Row],[r0]])/Table_Process_Details[[#This Row],[r0]]</f>
        <v>4.9640872716531153</v>
      </c>
      <c r="AU99" s="26" t="e">
        <f>IF(NOT(Table_Process_Details[[#This Row],[Display As]]="None"),Table_Process_Details[[#This Row],[Y Start Prefilter]],NA())</f>
        <v>#N/A</v>
      </c>
      <c r="AV99" s="26">
        <f ca="1">IF(NOT(Table_Process_Details[[#This Row],[Display As]]="None"),Table_Process_Details[[#This Row],[Y Guide Prefilter]],NA())</f>
        <v>6.5085732642133696</v>
      </c>
      <c r="AW99" s="26">
        <f ca="1">IF(NOT(Table_Process_Details[[#This Row],[Display As]]="None"),Table_Process_Details[[#This Row],[Y End (to Stop Radius) Prefilter]],NA())</f>
        <v>4.9640872716531153</v>
      </c>
      <c r="AX99" s="26" t="e">
        <f>NA()</f>
        <v>#N/A</v>
      </c>
      <c r="AY99" s="26" t="e">
        <f>IF(Table_Process_Details[[#This Row],[Display As]]="Real Step",Table_Process_Details[[#This Row],[X Mover]],NA())</f>
        <v>#N/A</v>
      </c>
      <c r="AZ99" s="26" t="e">
        <f>IF(Table_Process_Details[[#This Row],[Display As]]="Real Step",Table_Process_Details[[#This Row],[Y Mover]],NA())</f>
        <v>#N/A</v>
      </c>
      <c r="BA99" s="26">
        <f ca="1">IF(Table_Process_Details[[#This Row],[Display As]]="Raw Material",Table_Process_Details[[#This Row],[X Mover]],NA())</f>
        <v>26.501091310278941</v>
      </c>
      <c r="BB99" s="26">
        <f ca="1">IF(Table_Process_Details[[#This Row],[Display As]]="Raw Material",Table_Process_Details[[#This Row],[Y Mover]],NA())</f>
        <v>6.5085732642133696</v>
      </c>
      <c r="BC99" s="26">
        <f ca="1">IF(OR(Table_Process_Details[[#This Row],[Display As]]="Real Step",Table_Process_Details[[#This Row],[Display As]]="Raw Material"),Table_Process_Details[[#This Row],[X Mover]],NA())</f>
        <v>26.501091310278941</v>
      </c>
      <c r="BD99" s="26">
        <f ca="1">IF(OR(Table_Process_Details[[#This Row],[Display As]]="Real Step",Table_Process_Details[[#This Row],[Display As]]="Raw Material"),Table_Process_Details[[#This Row],[Y Mover]],NA())</f>
        <v>6.5085732642133696</v>
      </c>
      <c r="BE99" s="22">
        <f>ROW()-ROW(Table_Process_Details[[#Headers],[Table Row]])</f>
        <v>95</v>
      </c>
      <c r="BF99" s="23" t="e" cm="1">
        <f t="array" aca="1" ref="BF99" ca="1">INDEX(Table_Process_Details[Display Name],MATCH(0,IF(Table_Process_Details[Input or Output]="Input",INDEX(COUNTIF(OFFSET(Table_Process_Details[[#Headers],[Unique Process Inputs]],0,0,Table_Process_Details[[#This Row],[Table Row]],1),Table_Process_Details[Display Name]),),""),0))</f>
        <v>#N/A</v>
      </c>
      <c r="BG99" s="23">
        <f ca="1">Table_Process_Details[[#This Row],[Physical Mass (kg)]]*Table_Process_Details[[#This Row],[Step Scale Factor for 1kg Packaged API]]</f>
        <v>20</v>
      </c>
      <c r="BH99"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99" s="23">
        <f ca="1">MATCH(Table_Process_Details[[#This Row],[LCA Data Source Class]],INDIRECT(Table_Process_Details[[#This Row],[Input or Output]]),0)</f>
        <v>2</v>
      </c>
      <c r="BJ99" s="23">
        <f ca="1">MATCH(Table_Process_Details[[#This Row],[LCA Data Source Subclass]],INDIRECT(Table_Process_Details[[#This Row],[LCA Data Source Class]]&amp;"[Name]"),0)</f>
        <v>10</v>
      </c>
      <c r="BK99" s="23">
        <f ca="1">IFERROR(INDEX(INDIRECT(Table_Process_Details[[#This Row],[LCA Data Source Class]]&amp;"[Mass Net (kg)]"),MATCH(Table_Process_Details[[#This Row],[LCA Data Source Subclass]],INDIRECT(Table_Process_Details[[#This Row],[LCA Data Source Class]]&amp;"[Name]"),0)),0)</f>
        <v>1.4435939</v>
      </c>
      <c r="BL99" s="23">
        <f ca="1">IFERROR(INDEX(INDIRECT(Table_Process_Details[[#This Row],[LCA Data Source Class]]&amp;"[Energy (MJ)]"),MATCH(Table_Process_Details[[#This Row],[LCA Data Source Subclass]],INDIRECT(Table_Process_Details[[#This Row],[LCA Data Source Class]]&amp;"[Name]"),0)),0)</f>
        <v>62.750433000000001</v>
      </c>
      <c r="BM99" s="23">
        <f ca="1">IFERROR(INDEX(INDIRECT(Table_Process_Details[[#This Row],[LCA Data Source Class]]&amp;"[GWP (kg CO2 equiv.)]"),MATCH(Table_Process_Details[[#This Row],[LCA Data Source Subclass]],INDIRECT(Table_Process_Details[[#This Row],[LCA Data Source Class]]&amp;"[Name]"),0)),0)</f>
        <v>1.8481797</v>
      </c>
      <c r="BN99" s="23">
        <f ca="1">IFERROR(INDEX(INDIRECT(Table_Process_Details[[#This Row],[LCA Data Source Class]]&amp;"[Acidification (kg SO2 equiv.)]"),MATCH(Table_Process_Details[[#This Row],[LCA Data Source Subclass]],INDIRECT(Table_Process_Details[[#This Row],[LCA Data Source Class]]&amp;"[Name]"),0)),0)</f>
        <v>7.7436759999999997E-3</v>
      </c>
      <c r="BO99" s="23">
        <f ca="1">IFERROR(INDEX(INDIRECT(Table_Process_Details[[#This Row],[LCA Data Source Class]]&amp;"[Eutrophication (kg posphate equiv.)]"),MATCH(Table_Process_Details[[#This Row],[LCA Data Source Subclass]],INDIRECT(Table_Process_Details[[#This Row],[LCA Data Source Class]]&amp;"[Name]"),0)),0)</f>
        <v>4.2209470999999997E-3</v>
      </c>
      <c r="BP99" s="23">
        <f ca="1">IFERROR(INDEX(INDIRECT(Table_Process_Details[[#This Row],[LCA Data Source Class]]&amp;"[Water (kg)]"),MATCH(Table_Process_Details[[#This Row],[LCA Data Source Subclass]],INDIRECT(Table_Process_Details[[#This Row],[LCA Data Source Class]]&amp;"[Name]"),0)),0)</f>
        <v>17.318069999999999</v>
      </c>
      <c r="BQ99" s="27">
        <f ca="1">(Table_Process_Details[[#This Row],[Input or Output]]="Input")*(Table_Process_Details[[#This Row],[LCA Data Source Class]]&lt;&gt;"Process_Steps")*Table_Process_Details[[#This Row],[Scaled Physical Mass per kg API for All Inputs &amp; Outputs]]</f>
        <v>20</v>
      </c>
      <c r="BR99" s="27">
        <f ca="1">(Table_Process_Details[[#This Row],[Material Class]]="REAGENT")*Table_Process_Details[[#This Row],[Physical Mass per kg API]]</f>
        <v>0</v>
      </c>
      <c r="BS99" s="27">
        <f ca="1">(Table_Process_Details[[#This Row],[Material Class]]="METAL")*Table_Process_Details[[#This Row],[Physical Mass per kg API]]</f>
        <v>0</v>
      </c>
      <c r="BT99" s="27">
        <f ca="1">(Table_Process_Details[[#This Row],[Material Class]]="SOLVENT")*Table_Process_Details[[#This Row],[Physical Mass per kg API]]</f>
        <v>20</v>
      </c>
      <c r="BU99" s="27">
        <f ca="1">(Table_Process_Details[[#This Row],[Material Class]]="WATER")*Table_Process_Details[[#This Row],[Physical Mass per kg API]]</f>
        <v>0</v>
      </c>
      <c r="BV99" s="27">
        <f ca="1">(Table_Process_Details[[#This Row],[Material Class]]="ENZ&amp;PLNT")*Table_Process_Details[[#This Row],[Physical Mass per kg API]]</f>
        <v>0</v>
      </c>
      <c r="BW99" s="27">
        <f ca="1">(Table_Process_Details[[#This Row],[Material Class]]="OTHER")*Table_Process_Details[[#This Row],[Physical Mass per kg API]]</f>
        <v>0</v>
      </c>
      <c r="BX99"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20</v>
      </c>
      <c r="BY99"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99"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99"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20</v>
      </c>
      <c r="CB99"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99"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99"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99" s="1">
        <f ca="1">SUMIFS(Table_Process_Details[RV Physical Mass per kg API],Table_Process_Details[Display Name],Table_Process_Details[[#This Row],[Unique Process Inputs]],Table_Process_Details[Input or Output],"Input")</f>
        <v>0</v>
      </c>
      <c r="CF99" s="1">
        <f ca="1">SUMIFS(Table_Process_Details[RV Physical Mass per kg API (REAGENT)],Table_Process_Details[Display Name],Table_Process_Details[[#This Row],[Unique Process Inputs]],Table_Process_Details[Input or Output],"Input")</f>
        <v>0</v>
      </c>
      <c r="CG99" s="1">
        <f ca="1">SUMIFS(Table_Process_Details[RV Physical Mass per kg API (METAL)],Table_Process_Details[Display Name],Table_Process_Details[[#This Row],[Unique Process Inputs]],Table_Process_Details[Input or Output],"Input")</f>
        <v>0</v>
      </c>
      <c r="CH99" s="1">
        <f ca="1">SUMIFS(Table_Process_Details[RV Physical Mass per kg API (SOLVENT)],Table_Process_Details[Display Name],Table_Process_Details[[#This Row],[Unique Process Inputs]],Table_Process_Details[Input or Output],"Input")</f>
        <v>0</v>
      </c>
      <c r="CI99" s="1">
        <f ca="1">SUMIFS(Table_Process_Details[RV Physical Mass per kg API (WATER)],Table_Process_Details[Display Name],Table_Process_Details[[#This Row],[Unique Process Inputs]],Table_Process_Details[Input or Output],"Input")</f>
        <v>0</v>
      </c>
      <c r="CJ99" s="1">
        <f ca="1">SUMIFS(Table_Process_Details[RV Physical Mass per kg API (ENZ&amp;PLNT)],Table_Process_Details[Display Name],Table_Process_Details[[#This Row],[Unique Process Inputs]],Table_Process_Details[Input or Output],"Input")</f>
        <v>0</v>
      </c>
      <c r="CK99" s="1">
        <f ca="1">SUMIFS(Table_Process_Details[RV Physical Mass per kg API (OTHER)],Table_Process_Details[Display Name],Table_Process_Details[[#This Row],[Unique Process Inputs]],Table_Process_Details[Input or Output],"Input")</f>
        <v>0</v>
      </c>
      <c r="CL99" s="22" t="e">
        <f ca="1">INDEX(Table_Process_Details[Unique Process Inputs],MATCH(Table_Process_Details[[#This Row],['[Physical Mass per kg API'] of Unique Inputs Sorted by '[Physical Mass per kg API']]],Table_Process_Details[Total '[Physical Mass per kg API'] of Unique Inputs],0))</f>
        <v>#N/A</v>
      </c>
      <c r="CM99" s="22" t="e">
        <f ca="1">IF(LARGE(Table_Process_Details[Total '[Physical Mass per kg API'] of Unique Inputs],Table_Process_Details[[#This Row],[Table Row]])=0,NA(),LARGE(Table_Process_Details[Total '[Physical Mass per kg API'] of Unique Inputs],Table_Process_Details[[#This Row],[Table Row]]))</f>
        <v>#N/A</v>
      </c>
      <c r="CN99" s="22" t="e">
        <f ca="1">SUM(OFFSET(Table_Process_Details['[Physical Mass per kg API'] of Unique Inputs Sorted by '[Physical Mass per kg API']],0,0,Table_Process_Details[[#This Row],[Table Row]]))</f>
        <v>#N/A</v>
      </c>
      <c r="CO99" s="22" t="e">
        <f ca="1">"("&amp;TEXT(Table_Process_Details[[#This Row],['[Physical Mass per kg API'] of Unique Inputs Sorted by '[Physical Mass per kg API']]]/SUMIF(Table_Process_Details['[Physical Mass per kg API'] of Unique Inputs Sorted by '[Physical Mass per kg API']],"&lt;&gt;#N/A"),"0%")&amp;")"</f>
        <v>#N/A</v>
      </c>
      <c r="CP99" s="22" t="e">
        <f ca="1">INDEX(Table_Process_Details[Total '[Physical Mass per kg API'] of Unique Inputs (REAGENT)],MATCH(Table_Process_Details[[#This Row],[Unique Inputs Sorted by '[Physical Mass per kg API']]],Table_Process_Details[Unique Process Inputs],0))</f>
        <v>#N/A</v>
      </c>
      <c r="CQ99" s="22" t="e">
        <f ca="1">INDEX(Table_Process_Details[Total '[Physical Mass per kg API'] of Unique Inputs (METAL)],MATCH(Table_Process_Details[[#This Row],[Unique Inputs Sorted by '[Physical Mass per kg API']]],Table_Process_Details[Unique Process Inputs],0))</f>
        <v>#N/A</v>
      </c>
      <c r="CR99" s="22" t="e">
        <f ca="1">INDEX(Table_Process_Details[Total '[Physical Mass per kg API'] of Unique Inputs (SOLVENT)],MATCH(Table_Process_Details[[#This Row],[Unique Inputs Sorted by '[Physical Mass per kg API']]],Table_Process_Details[Unique Process Inputs],0))</f>
        <v>#N/A</v>
      </c>
      <c r="CS99" s="22" t="e">
        <f ca="1">INDEX(Table_Process_Details[Total '[Physical Mass per kg API'] of Unique Inputs (WATER)],MATCH(Table_Process_Details[[#This Row],[Unique Inputs Sorted by '[Physical Mass per kg API']]],Table_Process_Details[Unique Process Inputs],0))</f>
        <v>#N/A</v>
      </c>
      <c r="CT99" s="22" t="e">
        <f ca="1">INDEX(Table_Process_Details[Total '[Physical Mass per kg API'] of Unique Inputs (ENZ&amp;PLNT)],MATCH(Table_Process_Details[[#This Row],[Unique Inputs Sorted by '[Physical Mass per kg API']]],Table_Process_Details[Unique Process Inputs],0))</f>
        <v>#N/A</v>
      </c>
      <c r="CU99" s="22" t="e">
        <f ca="1">INDEX(Table_Process_Details[Total '[Physical Mass per kg API'] of Unique Inputs (OTHER)],MATCH(Table_Process_Details[[#This Row],[Unique Inputs Sorted by '[Physical Mass per kg API']]],Table_Process_Details[Unique Process Inputs],0))</f>
        <v>#N/A</v>
      </c>
      <c r="CV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28.871877999999999</v>
      </c>
      <c r="CW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28.871877999999999</v>
      </c>
      <c r="CZ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99"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99" s="22">
        <f ca="1">SUMIFS(Table_Process_Details[RV Mass Net (kg) per kg API],Table_Process_Details[Display Name],Table_Process_Details[[#This Row],[Unique Process Inputs]],Table_Process_Details[Input or Output],"Input")</f>
        <v>0</v>
      </c>
      <c r="DD99" s="22">
        <f ca="1">SUMIFS(Table_Process_Details[RV Mass Net (kg) per kg API (REAGENT)],Table_Process_Details[Display Name],Table_Process_Details[[#This Row],[Unique Process Inputs]],Table_Process_Details[Input or Output],"Input")</f>
        <v>0</v>
      </c>
      <c r="DE99" s="22">
        <f ca="1">SUMIFS(Table_Process_Details[RV Mass Net (kg) per kg API (METAL)],Table_Process_Details[Display Name],Table_Process_Details[[#This Row],[Unique Process Inputs]],Table_Process_Details[Input or Output],"Input")</f>
        <v>0</v>
      </c>
      <c r="DF99" s="22">
        <f ca="1">SUMIFS(Table_Process_Details[RV Mass Net (kg) per kg API (SOLVENT)],Table_Process_Details[Display Name],Table_Process_Details[[#This Row],[Unique Process Inputs]],Table_Process_Details[Input or Output],"Input")</f>
        <v>0</v>
      </c>
      <c r="DG99" s="22">
        <f ca="1">SUMIFS(Table_Process_Details[RV Mass Net (kg) per kg API (WATER)],Table_Process_Details[Display Name],Table_Process_Details[[#This Row],[Unique Process Inputs]],Table_Process_Details[Input or Output],"Input")</f>
        <v>0</v>
      </c>
      <c r="DH99" s="22">
        <f ca="1">SUMIFS(Table_Process_Details[RV Mass Net (kg) per kg API (ENZ&amp;PLNT)],Table_Process_Details[Display Name],Table_Process_Details[[#This Row],[Unique Process Inputs]],Table_Process_Details[Input or Output],"Input")</f>
        <v>0</v>
      </c>
      <c r="DI99" s="22">
        <f ca="1">SUMIFS(Table_Process_Details[RV Mass Net (kg) per kg API (OTHER)],Table_Process_Details[Display Name],Table_Process_Details[[#This Row],[Unique Process Inputs]],Table_Process_Details[Input or Output],"Input")</f>
        <v>0</v>
      </c>
      <c r="DJ99" s="22" t="e">
        <f ca="1">INDEX(Table_Process_Details[Unique Process Inputs],MATCH(Table_Process_Details[[#This Row],['[Mass Net (kg) per kg API'] of Unique Inputs Sorted by '[Mass Net (kg) per kg API']]],Table_Process_Details[Total '[Mass Net (kg) per kg API'] of Unique Inputs],0))</f>
        <v>#N/A</v>
      </c>
      <c r="DK99" s="22" t="e">
        <f ca="1">IF(LARGE(Table_Process_Details[Total '[Mass Net (kg) per kg API'] of Unique Inputs],Table_Process_Details[[#This Row],[Table Row]])=0,NA(),LARGE(Table_Process_Details[Total '[Mass Net (kg) per kg API'] of Unique Inputs],Table_Process_Details[[#This Row],[Table Row]]))</f>
        <v>#N/A</v>
      </c>
      <c r="DL99" s="22" t="e">
        <f ca="1">SUM(OFFSET(Table_Process_Details['[Mass Net (kg) per kg API'] of Unique Inputs Sorted by '[Mass Net (kg) per kg API']],0,0,Table_Process_Details[[#This Row],[Table Row]]))</f>
        <v>#N/A</v>
      </c>
      <c r="DM99" s="22" t="e">
        <f ca="1">"("&amp;TEXT(Table_Process_Details[[#This Row],['[Mass Net (kg) per kg API'] of Unique Inputs Sorted by '[Mass Net (kg) per kg API']]]/SUMIF(Table_Process_Details['[Mass Net (kg) per kg API'] of Unique Inputs Sorted by '[Mass Net (kg) per kg API']],"&lt;&gt;#N/A"),"0%")&amp;")"</f>
        <v>#N/A</v>
      </c>
      <c r="DN99" s="22" t="e">
        <f ca="1">INDEX(Table_Process_Details[Total '[Mass Net (kg) per kg API'] of Unique Inputs (REAGENT)], MATCH(Table_Process_Details[[#This Row],[Unique Inputs Sorted by '[Mass Net (kg) per kg API']]],Table_Process_Details[Unique Process Inputs],0))</f>
        <v>#N/A</v>
      </c>
      <c r="DO99" s="22" t="e">
        <f ca="1">INDEX(Table_Process_Details[Total '[Mass Net (kg) per kg API'] of Unique Inputs (METAL)], MATCH(Table_Process_Details[[#This Row],[Unique Inputs Sorted by '[Mass Net (kg) per kg API']]],Table_Process_Details[Unique Process Inputs],0))</f>
        <v>#N/A</v>
      </c>
      <c r="DP99" s="22" t="e">
        <f ca="1">INDEX(Table_Process_Details[Total '[Mass Net (kg) per kg API'] of Unique Inputs (SOLVENT)], MATCH(Table_Process_Details[[#This Row],[Unique Inputs Sorted by '[Mass Net (kg) per kg API']]],Table_Process_Details[Unique Process Inputs],0))</f>
        <v>#N/A</v>
      </c>
      <c r="DQ99" s="22" t="e">
        <f ca="1">INDEX(Table_Process_Details[Total '[Mass Net (kg) per kg API'] of Unique Inputs (WATER)], MATCH(Table_Process_Details[[#This Row],[Unique Inputs Sorted by '[Mass Net (kg) per kg API']]],Table_Process_Details[Unique Process Inputs],0))</f>
        <v>#N/A</v>
      </c>
      <c r="DR99" s="22" t="e">
        <f ca="1">INDEX(Table_Process_Details[Total '[Mass Net (kg) per kg API'] of Unique Inputs (ENZ&amp;PLNT)], MATCH(Table_Process_Details[[#This Row],[Unique Inputs Sorted by '[Mass Net (kg) per kg API']]],Table_Process_Details[Unique Process Inputs],0))</f>
        <v>#N/A</v>
      </c>
      <c r="DS99" s="22" t="e">
        <f ca="1">INDEX(Table_Process_Details[Total '[Mass Net (kg) per kg API'] of Unique Inputs (OTHER)], MATCH(Table_Process_Details[[#This Row],[Unique Inputs Sorted by '[Mass Net (kg) per kg API']]],Table_Process_Details[Unique Process Inputs],0))</f>
        <v>#N/A</v>
      </c>
      <c r="DT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1255.00866</v>
      </c>
      <c r="DU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1255.00866</v>
      </c>
      <c r="DX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99"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99" s="1">
        <f ca="1">SUMIFS(Table_Process_Details[RV Energy (MJ) per kg API],Table_Process_Details[Display Name],Table_Process_Details[[#This Row],[Unique Process Inputs]],Table_Process_Details[Input or Output],"Input")</f>
        <v>0</v>
      </c>
      <c r="EB99" s="1">
        <f ca="1">SUMIFS(Table_Process_Details[RV Energy (MJ) per kg API (REAGENT)],Table_Process_Details[Display Name],Table_Process_Details[[#This Row],[Unique Process Inputs]],Table_Process_Details[Input or Output],"Input")</f>
        <v>0</v>
      </c>
      <c r="EC99" s="1">
        <f ca="1">SUMIFS(Table_Process_Details[RV Energy (MJ) per kg API (METAL)],Table_Process_Details[Display Name],Table_Process_Details[[#This Row],[Unique Process Inputs]],Table_Process_Details[Input or Output],"Input")</f>
        <v>0</v>
      </c>
      <c r="ED99" s="1">
        <f ca="1">SUMIFS(Table_Process_Details[RV Energy (MJ) per kg API (SOLVENT)],Table_Process_Details[Display Name],Table_Process_Details[[#This Row],[Unique Process Inputs]],Table_Process_Details[Input or Output],"Input")</f>
        <v>0</v>
      </c>
      <c r="EE99" s="1">
        <f ca="1">SUMIFS(Table_Process_Details[RV Energy (MJ) per kg API (WATER)],Table_Process_Details[Display Name],Table_Process_Details[[#This Row],[Unique Process Inputs]],Table_Process_Details[Input or Output],"Input")</f>
        <v>0</v>
      </c>
      <c r="EF99" s="1">
        <f ca="1">SUMIFS(Table_Process_Details[RV Energy (MJ) per kg API (ENZ&amp;PLNT)],Table_Process_Details[Display Name],Table_Process_Details[[#This Row],[Unique Process Inputs]],Table_Process_Details[Input or Output],"Input")</f>
        <v>0</v>
      </c>
      <c r="EG99" s="1">
        <f ca="1">SUMIFS(Table_Process_Details[RV Energy (MJ) per kg API (OTHER)],Table_Process_Details[Display Name],Table_Process_Details[[#This Row],[Unique Process Inputs]],Table_Process_Details[Input or Output],"Input")</f>
        <v>0</v>
      </c>
      <c r="EH99" s="1" t="e">
        <f ca="1">INDEX(Table_Process_Details[Unique Process Inputs],MATCH(Table_Process_Details[[#This Row],['[Energy (MJ) per kg API'] of Unique Inputs Sorted by '[Energy (MJ) per kg API']]],Table_Process_Details[Total '[Energy (MJ) per kg API'] of Unique Inputs],0))</f>
        <v>#N/A</v>
      </c>
      <c r="EI99" s="22" t="e">
        <f ca="1">IF(LARGE(Table_Process_Details[Total '[Energy (MJ) per kg API'] of Unique Inputs],Table_Process_Details[[#This Row],[Table Row]])=0,NA(),LARGE(Table_Process_Details[Total '[Energy (MJ) per kg API'] of Unique Inputs],Table_Process_Details[[#This Row],[Table Row]]))</f>
        <v>#N/A</v>
      </c>
      <c r="EJ99" s="22" t="e">
        <f ca="1">SUM(OFFSET(Table_Process_Details['[Energy (MJ) per kg API'] of Unique Inputs Sorted by '[Energy (MJ) per kg API']],0,0,Table_Process_Details[[#This Row],[Table Row]]))</f>
        <v>#N/A</v>
      </c>
      <c r="EK99" s="22" t="e">
        <f ca="1">"("&amp;TEXT(Table_Process_Details[[#This Row],['[Energy (MJ) per kg API'] of Unique Inputs Sorted by '[Energy (MJ) per kg API']]]/SUMIF(Table_Process_Details['[Energy (MJ) per kg API'] of Unique Inputs Sorted by '[Energy (MJ) per kg API']],"&lt;&gt;#N/A"),"0%")&amp;")"</f>
        <v>#N/A</v>
      </c>
      <c r="EL99" s="22" t="e">
        <f ca="1">INDEX(Table_Process_Details[Total '[Energy (MJ) per kg API'] of Unique Inputs (REAGENT)], MATCH(Table_Process_Details[[#This Row],[Unique Inputs Sorted by '[Energy (MJ) per kg API']]],Table_Process_Details[Unique Process Inputs],0))</f>
        <v>#N/A</v>
      </c>
      <c r="EM99" s="22" t="e">
        <f ca="1">INDEX(Table_Process_Details[Total '[Energy (MJ) per kg API'] of Unique Inputs (METAL)], MATCH(Table_Process_Details[[#This Row],[Unique Inputs Sorted by '[Energy (MJ) per kg API']]],Table_Process_Details[Unique Process Inputs],0))</f>
        <v>#N/A</v>
      </c>
      <c r="EN99" s="22" t="e">
        <f ca="1">INDEX(Table_Process_Details[Total '[Energy (MJ) per kg API'] of Unique Inputs (SOLVENT)], MATCH(Table_Process_Details[[#This Row],[Unique Inputs Sorted by '[Energy (MJ) per kg API']]],Table_Process_Details[Unique Process Inputs],0))</f>
        <v>#N/A</v>
      </c>
      <c r="EO99" s="22" t="e">
        <f ca="1">INDEX(Table_Process_Details[Total '[Energy (MJ) per kg API'] of Unique Inputs (WATER)], MATCH(Table_Process_Details[[#This Row],[Unique Inputs Sorted by '[Energy (MJ) per kg API']]],Table_Process_Details[Unique Process Inputs],0))</f>
        <v>#N/A</v>
      </c>
      <c r="EP99" s="22" t="e">
        <f ca="1">INDEX(Table_Process_Details[Total '[Energy (MJ) per kg API'] of Unique Inputs (ENZ&amp;PLNT)], MATCH(Table_Process_Details[[#This Row],[Unique Inputs Sorted by '[Energy (MJ) per kg API']]],Table_Process_Details[Unique Process Inputs],0))</f>
        <v>#N/A</v>
      </c>
      <c r="EQ99" s="22" t="e">
        <f ca="1">INDEX(Table_Process_Details[Total '[Energy (MJ) per kg API'] of Unique Inputs (OTHER)], MATCH(Table_Process_Details[[#This Row],[Unique Inputs Sorted by '[Energy (MJ) per kg API']]],Table_Process_Details[Unique Process Inputs],0))</f>
        <v>#N/A</v>
      </c>
      <c r="ER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36.963594000000001</v>
      </c>
      <c r="ES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36.963594000000001</v>
      </c>
      <c r="EV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99"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99" s="22">
        <f ca="1">SUMIFS(Table_Process_Details[RV GWP (kg CO2 equiv.) per kg API],Table_Process_Details[Display Name],Table_Process_Details[[#This Row],[Unique Process Inputs]],Table_Process_Details[Input or Output],"Input")</f>
        <v>0</v>
      </c>
      <c r="EZ99" s="1">
        <f ca="1">SUMIFS(Table_Process_Details[RV GWP (kg CO2 equiv.) per kg API (REAGENT)],Table_Process_Details[Display Name],Table_Process_Details[[#This Row],[Unique Process Inputs]],Table_Process_Details[Input or Output],"Input")</f>
        <v>0</v>
      </c>
      <c r="FA99" s="1">
        <f ca="1">SUMIFS(Table_Process_Details[RV GWP (kg CO2 equiv.) per kg API (METAL)],Table_Process_Details[Display Name],Table_Process_Details[[#This Row],[Unique Process Inputs]],Table_Process_Details[Input or Output],"Input")</f>
        <v>0</v>
      </c>
      <c r="FB99" s="1">
        <f ca="1">SUMIFS(Table_Process_Details[RV GWP (kg CO2 equiv.) per kg API (SOLVENT)],Table_Process_Details[Display Name],Table_Process_Details[[#This Row],[Unique Process Inputs]],Table_Process_Details[Input or Output],"Input")</f>
        <v>0</v>
      </c>
      <c r="FC99" s="1">
        <f ca="1">SUMIFS(Table_Process_Details[RV GWP (kg CO2 equiv.) per kg API (WATER)],Table_Process_Details[Display Name],Table_Process_Details[[#This Row],[Unique Process Inputs]],Table_Process_Details[Input or Output],"Input")</f>
        <v>0</v>
      </c>
      <c r="FD99" s="1">
        <f ca="1">SUMIFS(Table_Process_Details[RV GWP (kg CO2 equiv.) per kg API (ENZ&amp;PLNT)],Table_Process_Details[Display Name],Table_Process_Details[[#This Row],[Unique Process Inputs]],Table_Process_Details[Input or Output],"Input")</f>
        <v>0</v>
      </c>
      <c r="FE99" s="1">
        <f ca="1">SUMIFS(Table_Process_Details[RV GWP (kg CO2 equiv.) per kg API (OTHER)],Table_Process_Details[Display Name],Table_Process_Details[[#This Row],[Unique Process Inputs]],Table_Process_Details[Input or Output],"Input")</f>
        <v>0</v>
      </c>
      <c r="FF99" s="22" t="e">
        <f ca="1">INDEX(Table_Process_Details[Unique Process Inputs],MATCH(Table_Process_Details[[#This Row],['[GWP (kg CO2 equiv.) per kg API'] of Unique Inputs Sorted by '[GWP (kg CO2 equiv.) per kg API']]],Table_Process_Details[Total '[GWP (kg CO2 equiv.) per kg API'] of Unique Inputs],0))</f>
        <v>#N/A</v>
      </c>
      <c r="FG99" s="22" t="e">
        <f ca="1">IF(LARGE(Table_Process_Details[Total '[GWP (kg CO2 equiv.) per kg API'] of Unique Inputs],Table_Process_Details[[#This Row],[Table Row]])=0,NA(),LARGE(Table_Process_Details[Total '[GWP (kg CO2 equiv.) per kg API'] of Unique Inputs],Table_Process_Details[[#This Row],[Table Row]]))</f>
        <v>#N/A</v>
      </c>
      <c r="FH99" s="22" t="e">
        <f ca="1">SUM(OFFSET(Table_Process_Details['[GWP (kg CO2 equiv.) per kg API'] of Unique Inputs Sorted by '[GWP (kg CO2 equiv.) per kg API']],0,0,Table_Process_Details[[#This Row],[Table Row]]))</f>
        <v>#N/A</v>
      </c>
      <c r="FI99" s="22" t="e">
        <f ca="1">"("&amp;TEXT(Table_Process_Details[[#This Row],['[GWP (kg CO2 equiv.) per kg API'] of Unique Inputs Sorted by '[GWP (kg CO2 equiv.) per kg API']]]/SUMIF(Table_Process_Details['[GWP (kg CO2 equiv.) per kg API'] of Unique Inputs Sorted by '[GWP (kg CO2 equiv.) per kg API']],"&lt;&gt;#N/A"),"0%")&amp;")"</f>
        <v>#N/A</v>
      </c>
      <c r="FJ99" s="22" t="e">
        <f ca="1">INDEX(Table_Process_Details[Total '[GWP (kg CO2 equiv.) per kg API'] of Unique Inputs (REAGENT)], MATCH(Table_Process_Details[[#This Row],[Unique Inputs Sorted by '[GWP (kg CO2 equiv.) per kg API']]],Table_Process_Details[Unique Process Inputs],0))</f>
        <v>#N/A</v>
      </c>
      <c r="FK99" s="22" t="e">
        <f ca="1">INDEX(Table_Process_Details[Total '[GWP (kg CO2 equiv.) per kg API'] of Unique Inputs (METAL)], MATCH(Table_Process_Details[[#This Row],[Unique Inputs Sorted by '[GWP (kg CO2 equiv.) per kg API']]],Table_Process_Details[Unique Process Inputs],0))</f>
        <v>#N/A</v>
      </c>
      <c r="FL99" s="22" t="e">
        <f ca="1">INDEX(Table_Process_Details[Total '[GWP (kg CO2 equiv.) per kg API'] of Unique Inputs (SOLVENT)], MATCH(Table_Process_Details[[#This Row],[Unique Inputs Sorted by '[GWP (kg CO2 equiv.) per kg API']]],Table_Process_Details[Unique Process Inputs],0))</f>
        <v>#N/A</v>
      </c>
      <c r="FM99" s="22" t="e">
        <f ca="1">INDEX(Table_Process_Details[Total '[GWP (kg CO2 equiv.) per kg API'] of Unique Inputs (WATER)], MATCH(Table_Process_Details[[#This Row],[Unique Inputs Sorted by '[GWP (kg CO2 equiv.) per kg API']]],Table_Process_Details[Unique Process Inputs],0))</f>
        <v>#N/A</v>
      </c>
      <c r="FN99" s="22" t="e">
        <f ca="1">INDEX(Table_Process_Details[Total '[GWP (kg CO2 equiv.) per kg API'] of Unique Inputs (ENZ&amp;PLNT)], MATCH(Table_Process_Details[[#This Row],[Unique Inputs Sorted by '[GWP (kg CO2 equiv.) per kg API']]],Table_Process_Details[Unique Process Inputs],0))</f>
        <v>#N/A</v>
      </c>
      <c r="FO99" s="22" t="e">
        <f ca="1">INDEX(Table_Process_Details[Total '[GWP (kg CO2 equiv.) per kg API'] of Unique Inputs (OTHER)], MATCH(Table_Process_Details[[#This Row],[Unique Inputs Sorted by '[GWP (kg CO2 equiv.) per kg API']]],Table_Process_Details[Unique Process Inputs],0))</f>
        <v>#N/A</v>
      </c>
      <c r="FP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0.15487351999999999</v>
      </c>
      <c r="FQ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0.15487351999999999</v>
      </c>
      <c r="FT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99"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99" s="22">
        <f ca="1">SUMIFS(Table_Process_Details[RV Acidification (kg SO2 equiv.) per kg API],Table_Process_Details[Display Name],Table_Process_Details[[#This Row],[Unique Process Inputs]],Table_Process_Details[Input or Output],"Input")</f>
        <v>0</v>
      </c>
      <c r="FX99" s="1">
        <f ca="1">SUMIFS(Table_Process_Details[RV Acidification (kg SO2 equiv.) per kg API (REAGENT)],Table_Process_Details[Display Name],Table_Process_Details[[#This Row],[Unique Process Inputs]],Table_Process_Details[Input or Output],"Input")</f>
        <v>0</v>
      </c>
      <c r="FY99" s="1">
        <f ca="1">SUMIFS(Table_Process_Details[RV Acidification (kg SO2 equiv.) per kg API (METAL)],Table_Process_Details[Display Name],Table_Process_Details[[#This Row],[Unique Process Inputs]],Table_Process_Details[Input or Output],"Input")</f>
        <v>0</v>
      </c>
      <c r="FZ99" s="1">
        <f ca="1">SUMIFS(Table_Process_Details[RV Acidification (kg SO2 equiv.) per kg API (SOLVENT)],Table_Process_Details[Display Name],Table_Process_Details[[#This Row],[Unique Process Inputs]],Table_Process_Details[Input or Output],"Input")</f>
        <v>0</v>
      </c>
      <c r="GA99" s="1">
        <f ca="1">SUMIFS(Table_Process_Details[RV Acidification (kg SO2 equiv.) per kg API (WATER)],Table_Process_Details[Display Name],Table_Process_Details[[#This Row],[Unique Process Inputs]],Table_Process_Details[Input or Output],"Input")</f>
        <v>0</v>
      </c>
      <c r="GB99" s="1">
        <f ca="1">SUMIFS(Table_Process_Details[RV Acidification (kg SO2 equiv.) per kg API (ENZ&amp;PLNT)],Table_Process_Details[Display Name],Table_Process_Details[[#This Row],[Unique Process Inputs]],Table_Process_Details[Input or Output],"Input")</f>
        <v>0</v>
      </c>
      <c r="GC99" s="1">
        <f ca="1">SUMIFS(Table_Process_Details[RV Acidification (kg SO2 equiv.) per kg API (OTHER)],Table_Process_Details[Display Name],Table_Process_Details[[#This Row],[Unique Process Inputs]],Table_Process_Details[Input or Output],"Input")</f>
        <v>0</v>
      </c>
      <c r="GD99"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99"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99" s="22" t="e">
        <f ca="1">SUM(OFFSET(Table_Process_Details['[Acidification (kg SO2 equiv.) per kg API'] of Unique Inputs Sorted by '[Acidification (kg SO2 equiv.) per kg API']],0,0,Table_Process_Details[[#This Row],[Table Row]]))</f>
        <v>#N/A</v>
      </c>
      <c r="GG99"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99" s="22" t="e">
        <f ca="1">INDEX(Table_Process_Details[Total '[Acidification (kg SO2 equiv.) per kg API'] of Unique Inputs (REAGENT)], MATCH(Table_Process_Details[[#This Row],[Unique Inputs Sorted by '[Acidification (kg SO2 equiv.) per kg API']]],Table_Process_Details[Unique Process Inputs],0))</f>
        <v>#N/A</v>
      </c>
      <c r="GI99" s="22" t="e">
        <f ca="1">INDEX(Table_Process_Details[Total '[Acidification (kg SO2 equiv.) per kg API'] of Unique Inputs (METAL)], MATCH(Table_Process_Details[[#This Row],[Unique Inputs Sorted by '[Acidification (kg SO2 equiv.) per kg API']]],Table_Process_Details[Unique Process Inputs],0))</f>
        <v>#N/A</v>
      </c>
      <c r="GJ99" s="22" t="e">
        <f ca="1">INDEX(Table_Process_Details[Total '[Acidification (kg SO2 equiv.) per kg API'] of Unique Inputs (SOLVENT)], MATCH(Table_Process_Details[[#This Row],[Unique Inputs Sorted by '[Acidification (kg SO2 equiv.) per kg API']]],Table_Process_Details[Unique Process Inputs],0))</f>
        <v>#N/A</v>
      </c>
      <c r="GK99" s="22" t="e">
        <f ca="1">INDEX(Table_Process_Details[Total '[Acidification (kg SO2 equiv.) per kg API'] of Unique Inputs (WATER)], MATCH(Table_Process_Details[[#This Row],[Unique Inputs Sorted by '[Acidification (kg SO2 equiv.) per kg API']]],Table_Process_Details[Unique Process Inputs],0))</f>
        <v>#N/A</v>
      </c>
      <c r="GL99" s="22" t="e">
        <f ca="1">INDEX(Table_Process_Details[Total '[Acidification (kg SO2 equiv.) per kg API'] of Unique Inputs (ENZ&amp;PLNT)], MATCH(Table_Process_Details[[#This Row],[Unique Inputs Sorted by '[Acidification (kg SO2 equiv.) per kg API']]],Table_Process_Details[Unique Process Inputs],0))</f>
        <v>#N/A</v>
      </c>
      <c r="GM99" s="22" t="e">
        <f ca="1">INDEX(Table_Process_Details[Total '[Acidification (kg SO2 equiv.) per kg API'] of Unique Inputs (OTHER)], MATCH(Table_Process_Details[[#This Row],[Unique Inputs Sorted by '[Acidification (kg SO2 equiv.) per kg API']]],Table_Process_Details[Unique Process Inputs],0))</f>
        <v>#N/A</v>
      </c>
      <c r="GN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8.4418941999999997E-2</v>
      </c>
      <c r="GO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8.4418941999999997E-2</v>
      </c>
      <c r="GR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99"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99" s="22">
        <f ca="1">SUMIFS(Table_Process_Details[RV Eutrophication (kg phosphate equiv.) per kg API],Table_Process_Details[Display Name],Table_Process_Details[[#This Row],[Unique Process Inputs]],Table_Process_Details[Input or Output],"Input")</f>
        <v>0</v>
      </c>
      <c r="GV99" s="1">
        <f ca="1">SUMIFS(Table_Process_Details[RV Eutrophication (kg phosphate equiv.) per kg API (REAGENT)],Table_Process_Details[Display Name],Table_Process_Details[[#This Row],[Unique Process Inputs]],Table_Process_Details[Input or Output],"Input")</f>
        <v>0</v>
      </c>
      <c r="GW99" s="1">
        <f ca="1">SUMIFS(Table_Process_Details[RV Eutrophication (kg phosphate equiv.) per kg API (METAL)],Table_Process_Details[Display Name],Table_Process_Details[[#This Row],[Unique Process Inputs]],Table_Process_Details[Input or Output],"Input")</f>
        <v>0</v>
      </c>
      <c r="GX99" s="1">
        <f ca="1">SUMIFS(Table_Process_Details[RV Eutrophication (kg phosphate equiv.) per kg API (SOLVENT)],Table_Process_Details[Display Name],Table_Process_Details[[#This Row],[Unique Process Inputs]],Table_Process_Details[Input or Output],"Input")</f>
        <v>0</v>
      </c>
      <c r="GY99" s="1">
        <f ca="1">SUMIFS(Table_Process_Details[RV Eutrophication (kg phosphate equiv.) per kg API (WATER)],Table_Process_Details[Display Name],Table_Process_Details[[#This Row],[Unique Process Inputs]],Table_Process_Details[Input or Output],"Input")</f>
        <v>0</v>
      </c>
      <c r="GZ99" s="1">
        <f ca="1">SUMIFS(Table_Process_Details[RV Eutrophication (kg phosphate equiv.) per kg API (ENZ&amp;PLNT)],Table_Process_Details[Display Name],Table_Process_Details[[#This Row],[Unique Process Inputs]],Table_Process_Details[Input or Output],"Input")</f>
        <v>0</v>
      </c>
      <c r="HA99" s="1">
        <f ca="1">SUMIFS(Table_Process_Details[RV Eutrophication (kg phosphate equiv.) per kg API (OTHER)],Table_Process_Details[Display Name],Table_Process_Details[[#This Row],[Unique Process Inputs]],Table_Process_Details[Input or Output],"Input")</f>
        <v>0</v>
      </c>
      <c r="HB99"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99"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99" s="22" t="e">
        <f ca="1">SUM(OFFSET(Table_Process_Details['[Eutrophication (kg posphate equiv.) per kg API'] of Unique Inputs Sorted by '[Eutrophication (kg posphate equiv.) per kg API']],0,0,Table_Process_Details[[#This Row],[Table Row]]))</f>
        <v>#N/A</v>
      </c>
      <c r="HE99"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99" s="1" t="e">
        <f ca="1">INDEX(Table_Process_Details[Total '[Eutrophication (kg posphate equiv.) per kg API'] of Unique Inputs (REAGENT)], MATCH(Table_Process_Details[[#This Row],[Unique Inputs Sorted by '[Eutrophication (kg posphate equiv.) per kg API']]],Table_Process_Details[Unique Process Inputs],0))</f>
        <v>#N/A</v>
      </c>
      <c r="HG99" s="1" t="e">
        <f ca="1">INDEX(Table_Process_Details[Total '[Eutrophication (kg posphate equiv.) per kg API'] of Unique Inputs (METAL)], MATCH(Table_Process_Details[[#This Row],[Unique Inputs Sorted by '[Eutrophication (kg posphate equiv.) per kg API']]],Table_Process_Details[Unique Process Inputs],0))</f>
        <v>#N/A</v>
      </c>
      <c r="HH99" s="1" t="e">
        <f ca="1">INDEX(Table_Process_Details[Total '[Eutrophication (kg posphate equiv.) per kg API'] of Unique Inputs (SOLVENT)], MATCH(Table_Process_Details[[#This Row],[Unique Inputs Sorted by '[Eutrophication (kg posphate equiv.) per kg API']]],Table_Process_Details[Unique Process Inputs],0))</f>
        <v>#N/A</v>
      </c>
      <c r="HI99" s="1" t="e">
        <f ca="1">INDEX(Table_Process_Details[Total '[Eutrophication (kg posphate equiv.) per kg API'] of Unique Inputs (WATER)], MATCH(Table_Process_Details[[#This Row],[Unique Inputs Sorted by '[Eutrophication (kg posphate equiv.) per kg API']]],Table_Process_Details[Unique Process Inputs],0))</f>
        <v>#N/A</v>
      </c>
      <c r="HJ99" s="1" t="e">
        <f ca="1">INDEX(Table_Process_Details[Total '[Eutrophication (kg posphate equiv.) per kg API'] of Unique Inputs (ENZ&amp;PLNT)], MATCH(Table_Process_Details[[#This Row],[Unique Inputs Sorted by '[Eutrophication (kg posphate equiv.) per kg API']]],Table_Process_Details[Unique Process Inputs],0))</f>
        <v>#N/A</v>
      </c>
      <c r="HK99" s="1" t="e">
        <f ca="1">INDEX(Table_Process_Details[Total '[Eutrophication (kg posphate equiv.) per kg API'] of Unique Inputs (OTHER)], MATCH(Table_Process_Details[[#This Row],[Unique Inputs Sorted by '[Eutrophication (kg posphate equiv.) per kg API']]],Table_Process_Details[Unique Process Inputs],0))</f>
        <v>#N/A</v>
      </c>
      <c r="HL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346.3614</v>
      </c>
      <c r="HM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346.3614</v>
      </c>
      <c r="HP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99"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99" s="1">
        <f ca="1">SUMIFS(Table_Process_Details[RV Water (kg) per kg API],Table_Process_Details[Display Name],Table_Process_Details[[#This Row],[Unique Process Inputs]],Table_Process_Details[Input or Output],"Input")</f>
        <v>0</v>
      </c>
      <c r="HT99" s="1">
        <f ca="1">SUMIFS(Table_Process_Details[RV Water (kg) per kg API (REAGENT)],Table_Process_Details[Display Name],Table_Process_Details[[#This Row],[Unique Process Inputs]],Table_Process_Details[Input or Output],"Input")</f>
        <v>0</v>
      </c>
      <c r="HU99" s="1">
        <f ca="1">SUMIFS(Table_Process_Details[RV Water (kg) per kg API (METAL)],Table_Process_Details[Display Name],Table_Process_Details[[#This Row],[Unique Process Inputs]],Table_Process_Details[Input or Output],"Input")</f>
        <v>0</v>
      </c>
      <c r="HV99" s="1">
        <f ca="1">SUMIFS(Table_Process_Details[RV Water (kg) per kg API (SOLVENT)],Table_Process_Details[Display Name],Table_Process_Details[[#This Row],[Unique Process Inputs]],Table_Process_Details[Input or Output],"Input")</f>
        <v>0</v>
      </c>
      <c r="HW99" s="1">
        <f ca="1">SUMIFS(Table_Process_Details[RV Water (kg) per kg API (WATER)],Table_Process_Details[Display Name],Table_Process_Details[[#This Row],[Unique Process Inputs]],Table_Process_Details[Input or Output],"Input")</f>
        <v>0</v>
      </c>
      <c r="HX99" s="1">
        <f ca="1">SUMIFS(Table_Process_Details[RV Water (kg) per kg API (ENZ&amp;PLNT)],Table_Process_Details[Display Name],Table_Process_Details[[#This Row],[Unique Process Inputs]],Table_Process_Details[Input or Output],"Input")</f>
        <v>0</v>
      </c>
      <c r="HY99" s="1">
        <f ca="1">SUMIFS(Table_Process_Details[RV Water (kg) per kg API (OTHER)],Table_Process_Details[Display Name],Table_Process_Details[[#This Row],[Unique Process Inputs]],Table_Process_Details[Input or Output],"Input")</f>
        <v>0</v>
      </c>
      <c r="HZ99" s="22" t="e">
        <f ca="1">INDEX(Table_Process_Details[Unique Process Inputs],MATCH(Table_Process_Details[[#This Row],['[Water (kg) per kg API'] of Unique Inputs Sorted by '[Water (kg) per kg API']]],Table_Process_Details[Total '[Water (kg) per kg API'] of Unique Inputs],0))</f>
        <v>#N/A</v>
      </c>
      <c r="IA99" s="22" t="e">
        <f ca="1">IF(LARGE(Table_Process_Details[Total '[Water (kg) per kg API'] of Unique Inputs],Table_Process_Details[[#This Row],[Table Row]])=0,NA(),LARGE(Table_Process_Details[Total '[Water (kg) per kg API'] of Unique Inputs],Table_Process_Details[[#This Row],[Table Row]]))</f>
        <v>#N/A</v>
      </c>
      <c r="IB99" s="1" t="e">
        <f ca="1">SUM(OFFSET(Table_Process_Details['[Water (kg) per kg API'] of Unique Inputs Sorted by '[Water (kg) per kg API']],0,0,Table_Process_Details[[#This Row],[Table Row]]))</f>
        <v>#N/A</v>
      </c>
      <c r="IC99" s="1" t="e">
        <f ca="1">"("&amp;TEXT(Table_Process_Details[[#This Row],['[Water (kg) per kg API'] of Unique Inputs Sorted by '[Water (kg) per kg API']]]/SUMIF(Table_Process_Details['[Water (kg) per kg API'] of Unique Inputs Sorted by '[Water (kg) per kg API']],"&lt;&gt;#N/A"),"0%")&amp;")"</f>
        <v>#N/A</v>
      </c>
      <c r="ID99" s="1" t="e">
        <f ca="1">INDEX(Table_Process_Details[Total '[Water (kg) per kg API'] of Unique Inputs (REAGENT)], MATCH(Table_Process_Details[[#This Row],[Unique Inputs Sorted by '[Water (kg) per kg API']]],Table_Process_Details[Unique Process Inputs],0))</f>
        <v>#N/A</v>
      </c>
      <c r="IE99" s="1" t="e">
        <f ca="1">INDEX(Table_Process_Details[Total '[Water (kg) per kg API'] of Unique Inputs (METAL)], MATCH(Table_Process_Details[[#This Row],[Unique Inputs Sorted by '[Water (kg) per kg API']]],Table_Process_Details[Unique Process Inputs],0))</f>
        <v>#N/A</v>
      </c>
      <c r="IF99" s="1" t="e">
        <f ca="1">INDEX(Table_Process_Details[Total '[Water (kg) per kg API'] of Unique Inputs (SOLVENT)], MATCH(Table_Process_Details[[#This Row],[Unique Inputs Sorted by '[Water (kg) per kg API']]],Table_Process_Details[Unique Process Inputs],0))</f>
        <v>#N/A</v>
      </c>
      <c r="IG99" s="1" t="e">
        <f ca="1">INDEX(Table_Process_Details[Total '[Water (kg) per kg API'] of Unique Inputs (WATER)], MATCH(Table_Process_Details[[#This Row],[Unique Inputs Sorted by '[Water (kg) per kg API']]],Table_Process_Details[Unique Process Inputs],0))</f>
        <v>#N/A</v>
      </c>
      <c r="IH99" s="1" t="e">
        <f ca="1">INDEX(Table_Process_Details[Total '[Water (kg) per kg API'] of Unique Inputs (ENZ&amp;PLNT)], MATCH(Table_Process_Details[[#This Row],[Unique Inputs Sorted by '[Water (kg) per kg API']]],Table_Process_Details[Unique Process Inputs],0))</f>
        <v>#N/A</v>
      </c>
      <c r="II99" s="1" t="e">
        <f ca="1">INDEX(Table_Process_Details[Total '[Water (kg) per kg API'] of Unique Inputs (OTHER)], MATCH(Table_Process_Details[[#This Row],[Unique Inputs Sorted by '[Water (kg) per kg API']]],Table_Process_Details[Unique Process Inputs],0))</f>
        <v>#N/A</v>
      </c>
    </row>
    <row r="100" spans="1:243" customFormat="1" x14ac:dyDescent="0.25">
      <c r="A100" s="22" t="str">
        <f t="shared" si="4"/>
        <v>5) Pure Step</v>
      </c>
      <c r="B100" s="21" t="s">
        <v>5</v>
      </c>
      <c r="C100" s="21" t="s">
        <v>155</v>
      </c>
      <c r="D100" s="22" t="s">
        <v>155</v>
      </c>
      <c r="E100" s="22" t="str">
        <f>'1. Define Process Steps'!C26</f>
        <v>Fictional API</v>
      </c>
      <c r="F100" s="26">
        <v>28</v>
      </c>
      <c r="G100" s="26"/>
      <c r="H100" s="26"/>
      <c r="I100" s="26"/>
      <c r="J100" s="26" t="str">
        <f>INDEX(Process_Steps[Reference],MATCH(Table_Process_Details[[#This Row],[Step Name]],Process_Steps[Name],0))</f>
        <v>Reference Document for API step</v>
      </c>
      <c r="K100" s="27" t="str">
        <f>INDEX(Process_Steps[Real or Virtual?],MATCH(Table_Process_Details[[#This Row],[Step Name]],Process_Steps[Name],0))</f>
        <v>Real</v>
      </c>
      <c r="L100" s="26"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00" s="26"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00" s="26">
        <f>INDEX(Table_Process_Details[Physical Mass (kg)],MATCH(1,INDEX(((Table_Process_Details[Step Name]=Table_Process_Details[[#This Row],[Step Name]])*(Table_Process_Details[Input or Output]="Output")),0),0))</f>
        <v>28</v>
      </c>
      <c r="O100" s="29">
        <f ca="1">INDEX(Process_Steps[Step Scale Factor for 1kg Packaged API],MATCH(Table_Process_Details[[#This Row],[Step Name]],Process_Steps[Name],0))</f>
        <v>0.04</v>
      </c>
      <c r="P100" s="26">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20</v>
      </c>
      <c r="Q100" s="26">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1</v>
      </c>
      <c r="R100" s="26">
        <f ca="1">_xlfn.SWITCH(Run_Reset_PNG,"Reset",Table_Process_Details[[#This Row],[X Init]],"Run",Table_Process_Details[[#This Row],[X Moved]],"Freeze",Table_Process_Details[[#This Row],[X Mover]])</f>
        <v>29.895118457910893</v>
      </c>
      <c r="S100" s="26">
        <f ca="1">_xlfn.SWITCH(Run_Reset_PNG,"Reset",Table_Process_Details[[#This Row],[Y Init]],"Run",Table_Process_Details[[#This Row],[Y Moved]],"Freeze",Table_Process_Details[[#This Row],[Y Mover]])</f>
        <v>4.5668200309955704</v>
      </c>
      <c r="T100" s="26" cm="1">
        <f t="array" aca="1" ref="T100"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1.2477499412191289</v>
      </c>
      <c r="U100" s="26" cm="1">
        <f t="array" aca="1" ref="U100"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1.3642861705876508</v>
      </c>
      <c r="V100" s="26" cm="1">
        <f t="array" aca="1" ref="V100" ca="1">SUM(--(SQRT((Table_Process_Details[[#This Row],[X Mover]]-Table_Process_Details[X Mover])^2+(Table_Process_Details[[#This Row],[Y Mover]]-Table_Process_Details[Y Mover])^2)&lt;Collision_Distance))</f>
        <v>10</v>
      </c>
      <c r="W100" s="26" cm="1">
        <f t="array" aca="1" ref="W100"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-5.4921606358666053E-2</v>
      </c>
      <c r="X100" s="26" cm="1">
        <f t="array" aca="1" ref="X100"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-0.67925493018779892</v>
      </c>
      <c r="Y100" s="26" cm="1">
        <f t="array" aca="1" ref="Y100"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7</v>
      </c>
      <c r="Z100" s="26">
        <f>0</f>
        <v>0</v>
      </c>
      <c r="AA100" s="26">
        <f>0</f>
        <v>0</v>
      </c>
      <c r="AB100" s="26">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-14.947559228955447</v>
      </c>
      <c r="AC100" s="26" cm="1">
        <f t="array" aca="1" ref="AC100"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-2.2834100154977852</v>
      </c>
      <c r="AD100" s="26">
        <f>MIN(1,COUNTA(Table_Process_Details[[#This Row],[target x]]),COUNTA(Table_Process_Details[[#This Row],[target y]]))*COUNTA(Table_Process_Details[Step Name])</f>
        <v>98</v>
      </c>
      <c r="AE100" s="26">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29.859521393686105</v>
      </c>
      <c r="AF100" s="26">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4.5829121272571225</v>
      </c>
      <c r="AG100" s="26"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100" s="26" t="e" cm="1">
        <f t="array" ref="AH100">INDEX(Table_Process_Details[X Mover],MATCH(1,INDEX((Table_Process_Details[Input or Output]="Output")*(Table_Process_Details[Step Name]=Table_Process_Details[[#This Row],[Step Name]])*(Table_Process_Details[[#This Row],[Input or Output]]="Input"),0),0))</f>
        <v>#N/A</v>
      </c>
      <c r="AI100" s="26" t="e" cm="1">
        <f t="array" ref="AI100">INDEX(Table_Process_Details[Y Mover],MATCH(1,INDEX((Table_Process_Details[Input or Output]="Output")*(Table_Process_Details[Step Name]=Table_Process_Details[[#This Row],[Step Name]])*(Table_Process_Details[[#This Row],[Input or Output]]="Input"),0),0))</f>
        <v>#N/A</v>
      </c>
      <c r="AJ100" s="26" t="e">
        <f>SQRT((Table_Process_Details[[#This Row],[X End (To Node Center)]]-Table_Process_Details[[#This Row],[X Guide]])^2+(Table_Process_Details[[#This Row],[Y End (to Node Center)]]-Table_Process_Details[[#This Row],[Y Guide]])^2)</f>
        <v>#N/A</v>
      </c>
      <c r="AK100" s="26" t="e" cm="1">
        <f t="array" ref="AK100">INDEX(Table_Process_Details[X Mover],MATCH(1,INDEX((Table_Process_Details[Step Name]=Table_Process_Details[[#This Row],[LCA Data Source Subclass]])*(Table_Process_Details[Input or Output]="Output"),0)*(Table_Process_Details[[#This Row],[Input or Output]]="Input"),0))</f>
        <v>#N/A</v>
      </c>
      <c r="AL100" s="26" t="e" cm="1">
        <f t="array" ref="AL100">INDEX(Table_Process_Details[X Mover],MATCH(1,INDEX(((Table_Process_Details[Table Row]=Table_Process_Details[[#This Row],[Table Row]])*(1)),0)*(Table_Process_Details[[#This Row],[Input or Output]]="Input"),0))</f>
        <v>#N/A</v>
      </c>
      <c r="AM100" s="26" t="e" cm="1">
        <f t="array" ref="AM100">(Table_Process_Details[[#This Row],[X End (To Node Center)]]*Table_Process_Details[[#This Row],[r0]]-Table_Process_Details[[#This Row],[X End (To Node Center)]]*Arrow_Offset+Table_Process_Details[[#This Row],[X Guide]]*Arrow_Offset)/Table_Process_Details[[#This Row],[r0]]</f>
        <v>#N/A</v>
      </c>
      <c r="AN100" s="26" t="e">
        <f>IF(NOT(Table_Process_Details[[#This Row],[Display As]]="None"),Table_Process_Details[[#This Row],[X Start Prefilter]],NA())</f>
        <v>#N/A</v>
      </c>
      <c r="AO100" s="26" t="e">
        <f>IF(NOT(Table_Process_Details[[#This Row],[Display As]]="None"),Table_Process_Details[[#This Row],[X Guide Prefilter]],NA())</f>
        <v>#N/A</v>
      </c>
      <c r="AP100" s="26" t="e">
        <f>IF(NOT(Table_Process_Details[[#This Row],[Display As]]="None"),Table_Process_Details[[#This Row],[X End (to Stop Radius) Prefilter]],NA())</f>
        <v>#N/A</v>
      </c>
      <c r="AQ100" s="26" t="e">
        <f>NA()</f>
        <v>#N/A</v>
      </c>
      <c r="AR100" s="26" t="e" cm="1">
        <f t="array" ref="AR100">INDEX(Table_Process_Details[Y Mover],MATCH(1,INDEX((Table_Process_Details[Step Name]=Table_Process_Details[[#This Row],[LCA Data Source Subclass]])*(Table_Process_Details[Input or Output]="Output"),0)*(Table_Process_Details[[#This Row],[Input or Output]]="Input"),0))</f>
        <v>#N/A</v>
      </c>
      <c r="AS100" s="26" t="e" cm="1">
        <f t="array" ref="AS100">INDEX(Table_Process_Details[Y Mover],MATCH(1,INDEX(((Table_Process_Details[Table Row]=Table_Process_Details[[#This Row],[Table Row]])*(1)),0)*(Table_Process_Details[[#This Row],[Input or Output]]="Input"),0))</f>
        <v>#N/A</v>
      </c>
      <c r="AT100" s="26" t="e" cm="1">
        <f t="array" ref="AT100">(Table_Process_Details[[#This Row],[Y Guide]]*Arrow_Offset-Table_Process_Details[[#This Row],[Y End (to Node Center)]]*Arrow_Offset+Table_Process_Details[[#This Row],[Y End (to Node Center)]]*Table_Process_Details[[#This Row],[r0]])/Table_Process_Details[[#This Row],[r0]]</f>
        <v>#N/A</v>
      </c>
      <c r="AU100" s="26" t="e">
        <f>IF(NOT(Table_Process_Details[[#This Row],[Display As]]="None"),Table_Process_Details[[#This Row],[Y Start Prefilter]],NA())</f>
        <v>#N/A</v>
      </c>
      <c r="AV100" s="26" t="e">
        <f>IF(NOT(Table_Process_Details[[#This Row],[Display As]]="None"),Table_Process_Details[[#This Row],[Y Guide Prefilter]],NA())</f>
        <v>#N/A</v>
      </c>
      <c r="AW100" s="26" t="e">
        <f>IF(NOT(Table_Process_Details[[#This Row],[Display As]]="None"),Table_Process_Details[[#This Row],[Y End (to Stop Radius) Prefilter]],NA())</f>
        <v>#N/A</v>
      </c>
      <c r="AX100" s="26" t="e">
        <f>NA()</f>
        <v>#N/A</v>
      </c>
      <c r="AY100" s="26">
        <f ca="1">IF(Table_Process_Details[[#This Row],[Display As]]="Real Step",Table_Process_Details[[#This Row],[X Mover]],NA())</f>
        <v>29.895118457910893</v>
      </c>
      <c r="AZ100" s="26">
        <f ca="1">IF(Table_Process_Details[[#This Row],[Display As]]="Real Step",Table_Process_Details[[#This Row],[Y Mover]],NA())</f>
        <v>4.5668200309955704</v>
      </c>
      <c r="BA100" s="26" t="e">
        <f>IF(Table_Process_Details[[#This Row],[Display As]]="Raw Material",Table_Process_Details[[#This Row],[X Mover]],NA())</f>
        <v>#N/A</v>
      </c>
      <c r="BB100" s="26" t="e">
        <f>IF(Table_Process_Details[[#This Row],[Display As]]="Raw Material",Table_Process_Details[[#This Row],[Y Mover]],NA())</f>
        <v>#N/A</v>
      </c>
      <c r="BC100" s="26">
        <f ca="1">IF(OR(Table_Process_Details[[#This Row],[Display As]]="Real Step",Table_Process_Details[[#This Row],[Display As]]="Raw Material"),Table_Process_Details[[#This Row],[X Mover]],NA())</f>
        <v>29.895118457910893</v>
      </c>
      <c r="BD100" s="26">
        <f ca="1">IF(OR(Table_Process_Details[[#This Row],[Display As]]="Real Step",Table_Process_Details[[#This Row],[Display As]]="Raw Material"),Table_Process_Details[[#This Row],[Y Mover]],NA())</f>
        <v>4.5668200309955704</v>
      </c>
      <c r="BE100" s="22">
        <f>ROW()-ROW(Table_Process_Details[[#Headers],[Table Row]])</f>
        <v>96</v>
      </c>
      <c r="BF100" s="23" t="e" cm="1">
        <f t="array" aca="1" ref="BF100" ca="1">INDEX(Table_Process_Details[Display Name],MATCH(0,IF(Table_Process_Details[Input or Output]="Input",INDEX(COUNTIF(OFFSET(Table_Process_Details[[#Headers],[Unique Process Inputs]],0,0,Table_Process_Details[[#This Row],[Table Row]],1),Table_Process_Details[Display Name]),),""),0))</f>
        <v>#N/A</v>
      </c>
      <c r="BG100" s="23">
        <f ca="1">Table_Process_Details[[#This Row],[Physical Mass (kg)]]*Table_Process_Details[[#This Row],[Step Scale Factor for 1kg Packaged API]]</f>
        <v>1.1200000000000001</v>
      </c>
      <c r="BH100" s="23">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00" s="23">
        <f ca="1">MATCH(Table_Process_Details[[#This Row],[LCA Data Source Class]],INDIRECT(Table_Process_Details[[#This Row],[Input or Output]]),0)</f>
        <v>1</v>
      </c>
      <c r="BJ100" s="23">
        <f ca="1">MATCH(Table_Process_Details[[#This Row],[LCA Data Source Subclass]],INDIRECT(Table_Process_Details[[#This Row],[LCA Data Source Class]]&amp;"[Name]"),0)</f>
        <v>1</v>
      </c>
      <c r="BK100" s="23">
        <f ca="1">IFERROR(INDEX(INDIRECT(Table_Process_Details[[#This Row],[LCA Data Source Class]]&amp;"[Mass Net (kg)]"),MATCH(Table_Process_Details[[#This Row],[LCA Data Source Subclass]],INDIRECT(Table_Process_Details[[#This Row],[LCA Data Source Class]]&amp;"[Name]"),0)),0)</f>
        <v>0</v>
      </c>
      <c r="BL100" s="23">
        <f ca="1">IFERROR(INDEX(INDIRECT(Table_Process_Details[[#This Row],[LCA Data Source Class]]&amp;"[Energy (MJ)]"),MATCH(Table_Process_Details[[#This Row],[LCA Data Source Subclass]],INDIRECT(Table_Process_Details[[#This Row],[LCA Data Source Class]]&amp;"[Name]"),0)),0)</f>
        <v>0</v>
      </c>
      <c r="BM100" s="23">
        <f ca="1">IFERROR(INDEX(INDIRECT(Table_Process_Details[[#This Row],[LCA Data Source Class]]&amp;"[GWP (kg CO2 equiv.)]"),MATCH(Table_Process_Details[[#This Row],[LCA Data Source Subclass]],INDIRECT(Table_Process_Details[[#This Row],[LCA Data Source Class]]&amp;"[Name]"),0)),0)</f>
        <v>0</v>
      </c>
      <c r="BN100" s="23">
        <f ca="1">IFERROR(INDEX(INDIRECT(Table_Process_Details[[#This Row],[LCA Data Source Class]]&amp;"[Acidification (kg SO2 equiv.)]"),MATCH(Table_Process_Details[[#This Row],[LCA Data Source Subclass]],INDIRECT(Table_Process_Details[[#This Row],[LCA Data Source Class]]&amp;"[Name]"),0)),0)</f>
        <v>0</v>
      </c>
      <c r="BO100" s="23">
        <f ca="1">IFERROR(INDEX(INDIRECT(Table_Process_Details[[#This Row],[LCA Data Source Class]]&amp;"[Eutrophication (kg posphate equiv.)]"),MATCH(Table_Process_Details[[#This Row],[LCA Data Source Subclass]],INDIRECT(Table_Process_Details[[#This Row],[LCA Data Source Class]]&amp;"[Name]"),0)),0)</f>
        <v>0</v>
      </c>
      <c r="BP100" s="23">
        <f ca="1">IFERROR(INDEX(INDIRECT(Table_Process_Details[[#This Row],[LCA Data Source Class]]&amp;"[Water (kg)]"),MATCH(Table_Process_Details[[#This Row],[LCA Data Source Subclass]],INDIRECT(Table_Process_Details[[#This Row],[LCA Data Source Class]]&amp;"[Name]"),0)),0)</f>
        <v>0</v>
      </c>
      <c r="BQ100" s="27">
        <f ca="1">(Table_Process_Details[[#This Row],[Input or Output]]="Input")*(Table_Process_Details[[#This Row],[LCA Data Source Class]]&lt;&gt;"Process_Steps")*Table_Process_Details[[#This Row],[Scaled Physical Mass per kg API for All Inputs &amp; Outputs]]</f>
        <v>0</v>
      </c>
      <c r="BR100" s="27">
        <f ca="1">(Table_Process_Details[[#This Row],[Material Class]]="REAGENT")*Table_Process_Details[[#This Row],[Physical Mass per kg API]]</f>
        <v>0</v>
      </c>
      <c r="BS100" s="27">
        <f ca="1">(Table_Process_Details[[#This Row],[Material Class]]="METAL")*Table_Process_Details[[#This Row],[Physical Mass per kg API]]</f>
        <v>0</v>
      </c>
      <c r="BT100" s="27">
        <f ca="1">(Table_Process_Details[[#This Row],[Material Class]]="SOLVENT")*Table_Process_Details[[#This Row],[Physical Mass per kg API]]</f>
        <v>0</v>
      </c>
      <c r="BU100" s="27">
        <f ca="1">(Table_Process_Details[[#This Row],[Material Class]]="WATER")*Table_Process_Details[[#This Row],[Physical Mass per kg API]]</f>
        <v>0</v>
      </c>
      <c r="BV100" s="27">
        <f ca="1">(Table_Process_Details[[#This Row],[Material Class]]="ENZ&amp;PLNT")*Table_Process_Details[[#This Row],[Physical Mass per kg API]]</f>
        <v>0</v>
      </c>
      <c r="BW100" s="27">
        <f ca="1">(Table_Process_Details[[#This Row],[Material Class]]="OTHER")*Table_Process_Details[[#This Row],[Physical Mass per kg API]]</f>
        <v>0</v>
      </c>
      <c r="BX100" s="27">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00" s="27">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00" s="29">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00" s="27">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00" s="27">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00" s="29">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00" s="29">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00" s="1">
        <f ca="1">SUMIFS(Table_Process_Details[RV Physical Mass per kg API],Table_Process_Details[Display Name],Table_Process_Details[[#This Row],[Unique Process Inputs]],Table_Process_Details[Input or Output],"Input")</f>
        <v>0</v>
      </c>
      <c r="CF100" s="1">
        <f ca="1">SUMIFS(Table_Process_Details[RV Physical Mass per kg API (REAGENT)],Table_Process_Details[Display Name],Table_Process_Details[[#This Row],[Unique Process Inputs]],Table_Process_Details[Input or Output],"Input")</f>
        <v>0</v>
      </c>
      <c r="CG100" s="1">
        <f ca="1">SUMIFS(Table_Process_Details[RV Physical Mass per kg API (METAL)],Table_Process_Details[Display Name],Table_Process_Details[[#This Row],[Unique Process Inputs]],Table_Process_Details[Input or Output],"Input")</f>
        <v>0</v>
      </c>
      <c r="CH100" s="1">
        <f ca="1">SUMIFS(Table_Process_Details[RV Physical Mass per kg API (SOLVENT)],Table_Process_Details[Display Name],Table_Process_Details[[#This Row],[Unique Process Inputs]],Table_Process_Details[Input or Output],"Input")</f>
        <v>0</v>
      </c>
      <c r="CI100" s="1">
        <f ca="1">SUMIFS(Table_Process_Details[RV Physical Mass per kg API (WATER)],Table_Process_Details[Display Name],Table_Process_Details[[#This Row],[Unique Process Inputs]],Table_Process_Details[Input or Output],"Input")</f>
        <v>0</v>
      </c>
      <c r="CJ100" s="1">
        <f ca="1">SUMIFS(Table_Process_Details[RV Physical Mass per kg API (ENZ&amp;PLNT)],Table_Process_Details[Display Name],Table_Process_Details[[#This Row],[Unique Process Inputs]],Table_Process_Details[Input or Output],"Input")</f>
        <v>0</v>
      </c>
      <c r="CK100" s="1">
        <f ca="1">SUMIFS(Table_Process_Details[RV Physical Mass per kg API (OTHER)],Table_Process_Details[Display Name],Table_Process_Details[[#This Row],[Unique Process Inputs]],Table_Process_Details[Input or Output],"Input")</f>
        <v>0</v>
      </c>
      <c r="CL100" s="22" t="e">
        <f ca="1">INDEX(Table_Process_Details[Unique Process Inputs],MATCH(Table_Process_Details[[#This Row],['[Physical Mass per kg API'] of Unique Inputs Sorted by '[Physical Mass per kg API']]],Table_Process_Details[Total '[Physical Mass per kg API'] of Unique Inputs],0))</f>
        <v>#N/A</v>
      </c>
      <c r="CM100" s="22" t="e">
        <f ca="1">IF(LARGE(Table_Process_Details[Total '[Physical Mass per kg API'] of Unique Inputs],Table_Process_Details[[#This Row],[Table Row]])=0,NA(),LARGE(Table_Process_Details[Total '[Physical Mass per kg API'] of Unique Inputs],Table_Process_Details[[#This Row],[Table Row]]))</f>
        <v>#N/A</v>
      </c>
      <c r="CN100" s="22" t="e">
        <f ca="1">SUM(OFFSET(Table_Process_Details['[Physical Mass per kg API'] of Unique Inputs Sorted by '[Physical Mass per kg API']],0,0,Table_Process_Details[[#This Row],[Table Row]]))</f>
        <v>#N/A</v>
      </c>
      <c r="CO100" s="22" t="e">
        <f ca="1">"("&amp;TEXT(Table_Process_Details[[#This Row],['[Physical Mass per kg API'] of Unique Inputs Sorted by '[Physical Mass per kg API']]]/SUMIF(Table_Process_Details['[Physical Mass per kg API'] of Unique Inputs Sorted by '[Physical Mass per kg API']],"&lt;&gt;#N/A"),"0%")&amp;")"</f>
        <v>#N/A</v>
      </c>
      <c r="CP100" s="22" t="e">
        <f ca="1">INDEX(Table_Process_Details[Total '[Physical Mass per kg API'] of Unique Inputs (REAGENT)],MATCH(Table_Process_Details[[#This Row],[Unique Inputs Sorted by '[Physical Mass per kg API']]],Table_Process_Details[Unique Process Inputs],0))</f>
        <v>#N/A</v>
      </c>
      <c r="CQ100" s="22" t="e">
        <f ca="1">INDEX(Table_Process_Details[Total '[Physical Mass per kg API'] of Unique Inputs (METAL)],MATCH(Table_Process_Details[[#This Row],[Unique Inputs Sorted by '[Physical Mass per kg API']]],Table_Process_Details[Unique Process Inputs],0))</f>
        <v>#N/A</v>
      </c>
      <c r="CR100" s="22" t="e">
        <f ca="1">INDEX(Table_Process_Details[Total '[Physical Mass per kg API'] of Unique Inputs (SOLVENT)],MATCH(Table_Process_Details[[#This Row],[Unique Inputs Sorted by '[Physical Mass per kg API']]],Table_Process_Details[Unique Process Inputs],0))</f>
        <v>#N/A</v>
      </c>
      <c r="CS100" s="22" t="e">
        <f ca="1">INDEX(Table_Process_Details[Total '[Physical Mass per kg API'] of Unique Inputs (WATER)],MATCH(Table_Process_Details[[#This Row],[Unique Inputs Sorted by '[Physical Mass per kg API']]],Table_Process_Details[Unique Process Inputs],0))</f>
        <v>#N/A</v>
      </c>
      <c r="CT100" s="22" t="e">
        <f ca="1">INDEX(Table_Process_Details[Total '[Physical Mass per kg API'] of Unique Inputs (ENZ&amp;PLNT)],MATCH(Table_Process_Details[[#This Row],[Unique Inputs Sorted by '[Physical Mass per kg API']]],Table_Process_Details[Unique Process Inputs],0))</f>
        <v>#N/A</v>
      </c>
      <c r="CU100" s="22" t="e">
        <f ca="1">INDEX(Table_Process_Details[Total '[Physical Mass per kg API'] of Unique Inputs (OTHER)],MATCH(Table_Process_Details[[#This Row],[Unique Inputs Sorted by '[Physical Mass per kg API']]],Table_Process_Details[Unique Process Inputs],0))</f>
        <v>#N/A</v>
      </c>
      <c r="CV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00" s="29">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00" s="22">
        <f ca="1">SUMIFS(Table_Process_Details[RV Mass Net (kg) per kg API],Table_Process_Details[Display Name],Table_Process_Details[[#This Row],[Unique Process Inputs]],Table_Process_Details[Input or Output],"Input")</f>
        <v>0</v>
      </c>
      <c r="DD100" s="22">
        <f ca="1">SUMIFS(Table_Process_Details[RV Mass Net (kg) per kg API (REAGENT)],Table_Process_Details[Display Name],Table_Process_Details[[#This Row],[Unique Process Inputs]],Table_Process_Details[Input or Output],"Input")</f>
        <v>0</v>
      </c>
      <c r="DE100" s="22">
        <f ca="1">SUMIFS(Table_Process_Details[RV Mass Net (kg) per kg API (METAL)],Table_Process_Details[Display Name],Table_Process_Details[[#This Row],[Unique Process Inputs]],Table_Process_Details[Input or Output],"Input")</f>
        <v>0</v>
      </c>
      <c r="DF100" s="22">
        <f ca="1">SUMIFS(Table_Process_Details[RV Mass Net (kg) per kg API (SOLVENT)],Table_Process_Details[Display Name],Table_Process_Details[[#This Row],[Unique Process Inputs]],Table_Process_Details[Input or Output],"Input")</f>
        <v>0</v>
      </c>
      <c r="DG100" s="22">
        <f ca="1">SUMIFS(Table_Process_Details[RV Mass Net (kg) per kg API (WATER)],Table_Process_Details[Display Name],Table_Process_Details[[#This Row],[Unique Process Inputs]],Table_Process_Details[Input or Output],"Input")</f>
        <v>0</v>
      </c>
      <c r="DH100" s="22">
        <f ca="1">SUMIFS(Table_Process_Details[RV Mass Net (kg) per kg API (ENZ&amp;PLNT)],Table_Process_Details[Display Name],Table_Process_Details[[#This Row],[Unique Process Inputs]],Table_Process_Details[Input or Output],"Input")</f>
        <v>0</v>
      </c>
      <c r="DI100" s="22">
        <f ca="1">SUMIFS(Table_Process_Details[RV Mass Net (kg) per kg API (OTHER)],Table_Process_Details[Display Name],Table_Process_Details[[#This Row],[Unique Process Inputs]],Table_Process_Details[Input or Output],"Input")</f>
        <v>0</v>
      </c>
      <c r="DJ100" s="22" t="e">
        <f ca="1">INDEX(Table_Process_Details[Unique Process Inputs],MATCH(Table_Process_Details[[#This Row],['[Mass Net (kg) per kg API'] of Unique Inputs Sorted by '[Mass Net (kg) per kg API']]],Table_Process_Details[Total '[Mass Net (kg) per kg API'] of Unique Inputs],0))</f>
        <v>#N/A</v>
      </c>
      <c r="DK100" s="22" t="e">
        <f ca="1">IF(LARGE(Table_Process_Details[Total '[Mass Net (kg) per kg API'] of Unique Inputs],Table_Process_Details[[#This Row],[Table Row]])=0,NA(),LARGE(Table_Process_Details[Total '[Mass Net (kg) per kg API'] of Unique Inputs],Table_Process_Details[[#This Row],[Table Row]]))</f>
        <v>#N/A</v>
      </c>
      <c r="DL100" s="22" t="e">
        <f ca="1">SUM(OFFSET(Table_Process_Details['[Mass Net (kg) per kg API'] of Unique Inputs Sorted by '[Mass Net (kg) per kg API']],0,0,Table_Process_Details[[#This Row],[Table Row]]))</f>
        <v>#N/A</v>
      </c>
      <c r="DM100" s="22" t="e">
        <f ca="1">"("&amp;TEXT(Table_Process_Details[[#This Row],['[Mass Net (kg) per kg API'] of Unique Inputs Sorted by '[Mass Net (kg) per kg API']]]/SUMIF(Table_Process_Details['[Mass Net (kg) per kg API'] of Unique Inputs Sorted by '[Mass Net (kg) per kg API']],"&lt;&gt;#N/A"),"0%")&amp;")"</f>
        <v>#N/A</v>
      </c>
      <c r="DN100" s="22" t="e">
        <f ca="1">INDEX(Table_Process_Details[Total '[Mass Net (kg) per kg API'] of Unique Inputs (REAGENT)], MATCH(Table_Process_Details[[#This Row],[Unique Inputs Sorted by '[Mass Net (kg) per kg API']]],Table_Process_Details[Unique Process Inputs],0))</f>
        <v>#N/A</v>
      </c>
      <c r="DO100" s="22" t="e">
        <f ca="1">INDEX(Table_Process_Details[Total '[Mass Net (kg) per kg API'] of Unique Inputs (METAL)], MATCH(Table_Process_Details[[#This Row],[Unique Inputs Sorted by '[Mass Net (kg) per kg API']]],Table_Process_Details[Unique Process Inputs],0))</f>
        <v>#N/A</v>
      </c>
      <c r="DP100" s="22" t="e">
        <f ca="1">INDEX(Table_Process_Details[Total '[Mass Net (kg) per kg API'] of Unique Inputs (SOLVENT)], MATCH(Table_Process_Details[[#This Row],[Unique Inputs Sorted by '[Mass Net (kg) per kg API']]],Table_Process_Details[Unique Process Inputs],0))</f>
        <v>#N/A</v>
      </c>
      <c r="DQ100" s="22" t="e">
        <f ca="1">INDEX(Table_Process_Details[Total '[Mass Net (kg) per kg API'] of Unique Inputs (WATER)], MATCH(Table_Process_Details[[#This Row],[Unique Inputs Sorted by '[Mass Net (kg) per kg API']]],Table_Process_Details[Unique Process Inputs],0))</f>
        <v>#N/A</v>
      </c>
      <c r="DR100" s="22" t="e">
        <f ca="1">INDEX(Table_Process_Details[Total '[Mass Net (kg) per kg API'] of Unique Inputs (ENZ&amp;PLNT)], MATCH(Table_Process_Details[[#This Row],[Unique Inputs Sorted by '[Mass Net (kg) per kg API']]],Table_Process_Details[Unique Process Inputs],0))</f>
        <v>#N/A</v>
      </c>
      <c r="DS100" s="22" t="e">
        <f ca="1">INDEX(Table_Process_Details[Total '[Mass Net (kg) per kg API'] of Unique Inputs (OTHER)], MATCH(Table_Process_Details[[#This Row],[Unique Inputs Sorted by '[Mass Net (kg) per kg API']]],Table_Process_Details[Unique Process Inputs],0))</f>
        <v>#N/A</v>
      </c>
      <c r="DT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00" s="29">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00" s="1">
        <f ca="1">SUMIFS(Table_Process_Details[RV Energy (MJ) per kg API],Table_Process_Details[Display Name],Table_Process_Details[[#This Row],[Unique Process Inputs]],Table_Process_Details[Input or Output],"Input")</f>
        <v>0</v>
      </c>
      <c r="EB100" s="1">
        <f ca="1">SUMIFS(Table_Process_Details[RV Energy (MJ) per kg API (REAGENT)],Table_Process_Details[Display Name],Table_Process_Details[[#This Row],[Unique Process Inputs]],Table_Process_Details[Input or Output],"Input")</f>
        <v>0</v>
      </c>
      <c r="EC100" s="1">
        <f ca="1">SUMIFS(Table_Process_Details[RV Energy (MJ) per kg API (METAL)],Table_Process_Details[Display Name],Table_Process_Details[[#This Row],[Unique Process Inputs]],Table_Process_Details[Input or Output],"Input")</f>
        <v>0</v>
      </c>
      <c r="ED100" s="1">
        <f ca="1">SUMIFS(Table_Process_Details[RV Energy (MJ) per kg API (SOLVENT)],Table_Process_Details[Display Name],Table_Process_Details[[#This Row],[Unique Process Inputs]],Table_Process_Details[Input or Output],"Input")</f>
        <v>0</v>
      </c>
      <c r="EE100" s="1">
        <f ca="1">SUMIFS(Table_Process_Details[RV Energy (MJ) per kg API (WATER)],Table_Process_Details[Display Name],Table_Process_Details[[#This Row],[Unique Process Inputs]],Table_Process_Details[Input or Output],"Input")</f>
        <v>0</v>
      </c>
      <c r="EF100" s="1">
        <f ca="1">SUMIFS(Table_Process_Details[RV Energy (MJ) per kg API (ENZ&amp;PLNT)],Table_Process_Details[Display Name],Table_Process_Details[[#This Row],[Unique Process Inputs]],Table_Process_Details[Input or Output],"Input")</f>
        <v>0</v>
      </c>
      <c r="EG100" s="1">
        <f ca="1">SUMIFS(Table_Process_Details[RV Energy (MJ) per kg API (OTHER)],Table_Process_Details[Display Name],Table_Process_Details[[#This Row],[Unique Process Inputs]],Table_Process_Details[Input or Output],"Input")</f>
        <v>0</v>
      </c>
      <c r="EH100" s="1" t="e">
        <f ca="1">INDEX(Table_Process_Details[Unique Process Inputs],MATCH(Table_Process_Details[[#This Row],['[Energy (MJ) per kg API'] of Unique Inputs Sorted by '[Energy (MJ) per kg API']]],Table_Process_Details[Total '[Energy (MJ) per kg API'] of Unique Inputs],0))</f>
        <v>#N/A</v>
      </c>
      <c r="EI100" s="22" t="e">
        <f ca="1">IF(LARGE(Table_Process_Details[Total '[Energy (MJ) per kg API'] of Unique Inputs],Table_Process_Details[[#This Row],[Table Row]])=0,NA(),LARGE(Table_Process_Details[Total '[Energy (MJ) per kg API'] of Unique Inputs],Table_Process_Details[[#This Row],[Table Row]]))</f>
        <v>#N/A</v>
      </c>
      <c r="EJ100" s="22" t="e">
        <f ca="1">SUM(OFFSET(Table_Process_Details['[Energy (MJ) per kg API'] of Unique Inputs Sorted by '[Energy (MJ) per kg API']],0,0,Table_Process_Details[[#This Row],[Table Row]]))</f>
        <v>#N/A</v>
      </c>
      <c r="EK100" s="22" t="e">
        <f ca="1">"("&amp;TEXT(Table_Process_Details[[#This Row],['[Energy (MJ) per kg API'] of Unique Inputs Sorted by '[Energy (MJ) per kg API']]]/SUMIF(Table_Process_Details['[Energy (MJ) per kg API'] of Unique Inputs Sorted by '[Energy (MJ) per kg API']],"&lt;&gt;#N/A"),"0%")&amp;")"</f>
        <v>#N/A</v>
      </c>
      <c r="EL100" s="22" t="e">
        <f ca="1">INDEX(Table_Process_Details[Total '[Energy (MJ) per kg API'] of Unique Inputs (REAGENT)], MATCH(Table_Process_Details[[#This Row],[Unique Inputs Sorted by '[Energy (MJ) per kg API']]],Table_Process_Details[Unique Process Inputs],0))</f>
        <v>#N/A</v>
      </c>
      <c r="EM100" s="22" t="e">
        <f ca="1">INDEX(Table_Process_Details[Total '[Energy (MJ) per kg API'] of Unique Inputs (METAL)], MATCH(Table_Process_Details[[#This Row],[Unique Inputs Sorted by '[Energy (MJ) per kg API']]],Table_Process_Details[Unique Process Inputs],0))</f>
        <v>#N/A</v>
      </c>
      <c r="EN100" s="22" t="e">
        <f ca="1">INDEX(Table_Process_Details[Total '[Energy (MJ) per kg API'] of Unique Inputs (SOLVENT)], MATCH(Table_Process_Details[[#This Row],[Unique Inputs Sorted by '[Energy (MJ) per kg API']]],Table_Process_Details[Unique Process Inputs],0))</f>
        <v>#N/A</v>
      </c>
      <c r="EO100" s="22" t="e">
        <f ca="1">INDEX(Table_Process_Details[Total '[Energy (MJ) per kg API'] of Unique Inputs (WATER)], MATCH(Table_Process_Details[[#This Row],[Unique Inputs Sorted by '[Energy (MJ) per kg API']]],Table_Process_Details[Unique Process Inputs],0))</f>
        <v>#N/A</v>
      </c>
      <c r="EP100" s="22" t="e">
        <f ca="1">INDEX(Table_Process_Details[Total '[Energy (MJ) per kg API'] of Unique Inputs (ENZ&amp;PLNT)], MATCH(Table_Process_Details[[#This Row],[Unique Inputs Sorted by '[Energy (MJ) per kg API']]],Table_Process_Details[Unique Process Inputs],0))</f>
        <v>#N/A</v>
      </c>
      <c r="EQ100" s="22" t="e">
        <f ca="1">INDEX(Table_Process_Details[Total '[Energy (MJ) per kg API'] of Unique Inputs (OTHER)], MATCH(Table_Process_Details[[#This Row],[Unique Inputs Sorted by '[Energy (MJ) per kg API']]],Table_Process_Details[Unique Process Inputs],0))</f>
        <v>#N/A</v>
      </c>
      <c r="ER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00" s="29">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00" s="22">
        <f ca="1">SUMIFS(Table_Process_Details[RV GWP (kg CO2 equiv.) per kg API],Table_Process_Details[Display Name],Table_Process_Details[[#This Row],[Unique Process Inputs]],Table_Process_Details[Input or Output],"Input")</f>
        <v>0</v>
      </c>
      <c r="EZ100" s="1">
        <f ca="1">SUMIFS(Table_Process_Details[RV GWP (kg CO2 equiv.) per kg API (REAGENT)],Table_Process_Details[Display Name],Table_Process_Details[[#This Row],[Unique Process Inputs]],Table_Process_Details[Input or Output],"Input")</f>
        <v>0</v>
      </c>
      <c r="FA100" s="1">
        <f ca="1">SUMIFS(Table_Process_Details[RV GWP (kg CO2 equiv.) per kg API (METAL)],Table_Process_Details[Display Name],Table_Process_Details[[#This Row],[Unique Process Inputs]],Table_Process_Details[Input or Output],"Input")</f>
        <v>0</v>
      </c>
      <c r="FB100" s="1">
        <f ca="1">SUMIFS(Table_Process_Details[RV GWP (kg CO2 equiv.) per kg API (SOLVENT)],Table_Process_Details[Display Name],Table_Process_Details[[#This Row],[Unique Process Inputs]],Table_Process_Details[Input or Output],"Input")</f>
        <v>0</v>
      </c>
      <c r="FC100" s="1">
        <f ca="1">SUMIFS(Table_Process_Details[RV GWP (kg CO2 equiv.) per kg API (WATER)],Table_Process_Details[Display Name],Table_Process_Details[[#This Row],[Unique Process Inputs]],Table_Process_Details[Input or Output],"Input")</f>
        <v>0</v>
      </c>
      <c r="FD100" s="1">
        <f ca="1">SUMIFS(Table_Process_Details[RV GWP (kg CO2 equiv.) per kg API (ENZ&amp;PLNT)],Table_Process_Details[Display Name],Table_Process_Details[[#This Row],[Unique Process Inputs]],Table_Process_Details[Input or Output],"Input")</f>
        <v>0</v>
      </c>
      <c r="FE100" s="1">
        <f ca="1">SUMIFS(Table_Process_Details[RV GWP (kg CO2 equiv.) per kg API (OTHER)],Table_Process_Details[Display Name],Table_Process_Details[[#This Row],[Unique Process Inputs]],Table_Process_Details[Input or Output],"Input")</f>
        <v>0</v>
      </c>
      <c r="FF100" s="22" t="e">
        <f ca="1">INDEX(Table_Process_Details[Unique Process Inputs],MATCH(Table_Process_Details[[#This Row],['[GWP (kg CO2 equiv.) per kg API'] of Unique Inputs Sorted by '[GWP (kg CO2 equiv.) per kg API']]],Table_Process_Details[Total '[GWP (kg CO2 equiv.) per kg API'] of Unique Inputs],0))</f>
        <v>#N/A</v>
      </c>
      <c r="FG100" s="22" t="e">
        <f ca="1">IF(LARGE(Table_Process_Details[Total '[GWP (kg CO2 equiv.) per kg API'] of Unique Inputs],Table_Process_Details[[#This Row],[Table Row]])=0,NA(),LARGE(Table_Process_Details[Total '[GWP (kg CO2 equiv.) per kg API'] of Unique Inputs],Table_Process_Details[[#This Row],[Table Row]]))</f>
        <v>#N/A</v>
      </c>
      <c r="FH100" s="22" t="e">
        <f ca="1">SUM(OFFSET(Table_Process_Details['[GWP (kg CO2 equiv.) per kg API'] of Unique Inputs Sorted by '[GWP (kg CO2 equiv.) per kg API']],0,0,Table_Process_Details[[#This Row],[Table Row]]))</f>
        <v>#N/A</v>
      </c>
      <c r="FI100" s="22" t="e">
        <f ca="1">"("&amp;TEXT(Table_Process_Details[[#This Row],['[GWP (kg CO2 equiv.) per kg API'] of Unique Inputs Sorted by '[GWP (kg CO2 equiv.) per kg API']]]/SUMIF(Table_Process_Details['[GWP (kg CO2 equiv.) per kg API'] of Unique Inputs Sorted by '[GWP (kg CO2 equiv.) per kg API']],"&lt;&gt;#N/A"),"0%")&amp;")"</f>
        <v>#N/A</v>
      </c>
      <c r="FJ100" s="22" t="e">
        <f ca="1">INDEX(Table_Process_Details[Total '[GWP (kg CO2 equiv.) per kg API'] of Unique Inputs (REAGENT)], MATCH(Table_Process_Details[[#This Row],[Unique Inputs Sorted by '[GWP (kg CO2 equiv.) per kg API']]],Table_Process_Details[Unique Process Inputs],0))</f>
        <v>#N/A</v>
      </c>
      <c r="FK100" s="22" t="e">
        <f ca="1">INDEX(Table_Process_Details[Total '[GWP (kg CO2 equiv.) per kg API'] of Unique Inputs (METAL)], MATCH(Table_Process_Details[[#This Row],[Unique Inputs Sorted by '[GWP (kg CO2 equiv.) per kg API']]],Table_Process_Details[Unique Process Inputs],0))</f>
        <v>#N/A</v>
      </c>
      <c r="FL100" s="22" t="e">
        <f ca="1">INDEX(Table_Process_Details[Total '[GWP (kg CO2 equiv.) per kg API'] of Unique Inputs (SOLVENT)], MATCH(Table_Process_Details[[#This Row],[Unique Inputs Sorted by '[GWP (kg CO2 equiv.) per kg API']]],Table_Process_Details[Unique Process Inputs],0))</f>
        <v>#N/A</v>
      </c>
      <c r="FM100" s="22" t="e">
        <f ca="1">INDEX(Table_Process_Details[Total '[GWP (kg CO2 equiv.) per kg API'] of Unique Inputs (WATER)], MATCH(Table_Process_Details[[#This Row],[Unique Inputs Sorted by '[GWP (kg CO2 equiv.) per kg API']]],Table_Process_Details[Unique Process Inputs],0))</f>
        <v>#N/A</v>
      </c>
      <c r="FN100" s="22" t="e">
        <f ca="1">INDEX(Table_Process_Details[Total '[GWP (kg CO2 equiv.) per kg API'] of Unique Inputs (ENZ&amp;PLNT)], MATCH(Table_Process_Details[[#This Row],[Unique Inputs Sorted by '[GWP (kg CO2 equiv.) per kg API']]],Table_Process_Details[Unique Process Inputs],0))</f>
        <v>#N/A</v>
      </c>
      <c r="FO100" s="22" t="e">
        <f ca="1">INDEX(Table_Process_Details[Total '[GWP (kg CO2 equiv.) per kg API'] of Unique Inputs (OTHER)], MATCH(Table_Process_Details[[#This Row],[Unique Inputs Sorted by '[GWP (kg CO2 equiv.) per kg API']]],Table_Process_Details[Unique Process Inputs],0))</f>
        <v>#N/A</v>
      </c>
      <c r="FP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00" s="29">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00" s="22">
        <f ca="1">SUMIFS(Table_Process_Details[RV Acidification (kg SO2 equiv.) per kg API],Table_Process_Details[Display Name],Table_Process_Details[[#This Row],[Unique Process Inputs]],Table_Process_Details[Input or Output],"Input")</f>
        <v>0</v>
      </c>
      <c r="FX100" s="1">
        <f ca="1">SUMIFS(Table_Process_Details[RV Acidification (kg SO2 equiv.) per kg API (REAGENT)],Table_Process_Details[Display Name],Table_Process_Details[[#This Row],[Unique Process Inputs]],Table_Process_Details[Input or Output],"Input")</f>
        <v>0</v>
      </c>
      <c r="FY100" s="1">
        <f ca="1">SUMIFS(Table_Process_Details[RV Acidification (kg SO2 equiv.) per kg API (METAL)],Table_Process_Details[Display Name],Table_Process_Details[[#This Row],[Unique Process Inputs]],Table_Process_Details[Input or Output],"Input")</f>
        <v>0</v>
      </c>
      <c r="FZ100" s="1">
        <f ca="1">SUMIFS(Table_Process_Details[RV Acidification (kg SO2 equiv.) per kg API (SOLVENT)],Table_Process_Details[Display Name],Table_Process_Details[[#This Row],[Unique Process Inputs]],Table_Process_Details[Input or Output],"Input")</f>
        <v>0</v>
      </c>
      <c r="GA100" s="1">
        <f ca="1">SUMIFS(Table_Process_Details[RV Acidification (kg SO2 equiv.) per kg API (WATER)],Table_Process_Details[Display Name],Table_Process_Details[[#This Row],[Unique Process Inputs]],Table_Process_Details[Input or Output],"Input")</f>
        <v>0</v>
      </c>
      <c r="GB100" s="1">
        <f ca="1">SUMIFS(Table_Process_Details[RV Acidification (kg SO2 equiv.) per kg API (ENZ&amp;PLNT)],Table_Process_Details[Display Name],Table_Process_Details[[#This Row],[Unique Process Inputs]],Table_Process_Details[Input or Output],"Input")</f>
        <v>0</v>
      </c>
      <c r="GC100" s="1">
        <f ca="1">SUMIFS(Table_Process_Details[RV Acidification (kg SO2 equiv.) per kg API (OTHER)],Table_Process_Details[Display Name],Table_Process_Details[[#This Row],[Unique Process Inputs]],Table_Process_Details[Input or Output],"Input")</f>
        <v>0</v>
      </c>
      <c r="GD100" s="22"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100" s="22" t="e">
        <f ca="1">IF(LARGE(Table_Process_Details[Total '[Acidification (kg SO2 equiv.) per kg API'] of Unique Inputs],Table_Process_Details[[#This Row],[Table Row]])=0,NA(),LARGE(Table_Process_Details[Total '[Acidification (kg SO2 equiv.) per kg API'] of Unique Inputs],Table_Process_Details[[#This Row],[Table Row]]))</f>
        <v>#N/A</v>
      </c>
      <c r="GF100" s="22" t="e">
        <f ca="1">SUM(OFFSET(Table_Process_Details['[Acidification (kg SO2 equiv.) per kg API'] of Unique Inputs Sorted by '[Acidification (kg SO2 equiv.) per kg API']],0,0,Table_Process_Details[[#This Row],[Table Row]]))</f>
        <v>#N/A</v>
      </c>
      <c r="GG100" s="22"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100" s="22" t="e">
        <f ca="1">INDEX(Table_Process_Details[Total '[Acidification (kg SO2 equiv.) per kg API'] of Unique Inputs (REAGENT)], MATCH(Table_Process_Details[[#This Row],[Unique Inputs Sorted by '[Acidification (kg SO2 equiv.) per kg API']]],Table_Process_Details[Unique Process Inputs],0))</f>
        <v>#N/A</v>
      </c>
      <c r="GI100" s="22" t="e">
        <f ca="1">INDEX(Table_Process_Details[Total '[Acidification (kg SO2 equiv.) per kg API'] of Unique Inputs (METAL)], MATCH(Table_Process_Details[[#This Row],[Unique Inputs Sorted by '[Acidification (kg SO2 equiv.) per kg API']]],Table_Process_Details[Unique Process Inputs],0))</f>
        <v>#N/A</v>
      </c>
      <c r="GJ100" s="22" t="e">
        <f ca="1">INDEX(Table_Process_Details[Total '[Acidification (kg SO2 equiv.) per kg API'] of Unique Inputs (SOLVENT)], MATCH(Table_Process_Details[[#This Row],[Unique Inputs Sorted by '[Acidification (kg SO2 equiv.) per kg API']]],Table_Process_Details[Unique Process Inputs],0))</f>
        <v>#N/A</v>
      </c>
      <c r="GK100" s="22" t="e">
        <f ca="1">INDEX(Table_Process_Details[Total '[Acidification (kg SO2 equiv.) per kg API'] of Unique Inputs (WATER)], MATCH(Table_Process_Details[[#This Row],[Unique Inputs Sorted by '[Acidification (kg SO2 equiv.) per kg API']]],Table_Process_Details[Unique Process Inputs],0))</f>
        <v>#N/A</v>
      </c>
      <c r="GL100" s="22" t="e">
        <f ca="1">INDEX(Table_Process_Details[Total '[Acidification (kg SO2 equiv.) per kg API'] of Unique Inputs (ENZ&amp;PLNT)], MATCH(Table_Process_Details[[#This Row],[Unique Inputs Sorted by '[Acidification (kg SO2 equiv.) per kg API']]],Table_Process_Details[Unique Process Inputs],0))</f>
        <v>#N/A</v>
      </c>
      <c r="GM100" s="22" t="e">
        <f ca="1">INDEX(Table_Process_Details[Total '[Acidification (kg SO2 equiv.) per kg API'] of Unique Inputs (OTHER)], MATCH(Table_Process_Details[[#This Row],[Unique Inputs Sorted by '[Acidification (kg SO2 equiv.) per kg API']]],Table_Process_Details[Unique Process Inputs],0))</f>
        <v>#N/A</v>
      </c>
      <c r="GN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00" s="29">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00" s="22">
        <f ca="1">SUMIFS(Table_Process_Details[RV Eutrophication (kg phosphate equiv.) per kg API],Table_Process_Details[Display Name],Table_Process_Details[[#This Row],[Unique Process Inputs]],Table_Process_Details[Input or Output],"Input")</f>
        <v>0</v>
      </c>
      <c r="GV100" s="1">
        <f ca="1">SUMIFS(Table_Process_Details[RV Eutrophication (kg phosphate equiv.) per kg API (REAGENT)],Table_Process_Details[Display Name],Table_Process_Details[[#This Row],[Unique Process Inputs]],Table_Process_Details[Input or Output],"Input")</f>
        <v>0</v>
      </c>
      <c r="GW100" s="1">
        <f ca="1">SUMIFS(Table_Process_Details[RV Eutrophication (kg phosphate equiv.) per kg API (METAL)],Table_Process_Details[Display Name],Table_Process_Details[[#This Row],[Unique Process Inputs]],Table_Process_Details[Input or Output],"Input")</f>
        <v>0</v>
      </c>
      <c r="GX100" s="1">
        <f ca="1">SUMIFS(Table_Process_Details[RV Eutrophication (kg phosphate equiv.) per kg API (SOLVENT)],Table_Process_Details[Display Name],Table_Process_Details[[#This Row],[Unique Process Inputs]],Table_Process_Details[Input or Output],"Input")</f>
        <v>0</v>
      </c>
      <c r="GY100" s="1">
        <f ca="1">SUMIFS(Table_Process_Details[RV Eutrophication (kg phosphate equiv.) per kg API (WATER)],Table_Process_Details[Display Name],Table_Process_Details[[#This Row],[Unique Process Inputs]],Table_Process_Details[Input or Output],"Input")</f>
        <v>0</v>
      </c>
      <c r="GZ100" s="1">
        <f ca="1">SUMIFS(Table_Process_Details[RV Eutrophication (kg phosphate equiv.) per kg API (ENZ&amp;PLNT)],Table_Process_Details[Display Name],Table_Process_Details[[#This Row],[Unique Process Inputs]],Table_Process_Details[Input or Output],"Input")</f>
        <v>0</v>
      </c>
      <c r="HA100" s="1">
        <f ca="1">SUMIFS(Table_Process_Details[RV Eutrophication (kg phosphate equiv.) per kg API (OTHER)],Table_Process_Details[Display Name],Table_Process_Details[[#This Row],[Unique Process Inputs]],Table_Process_Details[Input or Output],"Input")</f>
        <v>0</v>
      </c>
      <c r="HB100" s="22"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100" s="22"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100" s="22" t="e">
        <f ca="1">SUM(OFFSET(Table_Process_Details['[Eutrophication (kg posphate equiv.) per kg API'] of Unique Inputs Sorted by '[Eutrophication (kg posphate equiv.) per kg API']],0,0,Table_Process_Details[[#This Row],[Table Row]]))</f>
        <v>#N/A</v>
      </c>
      <c r="HE100" s="22"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100" s="1" t="e">
        <f ca="1">INDEX(Table_Process_Details[Total '[Eutrophication (kg posphate equiv.) per kg API'] of Unique Inputs (REAGENT)], MATCH(Table_Process_Details[[#This Row],[Unique Inputs Sorted by '[Eutrophication (kg posphate equiv.) per kg API']]],Table_Process_Details[Unique Process Inputs],0))</f>
        <v>#N/A</v>
      </c>
      <c r="HG100" s="1" t="e">
        <f ca="1">INDEX(Table_Process_Details[Total '[Eutrophication (kg posphate equiv.) per kg API'] of Unique Inputs (METAL)], MATCH(Table_Process_Details[[#This Row],[Unique Inputs Sorted by '[Eutrophication (kg posphate equiv.) per kg API']]],Table_Process_Details[Unique Process Inputs],0))</f>
        <v>#N/A</v>
      </c>
      <c r="HH100" s="1" t="e">
        <f ca="1">INDEX(Table_Process_Details[Total '[Eutrophication (kg posphate equiv.) per kg API'] of Unique Inputs (SOLVENT)], MATCH(Table_Process_Details[[#This Row],[Unique Inputs Sorted by '[Eutrophication (kg posphate equiv.) per kg API']]],Table_Process_Details[Unique Process Inputs],0))</f>
        <v>#N/A</v>
      </c>
      <c r="HI100" s="1" t="e">
        <f ca="1">INDEX(Table_Process_Details[Total '[Eutrophication (kg posphate equiv.) per kg API'] of Unique Inputs (WATER)], MATCH(Table_Process_Details[[#This Row],[Unique Inputs Sorted by '[Eutrophication (kg posphate equiv.) per kg API']]],Table_Process_Details[Unique Process Inputs],0))</f>
        <v>#N/A</v>
      </c>
      <c r="HJ100" s="1" t="e">
        <f ca="1">INDEX(Table_Process_Details[Total '[Eutrophication (kg posphate equiv.) per kg API'] of Unique Inputs (ENZ&amp;PLNT)], MATCH(Table_Process_Details[[#This Row],[Unique Inputs Sorted by '[Eutrophication (kg posphate equiv.) per kg API']]],Table_Process_Details[Unique Process Inputs],0))</f>
        <v>#N/A</v>
      </c>
      <c r="HK100" s="1" t="e">
        <f ca="1">INDEX(Table_Process_Details[Total '[Eutrophication (kg posphate equiv.) per kg API'] of Unique Inputs (OTHER)], MATCH(Table_Process_Details[[#This Row],[Unique Inputs Sorted by '[Eutrophication (kg posphate equiv.) per kg API']]],Table_Process_Details[Unique Process Inputs],0))</f>
        <v>#N/A</v>
      </c>
      <c r="HL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00" s="29">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00" s="1">
        <f ca="1">SUMIFS(Table_Process_Details[RV Water (kg) per kg API],Table_Process_Details[Display Name],Table_Process_Details[[#This Row],[Unique Process Inputs]],Table_Process_Details[Input or Output],"Input")</f>
        <v>0</v>
      </c>
      <c r="HT100" s="1">
        <f ca="1">SUMIFS(Table_Process_Details[RV Water (kg) per kg API (REAGENT)],Table_Process_Details[Display Name],Table_Process_Details[[#This Row],[Unique Process Inputs]],Table_Process_Details[Input or Output],"Input")</f>
        <v>0</v>
      </c>
      <c r="HU100" s="1">
        <f ca="1">SUMIFS(Table_Process_Details[RV Water (kg) per kg API (METAL)],Table_Process_Details[Display Name],Table_Process_Details[[#This Row],[Unique Process Inputs]],Table_Process_Details[Input or Output],"Input")</f>
        <v>0</v>
      </c>
      <c r="HV100" s="1">
        <f ca="1">SUMIFS(Table_Process_Details[RV Water (kg) per kg API (SOLVENT)],Table_Process_Details[Display Name],Table_Process_Details[[#This Row],[Unique Process Inputs]],Table_Process_Details[Input or Output],"Input")</f>
        <v>0</v>
      </c>
      <c r="HW100" s="1">
        <f ca="1">SUMIFS(Table_Process_Details[RV Water (kg) per kg API (WATER)],Table_Process_Details[Display Name],Table_Process_Details[[#This Row],[Unique Process Inputs]],Table_Process_Details[Input or Output],"Input")</f>
        <v>0</v>
      </c>
      <c r="HX100" s="1">
        <f ca="1">SUMIFS(Table_Process_Details[RV Water (kg) per kg API (ENZ&amp;PLNT)],Table_Process_Details[Display Name],Table_Process_Details[[#This Row],[Unique Process Inputs]],Table_Process_Details[Input or Output],"Input")</f>
        <v>0</v>
      </c>
      <c r="HY100" s="1">
        <f ca="1">SUMIFS(Table_Process_Details[RV Water (kg) per kg API (OTHER)],Table_Process_Details[Display Name],Table_Process_Details[[#This Row],[Unique Process Inputs]],Table_Process_Details[Input or Output],"Input")</f>
        <v>0</v>
      </c>
      <c r="HZ100" s="22" t="e">
        <f ca="1">INDEX(Table_Process_Details[Unique Process Inputs],MATCH(Table_Process_Details[[#This Row],['[Water (kg) per kg API'] of Unique Inputs Sorted by '[Water (kg) per kg API']]],Table_Process_Details[Total '[Water (kg) per kg API'] of Unique Inputs],0))</f>
        <v>#N/A</v>
      </c>
      <c r="IA100" s="22" t="e">
        <f ca="1">IF(LARGE(Table_Process_Details[Total '[Water (kg) per kg API'] of Unique Inputs],Table_Process_Details[[#This Row],[Table Row]])=0,NA(),LARGE(Table_Process_Details[Total '[Water (kg) per kg API'] of Unique Inputs],Table_Process_Details[[#This Row],[Table Row]]))</f>
        <v>#N/A</v>
      </c>
      <c r="IB100" s="1" t="e">
        <f ca="1">SUM(OFFSET(Table_Process_Details['[Water (kg) per kg API'] of Unique Inputs Sorted by '[Water (kg) per kg API']],0,0,Table_Process_Details[[#This Row],[Table Row]]))</f>
        <v>#N/A</v>
      </c>
      <c r="IC100" s="1" t="e">
        <f ca="1">"("&amp;TEXT(Table_Process_Details[[#This Row],['[Water (kg) per kg API'] of Unique Inputs Sorted by '[Water (kg) per kg API']]]/SUMIF(Table_Process_Details['[Water (kg) per kg API'] of Unique Inputs Sorted by '[Water (kg) per kg API']],"&lt;&gt;#N/A"),"0%")&amp;")"</f>
        <v>#N/A</v>
      </c>
      <c r="ID100" s="1" t="e">
        <f ca="1">INDEX(Table_Process_Details[Total '[Water (kg) per kg API'] of Unique Inputs (REAGENT)], MATCH(Table_Process_Details[[#This Row],[Unique Inputs Sorted by '[Water (kg) per kg API']]],Table_Process_Details[Unique Process Inputs],0))</f>
        <v>#N/A</v>
      </c>
      <c r="IE100" s="1" t="e">
        <f ca="1">INDEX(Table_Process_Details[Total '[Water (kg) per kg API'] of Unique Inputs (METAL)], MATCH(Table_Process_Details[[#This Row],[Unique Inputs Sorted by '[Water (kg) per kg API']]],Table_Process_Details[Unique Process Inputs],0))</f>
        <v>#N/A</v>
      </c>
      <c r="IF100" s="1" t="e">
        <f ca="1">INDEX(Table_Process_Details[Total '[Water (kg) per kg API'] of Unique Inputs (SOLVENT)], MATCH(Table_Process_Details[[#This Row],[Unique Inputs Sorted by '[Water (kg) per kg API']]],Table_Process_Details[Unique Process Inputs],0))</f>
        <v>#N/A</v>
      </c>
      <c r="IG100" s="1" t="e">
        <f ca="1">INDEX(Table_Process_Details[Total '[Water (kg) per kg API'] of Unique Inputs (WATER)], MATCH(Table_Process_Details[[#This Row],[Unique Inputs Sorted by '[Water (kg) per kg API']]],Table_Process_Details[Unique Process Inputs],0))</f>
        <v>#N/A</v>
      </c>
      <c r="IH100" s="1" t="e">
        <f ca="1">INDEX(Table_Process_Details[Total '[Water (kg) per kg API'] of Unique Inputs (ENZ&amp;PLNT)], MATCH(Table_Process_Details[[#This Row],[Unique Inputs Sorted by '[Water (kg) per kg API']]],Table_Process_Details[Unique Process Inputs],0))</f>
        <v>#N/A</v>
      </c>
      <c r="II100" s="1" t="e">
        <f ca="1">INDEX(Table_Process_Details[Total '[Water (kg) per kg API'] of Unique Inputs (OTHER)], MATCH(Table_Process_Details[[#This Row],[Unique Inputs Sorted by '[Water (kg) per kg API']]],Table_Process_Details[Unique Process Inputs],0))</f>
        <v>#N/A</v>
      </c>
    </row>
    <row r="101" spans="1:243" x14ac:dyDescent="0.25">
      <c r="A101" s="94" t="s">
        <v>556</v>
      </c>
      <c r="B101" s="95" t="s">
        <v>4</v>
      </c>
      <c r="C101" s="95" t="s">
        <v>170</v>
      </c>
      <c r="D101" s="96" t="str">
        <f>A100</f>
        <v>5) Pure Step</v>
      </c>
      <c r="E101" s="94" t="str">
        <f>INDEX(Process_Steps[Product Display Name],MATCH(1,INDEX((Process_Steps[Name]=INDEX(Table_Process_Details[LCA Data Source Subclass],MATCH(1,INDEX((Table_Process_Details[Step Name]="PACKAGE")*(Table_Process_Details[Input or Output]="Input"),0),0)))*(1),0),0))</f>
        <v>Fictional API</v>
      </c>
      <c r="F101" s="97">
        <v>1</v>
      </c>
      <c r="G101" s="97"/>
      <c r="H101" s="97"/>
      <c r="I101" s="97"/>
      <c r="J101" s="97" t="str">
        <f>INDEX(Process_Steps[Reference],MATCH(Table_Process_Details[[#This Row],[Step Name]],Process_Steps[Name],0))</f>
        <v>PACKAGE</v>
      </c>
      <c r="K101" s="101" t="str">
        <f>INDEX(Process_Steps[Real or Virtual?],MATCH(Table_Process_Details[[#This Row],[Step Name]],Process_Steps[Name],0))</f>
        <v>Real</v>
      </c>
      <c r="L101" s="97"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01" s="97"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Complex Input</v>
      </c>
      <c r="N101" s="97">
        <f>INDEX(Table_Process_Details[Physical Mass (kg)],MATCH(1,INDEX(((Table_Process_Details[Step Name]=Table_Process_Details[[#This Row],[Step Name]])*(Table_Process_Details[Input or Output]="Output")),0),0))</f>
        <v>1</v>
      </c>
      <c r="O101" s="101">
        <f ca="1">INDEX(Process_Steps[Step Scale Factor for 1kg Packaged API],MATCH(Table_Process_Details[[#This Row],[Step Name]],Process_Steps[Name],0))</f>
        <v>1</v>
      </c>
      <c r="P101" s="97">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20.5</v>
      </c>
      <c r="Q101" s="97">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0.5</v>
      </c>
      <c r="R101" s="97">
        <f ca="1">_xlfn.SWITCH(Run_Reset_PNG,"Reset",Table_Process_Details[[#This Row],[X Init]],"Run",Table_Process_Details[[#This Row],[X Moved]],"Freeze",Table_Process_Details[[#This Row],[X Mover]])</f>
        <v>34.095068972658638</v>
      </c>
      <c r="S101" s="97">
        <f ca="1">_xlfn.SWITCH(Run_Reset_PNG,"Reset",Table_Process_Details[[#This Row],[Y Init]],"Run",Table_Process_Details[[#This Row],[Y Moved]],"Freeze",Table_Process_Details[[#This Row],[Y Mover]])</f>
        <v>8.1861051547737027</v>
      </c>
      <c r="T101" s="97">
        <f t="array" aca="1" ref="T101"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3.372063820911527</v>
      </c>
      <c r="U101" s="97">
        <f t="array" aca="1" ref="U101"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2.9627981176637661</v>
      </c>
      <c r="V101" s="97">
        <f t="array" aca="1" ref="V101" ca="1">SUM(--(SQRT((Table_Process_Details[[#This Row],[X Mover]]-Table_Process_Details[X Mover])^2+(Table_Process_Details[[#This Row],[Y Mover]]-Table_Process_Details[Y Mover])^2)&lt;Collision_Distance))</f>
        <v>9</v>
      </c>
      <c r="W101" s="97">
        <f t="array" aca="1" ref="W101"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-0.50494856455476433</v>
      </c>
      <c r="X101" s="97">
        <f t="array" aca="1" ref="X101"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-0.51236839638363718</v>
      </c>
      <c r="Y101" s="97">
        <f t="array" aca="1" ref="Y101"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2</v>
      </c>
      <c r="Z101" s="97">
        <f>0</f>
        <v>0</v>
      </c>
      <c r="AA101" s="97">
        <f>0</f>
        <v>0</v>
      </c>
      <c r="AB101" s="97">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-17.047534486329319</v>
      </c>
      <c r="AC101" s="97">
        <f t="array" aca="1" ref="AC101"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-4.0930525773868514</v>
      </c>
      <c r="AD101" s="97">
        <f>MIN(1,COUNTA(Table_Process_Details[[#This Row],[target x]]),COUNTA(Table_Process_Details[[#This Row],[target y]]))*COUNTA(Table_Process_Details[Step Name])</f>
        <v>98</v>
      </c>
      <c r="AE101" s="97">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34.043314014726342</v>
      </c>
      <c r="AF101" s="97">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8.2173549048070171</v>
      </c>
      <c r="AG101" s="97"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Helper</v>
      </c>
      <c r="AH101" s="97">
        <f t="array" aca="1" ref="AH101" ca="1">INDEX(Table_Process_Details[X Mover],MATCH(1,INDEX((Table_Process_Details[Input or Output]="Output")*(Table_Process_Details[Step Name]=Table_Process_Details[[#This Row],[Step Name]])*(Table_Process_Details[[#This Row],[Input or Output]]="Input"),0),0))</f>
        <v>37.477861207720551</v>
      </c>
      <c r="AI101" s="97">
        <f t="array" aca="1" ref="AI101" ca="1">INDEX(Table_Process_Details[Y Mover],MATCH(1,INDEX((Table_Process_Details[Input or Output]="Output")*(Table_Process_Details[Step Name]=Table_Process_Details[[#This Row],[Step Name]])*(Table_Process_Details[[#This Row],[Input or Output]]="Input"),0),0))</f>
        <v>10.531682026520127</v>
      </c>
      <c r="AJ101" s="97">
        <f ca="1">SQRT((Table_Process_Details[[#This Row],[X End (To Node Center)]]-Table_Process_Details[[#This Row],[X Guide]])^2+(Table_Process_Details[[#This Row],[Y End (to Node Center)]]-Table_Process_Details[[#This Row],[Y Guide]])^2)</f>
        <v>4.1164322133210112</v>
      </c>
      <c r="AK101" s="97">
        <f t="array" aca="1" ref="AK101" ca="1">INDEX(Table_Process_Details[X Mover],MATCH(1,INDEX((Table_Process_Details[Step Name]=Table_Process_Details[[#This Row],[LCA Data Source Subclass]])*(Table_Process_Details[Input or Output]="Output"),0)*(Table_Process_Details[[#This Row],[Input or Output]]="Input"),0))</f>
        <v>29.895118457910893</v>
      </c>
      <c r="AL101" s="97">
        <f t="array" aca="1" ref="AL101" ca="1">INDEX(Table_Process_Details[X Mover],MATCH(1,INDEX(((Table_Process_Details[Table Row]=Table_Process_Details[[#This Row],[Table Row]])*(1)),0)*(Table_Process_Details[[#This Row],[Input or Output]]="Input"),0))</f>
        <v>34.095068972658638</v>
      </c>
      <c r="AM101" s="97">
        <f t="array" aca="1" ref="AM101" ca="1">(Table_Process_Details[[#This Row],[X End (To Node Center)]]*Table_Process_Details[[#This Row],[r0]]-Table_Process_Details[[#This Row],[X End (To Node Center)]]*Arrow_Offset+Table_Process_Details[[#This Row],[X Guide]]*Arrow_Offset)/Table_Process_Details[[#This Row],[r0]]</f>
        <v>36.820439040220258</v>
      </c>
      <c r="AN101" s="97">
        <f ca="1">IF(NOT(Table_Process_Details[[#This Row],[Display As]]="None"),Table_Process_Details[[#This Row],[X Start Prefilter]],NA())</f>
        <v>29.895118457910893</v>
      </c>
      <c r="AO101" s="97">
        <f ca="1">IF(NOT(Table_Process_Details[[#This Row],[Display As]]="None"),Table_Process_Details[[#This Row],[X Guide Prefilter]],NA())</f>
        <v>34.095068972658638</v>
      </c>
      <c r="AP101" s="97">
        <f ca="1">IF(NOT(Table_Process_Details[[#This Row],[Display As]]="None"),Table_Process_Details[[#This Row],[X End (to Stop Radius) Prefilter]],NA())</f>
        <v>36.820439040220258</v>
      </c>
      <c r="AQ101" s="97" t="e">
        <f>NA()</f>
        <v>#N/A</v>
      </c>
      <c r="AR101" s="97">
        <f t="array" aca="1" ref="AR101" ca="1">INDEX(Table_Process_Details[Y Mover],MATCH(1,INDEX((Table_Process_Details[Step Name]=Table_Process_Details[[#This Row],[LCA Data Source Subclass]])*(Table_Process_Details[Input or Output]="Output"),0)*(Table_Process_Details[[#This Row],[Input or Output]]="Input"),0))</f>
        <v>4.5668200309955704</v>
      </c>
      <c r="AS101" s="97">
        <f t="array" aca="1" ref="AS101" ca="1">INDEX(Table_Process_Details[Y Mover],MATCH(1,INDEX(((Table_Process_Details[Table Row]=Table_Process_Details[[#This Row],[Table Row]])*(1)),0)*(Table_Process_Details[[#This Row],[Input or Output]]="Input"),0))</f>
        <v>8.1861051547737027</v>
      </c>
      <c r="AT101" s="97">
        <f t="array" aca="1" ref="AT101" ca="1">(Table_Process_Details[[#This Row],[Y Guide]]*Arrow_Offset-Table_Process_Details[[#This Row],[Y End (to Node Center)]]*Arrow_Offset+Table_Process_Details[[#This Row],[Y End (to Node Center)]]*Table_Process_Details[[#This Row],[r0]])/Table_Process_Details[[#This Row],[r0]]</f>
        <v>10.075835458386489</v>
      </c>
      <c r="AU101" s="97">
        <f ca="1">IF(NOT(Table_Process_Details[[#This Row],[Display As]]="None"),Table_Process_Details[[#This Row],[Y Start Prefilter]],NA())</f>
        <v>4.5668200309955704</v>
      </c>
      <c r="AV101" s="97">
        <f ca="1">IF(NOT(Table_Process_Details[[#This Row],[Display As]]="None"),Table_Process_Details[[#This Row],[Y Guide Prefilter]],NA())</f>
        <v>8.1861051547737027</v>
      </c>
      <c r="AW101" s="97">
        <f ca="1">IF(NOT(Table_Process_Details[[#This Row],[Display As]]="None"),Table_Process_Details[[#This Row],[Y End (to Stop Radius) Prefilter]],NA())</f>
        <v>10.075835458386489</v>
      </c>
      <c r="AX101" s="97" t="e">
        <f>NA()</f>
        <v>#N/A</v>
      </c>
      <c r="AY101" s="97" t="e">
        <f>IF(Table_Process_Details[[#This Row],[Display As]]="Real Step",Table_Process_Details[[#This Row],[X Mover]],NA())</f>
        <v>#N/A</v>
      </c>
      <c r="AZ101" s="97" t="e">
        <f>IF(Table_Process_Details[[#This Row],[Display As]]="Real Step",Table_Process_Details[[#This Row],[Y Mover]],NA())</f>
        <v>#N/A</v>
      </c>
      <c r="BA101" s="97" t="e">
        <f>IF(Table_Process_Details[[#This Row],[Display As]]="Raw Material",Table_Process_Details[[#This Row],[X Mover]],NA())</f>
        <v>#N/A</v>
      </c>
      <c r="BB101" s="97" t="e">
        <f>IF(Table_Process_Details[[#This Row],[Display As]]="Raw Material",Table_Process_Details[[#This Row],[Y Mover]],NA())</f>
        <v>#N/A</v>
      </c>
      <c r="BC101" s="97" t="e">
        <f>IF(OR(Table_Process_Details[[#This Row],[Display As]]="Real Step",Table_Process_Details[[#This Row],[Display As]]="Raw Material"),Table_Process_Details[[#This Row],[X Mover]],NA())</f>
        <v>#N/A</v>
      </c>
      <c r="BD101" s="97" t="e">
        <f>IF(OR(Table_Process_Details[[#This Row],[Display As]]="Real Step",Table_Process_Details[[#This Row],[Display As]]="Raw Material"),Table_Process_Details[[#This Row],[Y Mover]],NA())</f>
        <v>#N/A</v>
      </c>
      <c r="BE101" s="94">
        <f>ROW()-ROW(Table_Process_Details[[#Headers],[Table Row]])</f>
        <v>97</v>
      </c>
      <c r="BF101" s="102" t="e">
        <f t="array" aca="1" ref="BF101" ca="1">INDEX(Table_Process_Details[Display Name],MATCH(0,IF(Table_Process_Details[Input or Output]="Input",INDEX(COUNTIF(OFFSET(Table_Process_Details[[#Headers],[Unique Process Inputs]],0,0,Table_Process_Details[[#This Row],[Table Row]],1),Table_Process_Details[Display Name]),),""),0))</f>
        <v>#N/A</v>
      </c>
      <c r="BG101" s="102">
        <f ca="1">Table_Process_Details[[#This Row],[Physical Mass (kg)]]*Table_Process_Details[[#This Row],[Step Scale Factor for 1kg Packaged API]]</f>
        <v>1</v>
      </c>
      <c r="BH101" s="102">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0.89285714285714279</v>
      </c>
      <c r="BI101" s="102">
        <f ca="1">MATCH(Table_Process_Details[[#This Row],[LCA Data Source Class]],INDIRECT(Table_Process_Details[[#This Row],[Input or Output]]),0)</f>
        <v>1</v>
      </c>
      <c r="BJ101" s="103">
        <f ca="1">MATCH(Table_Process_Details[[#This Row],[LCA Data Source Subclass]],INDIRECT(Table_Process_Details[[#This Row],[LCA Data Source Class]]&amp;"[Name]"),0)</f>
        <v>20</v>
      </c>
      <c r="BK101" s="102">
        <f ca="1">IFERROR(INDEX(INDIRECT(Table_Process_Details[[#This Row],[LCA Data Source Class]]&amp;"[Mass Net (kg)]"),MATCH(Table_Process_Details[[#This Row],[LCA Data Source Subclass]],INDIRECT(Table_Process_Details[[#This Row],[LCA Data Source Class]]&amp;"[Name]"),0)),0)</f>
        <v>0</v>
      </c>
      <c r="BL101" s="102">
        <f ca="1">IFERROR(INDEX(INDIRECT(Table_Process_Details[[#This Row],[LCA Data Source Class]]&amp;"[Energy (MJ)]"),MATCH(Table_Process_Details[[#This Row],[LCA Data Source Subclass]],INDIRECT(Table_Process_Details[[#This Row],[LCA Data Source Class]]&amp;"[Name]"),0)),0)</f>
        <v>0</v>
      </c>
      <c r="BM101" s="102">
        <f ca="1">IFERROR(INDEX(INDIRECT(Table_Process_Details[[#This Row],[LCA Data Source Class]]&amp;"[GWP (kg CO2 equiv.)]"),MATCH(Table_Process_Details[[#This Row],[LCA Data Source Subclass]],INDIRECT(Table_Process_Details[[#This Row],[LCA Data Source Class]]&amp;"[Name]"),0)),0)</f>
        <v>0</v>
      </c>
      <c r="BN101" s="102">
        <f ca="1">IFERROR(INDEX(INDIRECT(Table_Process_Details[[#This Row],[LCA Data Source Class]]&amp;"[Acidification (kg SO2 equiv.)]"),MATCH(Table_Process_Details[[#This Row],[LCA Data Source Subclass]],INDIRECT(Table_Process_Details[[#This Row],[LCA Data Source Class]]&amp;"[Name]"),0)),0)</f>
        <v>0</v>
      </c>
      <c r="BO101" s="102">
        <f ca="1">IFERROR(INDEX(INDIRECT(Table_Process_Details[[#This Row],[LCA Data Source Class]]&amp;"[Eutrophication (kg posphate equiv.)]"),MATCH(Table_Process_Details[[#This Row],[LCA Data Source Subclass]],INDIRECT(Table_Process_Details[[#This Row],[LCA Data Source Class]]&amp;"[Name]"),0)),0)</f>
        <v>0</v>
      </c>
      <c r="BP101" s="102">
        <f ca="1">IFERROR(INDEX(INDIRECT(Table_Process_Details[[#This Row],[LCA Data Source Class]]&amp;"[Water (kg)]"),MATCH(Table_Process_Details[[#This Row],[LCA Data Source Subclass]],INDIRECT(Table_Process_Details[[#This Row],[LCA Data Source Class]]&amp;"[Name]"),0)),0)</f>
        <v>0</v>
      </c>
      <c r="BQ101" s="104">
        <f ca="1">(Table_Process_Details[[#This Row],[Input or Output]]="Input")*(Table_Process_Details[[#This Row],[LCA Data Source Class]]&lt;&gt;"Process_Steps")*Table_Process_Details[[#This Row],[Scaled Physical Mass per kg API for All Inputs &amp; Outputs]]</f>
        <v>0</v>
      </c>
      <c r="BR101" s="104">
        <f ca="1">(Table_Process_Details[[#This Row],[Material Class]]="REAGENT")*Table_Process_Details[[#This Row],[Physical Mass per kg API]]</f>
        <v>0</v>
      </c>
      <c r="BS101" s="104">
        <f ca="1">(Table_Process_Details[[#This Row],[Material Class]]="METAL")*Table_Process_Details[[#This Row],[Physical Mass per kg API]]</f>
        <v>0</v>
      </c>
      <c r="BT101" s="104">
        <f ca="1">(Table_Process_Details[[#This Row],[Material Class]]="SOLVENT")*Table_Process_Details[[#This Row],[Physical Mass per kg API]]</f>
        <v>0</v>
      </c>
      <c r="BU101" s="104">
        <f ca="1">(Table_Process_Details[[#This Row],[Material Class]]="WATER")*Table_Process_Details[[#This Row],[Physical Mass per kg API]]</f>
        <v>0</v>
      </c>
      <c r="BV101" s="104">
        <f ca="1">(Table_Process_Details[[#This Row],[Material Class]]="ENZ&amp;PLNT")*Table_Process_Details[[#This Row],[Physical Mass per kg API]]</f>
        <v>0</v>
      </c>
      <c r="BW101" s="104">
        <f ca="1">(Table_Process_Details[[#This Row],[Material Class]]="OTHER")*Table_Process_Details[[#This Row],[Physical Mass per kg API]]</f>
        <v>0</v>
      </c>
      <c r="BX101" s="104">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01" s="104">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01" s="101">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01" s="104">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01" s="104">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01" s="101">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01" s="101">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01" s="94">
        <f ca="1">SUMIFS(Table_Process_Details[RV Physical Mass per kg API],Table_Process_Details[Display Name],Table_Process_Details[[#This Row],[Unique Process Inputs]],Table_Process_Details[Input or Output],"Input")</f>
        <v>0</v>
      </c>
      <c r="CF101" s="94">
        <f ca="1">SUMIFS(Table_Process_Details[RV Physical Mass per kg API (REAGENT)],Table_Process_Details[Display Name],Table_Process_Details[[#This Row],[Unique Process Inputs]],Table_Process_Details[Input or Output],"Input")</f>
        <v>0</v>
      </c>
      <c r="CG101" s="94">
        <f ca="1">SUMIFS(Table_Process_Details[RV Physical Mass per kg API (METAL)],Table_Process_Details[Display Name],Table_Process_Details[[#This Row],[Unique Process Inputs]],Table_Process_Details[Input or Output],"Input")</f>
        <v>0</v>
      </c>
      <c r="CH101" s="94">
        <f ca="1">SUMIFS(Table_Process_Details[RV Physical Mass per kg API (SOLVENT)],Table_Process_Details[Display Name],Table_Process_Details[[#This Row],[Unique Process Inputs]],Table_Process_Details[Input or Output],"Input")</f>
        <v>0</v>
      </c>
      <c r="CI101" s="94">
        <f ca="1">SUMIFS(Table_Process_Details[RV Physical Mass per kg API (WATER)],Table_Process_Details[Display Name],Table_Process_Details[[#This Row],[Unique Process Inputs]],Table_Process_Details[Input or Output],"Input")</f>
        <v>0</v>
      </c>
      <c r="CJ101" s="94">
        <f ca="1">SUMIFS(Table_Process_Details[RV Physical Mass per kg API (ENZ&amp;PLNT)],Table_Process_Details[Display Name],Table_Process_Details[[#This Row],[Unique Process Inputs]],Table_Process_Details[Input or Output],"Input")</f>
        <v>0</v>
      </c>
      <c r="CK101" s="94">
        <f ca="1">SUMIFS(Table_Process_Details[RV Physical Mass per kg API (OTHER)],Table_Process_Details[Display Name],Table_Process_Details[[#This Row],[Unique Process Inputs]],Table_Process_Details[Input or Output],"Input")</f>
        <v>0</v>
      </c>
      <c r="CL101" s="94" t="e">
        <f ca="1">INDEX(Table_Process_Details[Unique Process Inputs],MATCH(Table_Process_Details[[#This Row],['[Physical Mass per kg API'] of Unique Inputs Sorted by '[Physical Mass per kg API']]],Table_Process_Details[Total '[Physical Mass per kg API'] of Unique Inputs],0))</f>
        <v>#N/A</v>
      </c>
      <c r="CM101" s="94" t="e">
        <f ca="1">IF(LARGE(Table_Process_Details[Total '[Physical Mass per kg API'] of Unique Inputs],Table_Process_Details[[#This Row],[Table Row]])=0,NA(),LARGE(Table_Process_Details[Total '[Physical Mass per kg API'] of Unique Inputs],Table_Process_Details[[#This Row],[Table Row]]))</f>
        <v>#N/A</v>
      </c>
      <c r="CN101" s="94" t="e">
        <f ca="1">SUM(OFFSET(Table_Process_Details['[Physical Mass per kg API'] of Unique Inputs Sorted by '[Physical Mass per kg API']],0,0,Table_Process_Details[[#This Row],[Table Row]]))</f>
        <v>#N/A</v>
      </c>
      <c r="CO101" s="94" t="e">
        <f ca="1">"("&amp;TEXT(Table_Process_Details[[#This Row],['[Physical Mass per kg API'] of Unique Inputs Sorted by '[Physical Mass per kg API']]]/SUMIF(Table_Process_Details['[Physical Mass per kg API'] of Unique Inputs Sorted by '[Physical Mass per kg API']],"&lt;&gt;#N/A"),"0%")&amp;")"</f>
        <v>#N/A</v>
      </c>
      <c r="CP101" s="94" t="e">
        <f ca="1">INDEX(Table_Process_Details[Total '[Physical Mass per kg API'] of Unique Inputs (REAGENT)],MATCH(Table_Process_Details[[#This Row],[Unique Inputs Sorted by '[Physical Mass per kg API']]],Table_Process_Details[Unique Process Inputs],0))</f>
        <v>#N/A</v>
      </c>
      <c r="CQ101" s="94" t="e">
        <f ca="1">INDEX(Table_Process_Details[Total '[Physical Mass per kg API'] of Unique Inputs (METAL)],MATCH(Table_Process_Details[[#This Row],[Unique Inputs Sorted by '[Physical Mass per kg API']]],Table_Process_Details[Unique Process Inputs],0))</f>
        <v>#N/A</v>
      </c>
      <c r="CR101" s="94" t="e">
        <f ca="1">INDEX(Table_Process_Details[Total '[Physical Mass per kg API'] of Unique Inputs (SOLVENT)],MATCH(Table_Process_Details[[#This Row],[Unique Inputs Sorted by '[Physical Mass per kg API']]],Table_Process_Details[Unique Process Inputs],0))</f>
        <v>#N/A</v>
      </c>
      <c r="CS101" s="94" t="e">
        <f ca="1">INDEX(Table_Process_Details[Total '[Physical Mass per kg API'] of Unique Inputs (WATER)],MATCH(Table_Process_Details[[#This Row],[Unique Inputs Sorted by '[Physical Mass per kg API']]],Table_Process_Details[Unique Process Inputs],0))</f>
        <v>#N/A</v>
      </c>
      <c r="CT101" s="94" t="e">
        <f ca="1">INDEX(Table_Process_Details[Total '[Physical Mass per kg API'] of Unique Inputs (ENZ&amp;PLNT)],MATCH(Table_Process_Details[[#This Row],[Unique Inputs Sorted by '[Physical Mass per kg API']]],Table_Process_Details[Unique Process Inputs],0))</f>
        <v>#N/A</v>
      </c>
      <c r="CU101" s="94" t="e">
        <f ca="1">INDEX(Table_Process_Details[Total '[Physical Mass per kg API'] of Unique Inputs (OTHER)],MATCH(Table_Process_Details[[#This Row],[Unique Inputs Sorted by '[Physical Mass per kg API']]],Table_Process_Details[Unique Process Inputs],0))</f>
        <v>#N/A</v>
      </c>
      <c r="CV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01" s="101">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01" s="94">
        <f ca="1">SUMIFS(Table_Process_Details[RV Mass Net (kg) per kg API],Table_Process_Details[Display Name],Table_Process_Details[[#This Row],[Unique Process Inputs]],Table_Process_Details[Input or Output],"Input")</f>
        <v>0</v>
      </c>
      <c r="DD101" s="94">
        <f ca="1">SUMIFS(Table_Process_Details[RV Mass Net (kg) per kg API (REAGENT)],Table_Process_Details[Display Name],Table_Process_Details[[#This Row],[Unique Process Inputs]],Table_Process_Details[Input or Output],"Input")</f>
        <v>0</v>
      </c>
      <c r="DE101" s="94">
        <f ca="1">SUMIFS(Table_Process_Details[RV Mass Net (kg) per kg API (METAL)],Table_Process_Details[Display Name],Table_Process_Details[[#This Row],[Unique Process Inputs]],Table_Process_Details[Input or Output],"Input")</f>
        <v>0</v>
      </c>
      <c r="DF101" s="94">
        <f ca="1">SUMIFS(Table_Process_Details[RV Mass Net (kg) per kg API (SOLVENT)],Table_Process_Details[Display Name],Table_Process_Details[[#This Row],[Unique Process Inputs]],Table_Process_Details[Input or Output],"Input")</f>
        <v>0</v>
      </c>
      <c r="DG101" s="94">
        <f ca="1">SUMIFS(Table_Process_Details[RV Mass Net (kg) per kg API (WATER)],Table_Process_Details[Display Name],Table_Process_Details[[#This Row],[Unique Process Inputs]],Table_Process_Details[Input or Output],"Input")</f>
        <v>0</v>
      </c>
      <c r="DH101" s="94">
        <f ca="1">SUMIFS(Table_Process_Details[RV Mass Net (kg) per kg API (ENZ&amp;PLNT)],Table_Process_Details[Display Name],Table_Process_Details[[#This Row],[Unique Process Inputs]],Table_Process_Details[Input or Output],"Input")</f>
        <v>0</v>
      </c>
      <c r="DI101" s="94">
        <f ca="1">SUMIFS(Table_Process_Details[RV Mass Net (kg) per kg API (OTHER)],Table_Process_Details[Display Name],Table_Process_Details[[#This Row],[Unique Process Inputs]],Table_Process_Details[Input or Output],"Input")</f>
        <v>0</v>
      </c>
      <c r="DJ101" s="94" t="e">
        <f ca="1">INDEX(Table_Process_Details[Unique Process Inputs],MATCH(Table_Process_Details[[#This Row],['[Mass Net (kg) per kg API'] of Unique Inputs Sorted by '[Mass Net (kg) per kg API']]],Table_Process_Details[Total '[Mass Net (kg) per kg API'] of Unique Inputs],0))</f>
        <v>#N/A</v>
      </c>
      <c r="DK101" s="94" t="e">
        <f ca="1">IF(LARGE(Table_Process_Details[Total '[Mass Net (kg) per kg API'] of Unique Inputs],Table_Process_Details[[#This Row],[Table Row]])=0,NA(),LARGE(Table_Process_Details[Total '[Mass Net (kg) per kg API'] of Unique Inputs],Table_Process_Details[[#This Row],[Table Row]]))</f>
        <v>#N/A</v>
      </c>
      <c r="DL101" s="94" t="e">
        <f ca="1">SUM(OFFSET(Table_Process_Details['[Mass Net (kg) per kg API'] of Unique Inputs Sorted by '[Mass Net (kg) per kg API']],0,0,Table_Process_Details[[#This Row],[Table Row]]))</f>
        <v>#N/A</v>
      </c>
      <c r="DM101" s="94" t="e">
        <f ca="1">"("&amp;TEXT(Table_Process_Details[[#This Row],['[Mass Net (kg) per kg API'] of Unique Inputs Sorted by '[Mass Net (kg) per kg API']]]/SUMIF(Table_Process_Details['[Mass Net (kg) per kg API'] of Unique Inputs Sorted by '[Mass Net (kg) per kg API']],"&lt;&gt;#N/A"),"0%")&amp;")"</f>
        <v>#N/A</v>
      </c>
      <c r="DN101" s="94" t="e">
        <f ca="1">INDEX(Table_Process_Details[Total '[Mass Net (kg) per kg API'] of Unique Inputs (REAGENT)], MATCH(Table_Process_Details[[#This Row],[Unique Inputs Sorted by '[Mass Net (kg) per kg API']]],Table_Process_Details[Unique Process Inputs],0))</f>
        <v>#N/A</v>
      </c>
      <c r="DO101" s="94" t="e">
        <f ca="1">INDEX(Table_Process_Details[Total '[Mass Net (kg) per kg API'] of Unique Inputs (METAL)], MATCH(Table_Process_Details[[#This Row],[Unique Inputs Sorted by '[Mass Net (kg) per kg API']]],Table_Process_Details[Unique Process Inputs],0))</f>
        <v>#N/A</v>
      </c>
      <c r="DP101" s="94" t="e">
        <f ca="1">INDEX(Table_Process_Details[Total '[Mass Net (kg) per kg API'] of Unique Inputs (SOLVENT)], MATCH(Table_Process_Details[[#This Row],[Unique Inputs Sorted by '[Mass Net (kg) per kg API']]],Table_Process_Details[Unique Process Inputs],0))</f>
        <v>#N/A</v>
      </c>
      <c r="DQ101" s="94" t="e">
        <f ca="1">INDEX(Table_Process_Details[Total '[Mass Net (kg) per kg API'] of Unique Inputs (WATER)], MATCH(Table_Process_Details[[#This Row],[Unique Inputs Sorted by '[Mass Net (kg) per kg API']]],Table_Process_Details[Unique Process Inputs],0))</f>
        <v>#N/A</v>
      </c>
      <c r="DR101" s="94" t="e">
        <f ca="1">INDEX(Table_Process_Details[Total '[Mass Net (kg) per kg API'] of Unique Inputs (ENZ&amp;PLNT)], MATCH(Table_Process_Details[[#This Row],[Unique Inputs Sorted by '[Mass Net (kg) per kg API']]],Table_Process_Details[Unique Process Inputs],0))</f>
        <v>#N/A</v>
      </c>
      <c r="DS101" s="94" t="e">
        <f ca="1">INDEX(Table_Process_Details[Total '[Mass Net (kg) per kg API'] of Unique Inputs (OTHER)], MATCH(Table_Process_Details[[#This Row],[Unique Inputs Sorted by '[Mass Net (kg) per kg API']]],Table_Process_Details[Unique Process Inputs],0))</f>
        <v>#N/A</v>
      </c>
      <c r="DT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01" s="101">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01" s="94">
        <f ca="1">SUMIFS(Table_Process_Details[RV Energy (MJ) per kg API],Table_Process_Details[Display Name],Table_Process_Details[[#This Row],[Unique Process Inputs]],Table_Process_Details[Input or Output],"Input")</f>
        <v>0</v>
      </c>
      <c r="EB101" s="94">
        <f ca="1">SUMIFS(Table_Process_Details[RV Energy (MJ) per kg API (REAGENT)],Table_Process_Details[Display Name],Table_Process_Details[[#This Row],[Unique Process Inputs]],Table_Process_Details[Input or Output],"Input")</f>
        <v>0</v>
      </c>
      <c r="EC101" s="94">
        <f ca="1">SUMIFS(Table_Process_Details[RV Energy (MJ) per kg API (METAL)],Table_Process_Details[Display Name],Table_Process_Details[[#This Row],[Unique Process Inputs]],Table_Process_Details[Input or Output],"Input")</f>
        <v>0</v>
      </c>
      <c r="ED101" s="94">
        <f ca="1">SUMIFS(Table_Process_Details[RV Energy (MJ) per kg API (SOLVENT)],Table_Process_Details[Display Name],Table_Process_Details[[#This Row],[Unique Process Inputs]],Table_Process_Details[Input or Output],"Input")</f>
        <v>0</v>
      </c>
      <c r="EE101" s="94">
        <f ca="1">SUMIFS(Table_Process_Details[RV Energy (MJ) per kg API (WATER)],Table_Process_Details[Display Name],Table_Process_Details[[#This Row],[Unique Process Inputs]],Table_Process_Details[Input or Output],"Input")</f>
        <v>0</v>
      </c>
      <c r="EF101" s="94">
        <f ca="1">SUMIFS(Table_Process_Details[RV Energy (MJ) per kg API (ENZ&amp;PLNT)],Table_Process_Details[Display Name],Table_Process_Details[[#This Row],[Unique Process Inputs]],Table_Process_Details[Input or Output],"Input")</f>
        <v>0</v>
      </c>
      <c r="EG101" s="94">
        <f ca="1">SUMIFS(Table_Process_Details[RV Energy (MJ) per kg API (OTHER)],Table_Process_Details[Display Name],Table_Process_Details[[#This Row],[Unique Process Inputs]],Table_Process_Details[Input or Output],"Input")</f>
        <v>0</v>
      </c>
      <c r="EH101" s="94" t="e">
        <f ca="1">INDEX(Table_Process_Details[Unique Process Inputs],MATCH(Table_Process_Details[[#This Row],['[Energy (MJ) per kg API'] of Unique Inputs Sorted by '[Energy (MJ) per kg API']]],Table_Process_Details[Total '[Energy (MJ) per kg API'] of Unique Inputs],0))</f>
        <v>#N/A</v>
      </c>
      <c r="EI101" s="94" t="e">
        <f ca="1">IF(LARGE(Table_Process_Details[Total '[Energy (MJ) per kg API'] of Unique Inputs],Table_Process_Details[[#This Row],[Table Row]])=0,NA(),LARGE(Table_Process_Details[Total '[Energy (MJ) per kg API'] of Unique Inputs],Table_Process_Details[[#This Row],[Table Row]]))</f>
        <v>#N/A</v>
      </c>
      <c r="EJ101" s="94" t="e">
        <f ca="1">SUM(OFFSET(Table_Process_Details['[Energy (MJ) per kg API'] of Unique Inputs Sorted by '[Energy (MJ) per kg API']],0,0,Table_Process_Details[[#This Row],[Table Row]]))</f>
        <v>#N/A</v>
      </c>
      <c r="EK101" s="94" t="e">
        <f ca="1">"("&amp;TEXT(Table_Process_Details[[#This Row],['[Energy (MJ) per kg API'] of Unique Inputs Sorted by '[Energy (MJ) per kg API']]]/SUMIF(Table_Process_Details['[Energy (MJ) per kg API'] of Unique Inputs Sorted by '[Energy (MJ) per kg API']],"&lt;&gt;#N/A"),"0%")&amp;")"</f>
        <v>#N/A</v>
      </c>
      <c r="EL101" s="94" t="e">
        <f ca="1">INDEX(Table_Process_Details[Total '[Energy (MJ) per kg API'] of Unique Inputs (REAGENT)], MATCH(Table_Process_Details[[#This Row],[Unique Inputs Sorted by '[Energy (MJ) per kg API']]],Table_Process_Details[Unique Process Inputs],0))</f>
        <v>#N/A</v>
      </c>
      <c r="EM101" s="94" t="e">
        <f ca="1">INDEX(Table_Process_Details[Total '[Energy (MJ) per kg API'] of Unique Inputs (METAL)], MATCH(Table_Process_Details[[#This Row],[Unique Inputs Sorted by '[Energy (MJ) per kg API']]],Table_Process_Details[Unique Process Inputs],0))</f>
        <v>#N/A</v>
      </c>
      <c r="EN101" s="94" t="e">
        <f ca="1">INDEX(Table_Process_Details[Total '[Energy (MJ) per kg API'] of Unique Inputs (SOLVENT)], MATCH(Table_Process_Details[[#This Row],[Unique Inputs Sorted by '[Energy (MJ) per kg API']]],Table_Process_Details[Unique Process Inputs],0))</f>
        <v>#N/A</v>
      </c>
      <c r="EO101" s="94" t="e">
        <f ca="1">INDEX(Table_Process_Details[Total '[Energy (MJ) per kg API'] of Unique Inputs (WATER)], MATCH(Table_Process_Details[[#This Row],[Unique Inputs Sorted by '[Energy (MJ) per kg API']]],Table_Process_Details[Unique Process Inputs],0))</f>
        <v>#N/A</v>
      </c>
      <c r="EP101" s="94" t="e">
        <f ca="1">INDEX(Table_Process_Details[Total '[Energy (MJ) per kg API'] of Unique Inputs (ENZ&amp;PLNT)], MATCH(Table_Process_Details[[#This Row],[Unique Inputs Sorted by '[Energy (MJ) per kg API']]],Table_Process_Details[Unique Process Inputs],0))</f>
        <v>#N/A</v>
      </c>
      <c r="EQ101" s="94" t="e">
        <f ca="1">INDEX(Table_Process_Details[Total '[Energy (MJ) per kg API'] of Unique Inputs (OTHER)], MATCH(Table_Process_Details[[#This Row],[Unique Inputs Sorted by '[Energy (MJ) per kg API']]],Table_Process_Details[Unique Process Inputs],0))</f>
        <v>#N/A</v>
      </c>
      <c r="ER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01" s="101">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01" s="94">
        <f ca="1">SUMIFS(Table_Process_Details[RV GWP (kg CO2 equiv.) per kg API],Table_Process_Details[Display Name],Table_Process_Details[[#This Row],[Unique Process Inputs]],Table_Process_Details[Input or Output],"Input")</f>
        <v>0</v>
      </c>
      <c r="EZ101" s="94">
        <f ca="1">SUMIFS(Table_Process_Details[RV GWP (kg CO2 equiv.) per kg API (REAGENT)],Table_Process_Details[Display Name],Table_Process_Details[[#This Row],[Unique Process Inputs]],Table_Process_Details[Input or Output],"Input")</f>
        <v>0</v>
      </c>
      <c r="FA101" s="94">
        <f ca="1">SUMIFS(Table_Process_Details[RV GWP (kg CO2 equiv.) per kg API (METAL)],Table_Process_Details[Display Name],Table_Process_Details[[#This Row],[Unique Process Inputs]],Table_Process_Details[Input or Output],"Input")</f>
        <v>0</v>
      </c>
      <c r="FB101" s="94">
        <f ca="1">SUMIFS(Table_Process_Details[RV GWP (kg CO2 equiv.) per kg API (SOLVENT)],Table_Process_Details[Display Name],Table_Process_Details[[#This Row],[Unique Process Inputs]],Table_Process_Details[Input or Output],"Input")</f>
        <v>0</v>
      </c>
      <c r="FC101" s="94">
        <f ca="1">SUMIFS(Table_Process_Details[RV GWP (kg CO2 equiv.) per kg API (WATER)],Table_Process_Details[Display Name],Table_Process_Details[[#This Row],[Unique Process Inputs]],Table_Process_Details[Input or Output],"Input")</f>
        <v>0</v>
      </c>
      <c r="FD101" s="94">
        <f ca="1">SUMIFS(Table_Process_Details[RV GWP (kg CO2 equiv.) per kg API (ENZ&amp;PLNT)],Table_Process_Details[Display Name],Table_Process_Details[[#This Row],[Unique Process Inputs]],Table_Process_Details[Input or Output],"Input")</f>
        <v>0</v>
      </c>
      <c r="FE101" s="94">
        <f ca="1">SUMIFS(Table_Process_Details[RV GWP (kg CO2 equiv.) per kg API (OTHER)],Table_Process_Details[Display Name],Table_Process_Details[[#This Row],[Unique Process Inputs]],Table_Process_Details[Input or Output],"Input")</f>
        <v>0</v>
      </c>
      <c r="FF101" s="94" t="e">
        <f ca="1">INDEX(Table_Process_Details[Unique Process Inputs],MATCH(Table_Process_Details[[#This Row],['[GWP (kg CO2 equiv.) per kg API'] of Unique Inputs Sorted by '[GWP (kg CO2 equiv.) per kg API']]],Table_Process_Details[Total '[GWP (kg CO2 equiv.) per kg API'] of Unique Inputs],0))</f>
        <v>#N/A</v>
      </c>
      <c r="FG101" s="94" t="e">
        <f ca="1">IF(LARGE(Table_Process_Details[Total '[GWP (kg CO2 equiv.) per kg API'] of Unique Inputs],Table_Process_Details[[#This Row],[Table Row]])=0,NA(),LARGE(Table_Process_Details[Total '[GWP (kg CO2 equiv.) per kg API'] of Unique Inputs],Table_Process_Details[[#This Row],[Table Row]]))</f>
        <v>#N/A</v>
      </c>
      <c r="FH101" s="94" t="e">
        <f ca="1">SUM(OFFSET(Table_Process_Details['[GWP (kg CO2 equiv.) per kg API'] of Unique Inputs Sorted by '[GWP (kg CO2 equiv.) per kg API']],0,0,Table_Process_Details[[#This Row],[Table Row]]))</f>
        <v>#N/A</v>
      </c>
      <c r="FI101" s="94" t="e">
        <f ca="1">"("&amp;TEXT(Table_Process_Details[[#This Row],['[GWP (kg CO2 equiv.) per kg API'] of Unique Inputs Sorted by '[GWP (kg CO2 equiv.) per kg API']]]/SUMIF(Table_Process_Details['[GWP (kg CO2 equiv.) per kg API'] of Unique Inputs Sorted by '[GWP (kg CO2 equiv.) per kg API']],"&lt;&gt;#N/A"),"0%")&amp;")"</f>
        <v>#N/A</v>
      </c>
      <c r="FJ101" s="94" t="e">
        <f ca="1">INDEX(Table_Process_Details[Total '[GWP (kg CO2 equiv.) per kg API'] of Unique Inputs (REAGENT)], MATCH(Table_Process_Details[[#This Row],[Unique Inputs Sorted by '[GWP (kg CO2 equiv.) per kg API']]],Table_Process_Details[Unique Process Inputs],0))</f>
        <v>#N/A</v>
      </c>
      <c r="FK101" s="94" t="e">
        <f ca="1">INDEX(Table_Process_Details[Total '[GWP (kg CO2 equiv.) per kg API'] of Unique Inputs (METAL)], MATCH(Table_Process_Details[[#This Row],[Unique Inputs Sorted by '[GWP (kg CO2 equiv.) per kg API']]],Table_Process_Details[Unique Process Inputs],0))</f>
        <v>#N/A</v>
      </c>
      <c r="FL101" s="94" t="e">
        <f ca="1">INDEX(Table_Process_Details[Total '[GWP (kg CO2 equiv.) per kg API'] of Unique Inputs (SOLVENT)], MATCH(Table_Process_Details[[#This Row],[Unique Inputs Sorted by '[GWP (kg CO2 equiv.) per kg API']]],Table_Process_Details[Unique Process Inputs],0))</f>
        <v>#N/A</v>
      </c>
      <c r="FM101" s="94" t="e">
        <f ca="1">INDEX(Table_Process_Details[Total '[GWP (kg CO2 equiv.) per kg API'] of Unique Inputs (WATER)], MATCH(Table_Process_Details[[#This Row],[Unique Inputs Sorted by '[GWP (kg CO2 equiv.) per kg API']]],Table_Process_Details[Unique Process Inputs],0))</f>
        <v>#N/A</v>
      </c>
      <c r="FN101" s="94" t="e">
        <f ca="1">INDEX(Table_Process_Details[Total '[GWP (kg CO2 equiv.) per kg API'] of Unique Inputs (ENZ&amp;PLNT)], MATCH(Table_Process_Details[[#This Row],[Unique Inputs Sorted by '[GWP (kg CO2 equiv.) per kg API']]],Table_Process_Details[Unique Process Inputs],0))</f>
        <v>#N/A</v>
      </c>
      <c r="FO101" s="94" t="e">
        <f ca="1">INDEX(Table_Process_Details[Total '[GWP (kg CO2 equiv.) per kg API'] of Unique Inputs (OTHER)], MATCH(Table_Process_Details[[#This Row],[Unique Inputs Sorted by '[GWP (kg CO2 equiv.) per kg API']]],Table_Process_Details[Unique Process Inputs],0))</f>
        <v>#N/A</v>
      </c>
      <c r="FP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01" s="101">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01" s="94">
        <f ca="1">SUMIFS(Table_Process_Details[RV Acidification (kg SO2 equiv.) per kg API],Table_Process_Details[Display Name],Table_Process_Details[[#This Row],[Unique Process Inputs]],Table_Process_Details[Input or Output],"Input")</f>
        <v>0</v>
      </c>
      <c r="FX101" s="94">
        <f ca="1">SUMIFS(Table_Process_Details[RV Acidification (kg SO2 equiv.) per kg API (REAGENT)],Table_Process_Details[Display Name],Table_Process_Details[[#This Row],[Unique Process Inputs]],Table_Process_Details[Input or Output],"Input")</f>
        <v>0</v>
      </c>
      <c r="FY101" s="94">
        <f ca="1">SUMIFS(Table_Process_Details[RV Acidification (kg SO2 equiv.) per kg API (METAL)],Table_Process_Details[Display Name],Table_Process_Details[[#This Row],[Unique Process Inputs]],Table_Process_Details[Input or Output],"Input")</f>
        <v>0</v>
      </c>
      <c r="FZ101" s="94">
        <f ca="1">SUMIFS(Table_Process_Details[RV Acidification (kg SO2 equiv.) per kg API (SOLVENT)],Table_Process_Details[Display Name],Table_Process_Details[[#This Row],[Unique Process Inputs]],Table_Process_Details[Input or Output],"Input")</f>
        <v>0</v>
      </c>
      <c r="GA101" s="94">
        <f ca="1">SUMIFS(Table_Process_Details[RV Acidification (kg SO2 equiv.) per kg API (WATER)],Table_Process_Details[Display Name],Table_Process_Details[[#This Row],[Unique Process Inputs]],Table_Process_Details[Input or Output],"Input")</f>
        <v>0</v>
      </c>
      <c r="GB101" s="94">
        <f ca="1">SUMIFS(Table_Process_Details[RV Acidification (kg SO2 equiv.) per kg API (ENZ&amp;PLNT)],Table_Process_Details[Display Name],Table_Process_Details[[#This Row],[Unique Process Inputs]],Table_Process_Details[Input or Output],"Input")</f>
        <v>0</v>
      </c>
      <c r="GC101" s="94">
        <f ca="1">SUMIFS(Table_Process_Details[RV Acidification (kg SO2 equiv.) per kg API (OTHER)],Table_Process_Details[Display Name],Table_Process_Details[[#This Row],[Unique Process Inputs]],Table_Process_Details[Input or Output],"Input")</f>
        <v>0</v>
      </c>
      <c r="GD101" s="94"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101" s="94" t="e">
        <f ca="1">IF(LARGE(Table_Process_Details[Total '[Acidification (kg SO2 equiv.) per kg API'] of Unique Inputs],Table_Process_Details[[#This Row],[Table Row]])=0,NA(),LARGE(Table_Process_Details[Total '[Acidification (kg SO2 equiv.) per kg API'] of Unique Inputs],Table_Process_Details[[#This Row],[Table Row]]))</f>
        <v>#N/A</v>
      </c>
      <c r="GF101" s="94" t="e">
        <f ca="1">SUM(OFFSET(Table_Process_Details['[Acidification (kg SO2 equiv.) per kg API'] of Unique Inputs Sorted by '[Acidification (kg SO2 equiv.) per kg API']],0,0,Table_Process_Details[[#This Row],[Table Row]]))</f>
        <v>#N/A</v>
      </c>
      <c r="GG101" s="94"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101" s="94" t="e">
        <f ca="1">INDEX(Table_Process_Details[Total '[Acidification (kg SO2 equiv.) per kg API'] of Unique Inputs (REAGENT)], MATCH(Table_Process_Details[[#This Row],[Unique Inputs Sorted by '[Acidification (kg SO2 equiv.) per kg API']]],Table_Process_Details[Unique Process Inputs],0))</f>
        <v>#N/A</v>
      </c>
      <c r="GI101" s="94" t="e">
        <f ca="1">INDEX(Table_Process_Details[Total '[Acidification (kg SO2 equiv.) per kg API'] of Unique Inputs (METAL)], MATCH(Table_Process_Details[[#This Row],[Unique Inputs Sorted by '[Acidification (kg SO2 equiv.) per kg API']]],Table_Process_Details[Unique Process Inputs],0))</f>
        <v>#N/A</v>
      </c>
      <c r="GJ101" s="94" t="e">
        <f ca="1">INDEX(Table_Process_Details[Total '[Acidification (kg SO2 equiv.) per kg API'] of Unique Inputs (SOLVENT)], MATCH(Table_Process_Details[[#This Row],[Unique Inputs Sorted by '[Acidification (kg SO2 equiv.) per kg API']]],Table_Process_Details[Unique Process Inputs],0))</f>
        <v>#N/A</v>
      </c>
      <c r="GK101" s="94" t="e">
        <f ca="1">INDEX(Table_Process_Details[Total '[Acidification (kg SO2 equiv.) per kg API'] of Unique Inputs (WATER)], MATCH(Table_Process_Details[[#This Row],[Unique Inputs Sorted by '[Acidification (kg SO2 equiv.) per kg API']]],Table_Process_Details[Unique Process Inputs],0))</f>
        <v>#N/A</v>
      </c>
      <c r="GL101" s="94" t="e">
        <f ca="1">INDEX(Table_Process_Details[Total '[Acidification (kg SO2 equiv.) per kg API'] of Unique Inputs (ENZ&amp;PLNT)], MATCH(Table_Process_Details[[#This Row],[Unique Inputs Sorted by '[Acidification (kg SO2 equiv.) per kg API']]],Table_Process_Details[Unique Process Inputs],0))</f>
        <v>#N/A</v>
      </c>
      <c r="GM101" s="94" t="e">
        <f ca="1">INDEX(Table_Process_Details[Total '[Acidification (kg SO2 equiv.) per kg API'] of Unique Inputs (OTHER)], MATCH(Table_Process_Details[[#This Row],[Unique Inputs Sorted by '[Acidification (kg SO2 equiv.) per kg API']]],Table_Process_Details[Unique Process Inputs],0))</f>
        <v>#N/A</v>
      </c>
      <c r="GN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01" s="101">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01" s="94">
        <f ca="1">SUMIFS(Table_Process_Details[RV Eutrophication (kg phosphate equiv.) per kg API],Table_Process_Details[Display Name],Table_Process_Details[[#This Row],[Unique Process Inputs]],Table_Process_Details[Input or Output],"Input")</f>
        <v>0</v>
      </c>
      <c r="GV101" s="94">
        <f ca="1">SUMIFS(Table_Process_Details[RV Eutrophication (kg phosphate equiv.) per kg API (REAGENT)],Table_Process_Details[Display Name],Table_Process_Details[[#This Row],[Unique Process Inputs]],Table_Process_Details[Input or Output],"Input")</f>
        <v>0</v>
      </c>
      <c r="GW101" s="94">
        <f ca="1">SUMIFS(Table_Process_Details[RV Eutrophication (kg phosphate equiv.) per kg API (METAL)],Table_Process_Details[Display Name],Table_Process_Details[[#This Row],[Unique Process Inputs]],Table_Process_Details[Input or Output],"Input")</f>
        <v>0</v>
      </c>
      <c r="GX101" s="94">
        <f ca="1">SUMIFS(Table_Process_Details[RV Eutrophication (kg phosphate equiv.) per kg API (SOLVENT)],Table_Process_Details[Display Name],Table_Process_Details[[#This Row],[Unique Process Inputs]],Table_Process_Details[Input or Output],"Input")</f>
        <v>0</v>
      </c>
      <c r="GY101" s="94">
        <f ca="1">SUMIFS(Table_Process_Details[RV Eutrophication (kg phosphate equiv.) per kg API (WATER)],Table_Process_Details[Display Name],Table_Process_Details[[#This Row],[Unique Process Inputs]],Table_Process_Details[Input or Output],"Input")</f>
        <v>0</v>
      </c>
      <c r="GZ101" s="94">
        <f ca="1">SUMIFS(Table_Process_Details[RV Eutrophication (kg phosphate equiv.) per kg API (ENZ&amp;PLNT)],Table_Process_Details[Display Name],Table_Process_Details[[#This Row],[Unique Process Inputs]],Table_Process_Details[Input or Output],"Input")</f>
        <v>0</v>
      </c>
      <c r="HA101" s="94">
        <f ca="1">SUMIFS(Table_Process_Details[RV Eutrophication (kg phosphate equiv.) per kg API (OTHER)],Table_Process_Details[Display Name],Table_Process_Details[[#This Row],[Unique Process Inputs]],Table_Process_Details[Input or Output],"Input")</f>
        <v>0</v>
      </c>
      <c r="HB101" s="94"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101" s="94"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101" s="94" t="e">
        <f ca="1">SUM(OFFSET(Table_Process_Details['[Eutrophication (kg posphate equiv.) per kg API'] of Unique Inputs Sorted by '[Eutrophication (kg posphate equiv.) per kg API']],0,0,Table_Process_Details[[#This Row],[Table Row]]))</f>
        <v>#N/A</v>
      </c>
      <c r="HE101" s="94"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101" s="94" t="e">
        <f ca="1">INDEX(Table_Process_Details[Total '[Eutrophication (kg posphate equiv.) per kg API'] of Unique Inputs (REAGENT)], MATCH(Table_Process_Details[[#This Row],[Unique Inputs Sorted by '[Eutrophication (kg posphate equiv.) per kg API']]],Table_Process_Details[Unique Process Inputs],0))</f>
        <v>#N/A</v>
      </c>
      <c r="HG101" s="94" t="e">
        <f ca="1">INDEX(Table_Process_Details[Total '[Eutrophication (kg posphate equiv.) per kg API'] of Unique Inputs (METAL)], MATCH(Table_Process_Details[[#This Row],[Unique Inputs Sorted by '[Eutrophication (kg posphate equiv.) per kg API']]],Table_Process_Details[Unique Process Inputs],0))</f>
        <v>#N/A</v>
      </c>
      <c r="HH101" s="94" t="e">
        <f ca="1">INDEX(Table_Process_Details[Total '[Eutrophication (kg posphate equiv.) per kg API'] of Unique Inputs (SOLVENT)], MATCH(Table_Process_Details[[#This Row],[Unique Inputs Sorted by '[Eutrophication (kg posphate equiv.) per kg API']]],Table_Process_Details[Unique Process Inputs],0))</f>
        <v>#N/A</v>
      </c>
      <c r="HI101" s="94" t="e">
        <f ca="1">INDEX(Table_Process_Details[Total '[Eutrophication (kg posphate equiv.) per kg API'] of Unique Inputs (WATER)], MATCH(Table_Process_Details[[#This Row],[Unique Inputs Sorted by '[Eutrophication (kg posphate equiv.) per kg API']]],Table_Process_Details[Unique Process Inputs],0))</f>
        <v>#N/A</v>
      </c>
      <c r="HJ101" s="94" t="e">
        <f ca="1">INDEX(Table_Process_Details[Total '[Eutrophication (kg posphate equiv.) per kg API'] of Unique Inputs (ENZ&amp;PLNT)], MATCH(Table_Process_Details[[#This Row],[Unique Inputs Sorted by '[Eutrophication (kg posphate equiv.) per kg API']]],Table_Process_Details[Unique Process Inputs],0))</f>
        <v>#N/A</v>
      </c>
      <c r="HK101" s="94" t="e">
        <f ca="1">INDEX(Table_Process_Details[Total '[Eutrophication (kg posphate equiv.) per kg API'] of Unique Inputs (OTHER)], MATCH(Table_Process_Details[[#This Row],[Unique Inputs Sorted by '[Eutrophication (kg posphate equiv.) per kg API']]],Table_Process_Details[Unique Process Inputs],0))</f>
        <v>#N/A</v>
      </c>
      <c r="HL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01" s="101">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01" s="94">
        <f ca="1">SUMIFS(Table_Process_Details[RV Water (kg) per kg API],Table_Process_Details[Display Name],Table_Process_Details[[#This Row],[Unique Process Inputs]],Table_Process_Details[Input or Output],"Input")</f>
        <v>0</v>
      </c>
      <c r="HT101" s="94">
        <f ca="1">SUMIFS(Table_Process_Details[RV Water (kg) per kg API (REAGENT)],Table_Process_Details[Display Name],Table_Process_Details[[#This Row],[Unique Process Inputs]],Table_Process_Details[Input or Output],"Input")</f>
        <v>0</v>
      </c>
      <c r="HU101" s="94">
        <f ca="1">SUMIFS(Table_Process_Details[RV Water (kg) per kg API (METAL)],Table_Process_Details[Display Name],Table_Process_Details[[#This Row],[Unique Process Inputs]],Table_Process_Details[Input or Output],"Input")</f>
        <v>0</v>
      </c>
      <c r="HV101" s="94">
        <f ca="1">SUMIFS(Table_Process_Details[RV Water (kg) per kg API (SOLVENT)],Table_Process_Details[Display Name],Table_Process_Details[[#This Row],[Unique Process Inputs]],Table_Process_Details[Input or Output],"Input")</f>
        <v>0</v>
      </c>
      <c r="HW101" s="94">
        <f ca="1">SUMIFS(Table_Process_Details[RV Water (kg) per kg API (WATER)],Table_Process_Details[Display Name],Table_Process_Details[[#This Row],[Unique Process Inputs]],Table_Process_Details[Input or Output],"Input")</f>
        <v>0</v>
      </c>
      <c r="HX101" s="94">
        <f ca="1">SUMIFS(Table_Process_Details[RV Water (kg) per kg API (ENZ&amp;PLNT)],Table_Process_Details[Display Name],Table_Process_Details[[#This Row],[Unique Process Inputs]],Table_Process_Details[Input or Output],"Input")</f>
        <v>0</v>
      </c>
      <c r="HY101" s="94">
        <f ca="1">SUMIFS(Table_Process_Details[RV Water (kg) per kg API (OTHER)],Table_Process_Details[Display Name],Table_Process_Details[[#This Row],[Unique Process Inputs]],Table_Process_Details[Input or Output],"Input")</f>
        <v>0</v>
      </c>
      <c r="HZ101" s="94" t="e">
        <f ca="1">INDEX(Table_Process_Details[Unique Process Inputs],MATCH(Table_Process_Details[[#This Row],['[Water (kg) per kg API'] of Unique Inputs Sorted by '[Water (kg) per kg API']]],Table_Process_Details[Total '[Water (kg) per kg API'] of Unique Inputs],0))</f>
        <v>#N/A</v>
      </c>
      <c r="IA101" s="94" t="e">
        <f ca="1">IF(LARGE(Table_Process_Details[Total '[Water (kg) per kg API'] of Unique Inputs],Table_Process_Details[[#This Row],[Table Row]])=0,NA(),LARGE(Table_Process_Details[Total '[Water (kg) per kg API'] of Unique Inputs],Table_Process_Details[[#This Row],[Table Row]]))</f>
        <v>#N/A</v>
      </c>
      <c r="IB101" s="94" t="e">
        <f ca="1">SUM(OFFSET(Table_Process_Details['[Water (kg) per kg API'] of Unique Inputs Sorted by '[Water (kg) per kg API']],0,0,Table_Process_Details[[#This Row],[Table Row]]))</f>
        <v>#N/A</v>
      </c>
      <c r="IC101" s="94" t="e">
        <f ca="1">"("&amp;TEXT(Table_Process_Details[[#This Row],['[Water (kg) per kg API'] of Unique Inputs Sorted by '[Water (kg) per kg API']]]/SUMIF(Table_Process_Details['[Water (kg) per kg API'] of Unique Inputs Sorted by '[Water (kg) per kg API']],"&lt;&gt;#N/A"),"0%")&amp;")"</f>
        <v>#N/A</v>
      </c>
      <c r="ID101" s="94" t="e">
        <f ca="1">INDEX(Table_Process_Details[Total '[Water (kg) per kg API'] of Unique Inputs (REAGENT)], MATCH(Table_Process_Details[[#This Row],[Unique Inputs Sorted by '[Water (kg) per kg API']]],Table_Process_Details[Unique Process Inputs],0))</f>
        <v>#N/A</v>
      </c>
      <c r="IE101" s="94" t="e">
        <f ca="1">INDEX(Table_Process_Details[Total '[Water (kg) per kg API'] of Unique Inputs (METAL)], MATCH(Table_Process_Details[[#This Row],[Unique Inputs Sorted by '[Water (kg) per kg API']]],Table_Process_Details[Unique Process Inputs],0))</f>
        <v>#N/A</v>
      </c>
      <c r="IF101" s="94" t="e">
        <f ca="1">INDEX(Table_Process_Details[Total '[Water (kg) per kg API'] of Unique Inputs (SOLVENT)], MATCH(Table_Process_Details[[#This Row],[Unique Inputs Sorted by '[Water (kg) per kg API']]],Table_Process_Details[Unique Process Inputs],0))</f>
        <v>#N/A</v>
      </c>
      <c r="IG101" s="94" t="e">
        <f ca="1">INDEX(Table_Process_Details[Total '[Water (kg) per kg API'] of Unique Inputs (WATER)], MATCH(Table_Process_Details[[#This Row],[Unique Inputs Sorted by '[Water (kg) per kg API']]],Table_Process_Details[Unique Process Inputs],0))</f>
        <v>#N/A</v>
      </c>
      <c r="IH101" s="94" t="e">
        <f ca="1">INDEX(Table_Process_Details[Total '[Water (kg) per kg API'] of Unique Inputs (ENZ&amp;PLNT)], MATCH(Table_Process_Details[[#This Row],[Unique Inputs Sorted by '[Water (kg) per kg API']]],Table_Process_Details[Unique Process Inputs],0))</f>
        <v>#N/A</v>
      </c>
      <c r="II101" s="94" t="e">
        <f ca="1">INDEX(Table_Process_Details[Total '[Water (kg) per kg API'] of Unique Inputs (OTHER)], MATCH(Table_Process_Details[[#This Row],[Unique Inputs Sorted by '[Water (kg) per kg API']]],Table_Process_Details[Unique Process Inputs],0))</f>
        <v>#N/A</v>
      </c>
    </row>
    <row r="102" spans="1:243" x14ac:dyDescent="0.25">
      <c r="A102" s="98" t="s">
        <v>556</v>
      </c>
      <c r="B102" s="99" t="s">
        <v>5</v>
      </c>
      <c r="C102" s="99" t="s">
        <v>155</v>
      </c>
      <c r="D102" s="98" t="s">
        <v>155</v>
      </c>
      <c r="E102" s="98" t="str">
        <f>"Packaged "&amp;INDEX(Process_Steps[Product Display Name],MATCH(1,INDEX((Process_Steps[Name]=INDEX(Table_Process_Details[LCA Data Source Subclass],MATCH(1,INDEX((Table_Process_Details[Step Name]="PACKAGE")*(Table_Process_Details[Input or Output]="Input"),0),0)))*(1),0),0))</f>
        <v>Packaged Fictional API</v>
      </c>
      <c r="F102" s="100">
        <v>1</v>
      </c>
      <c r="G102" s="100"/>
      <c r="H102" s="100" t="s">
        <v>869</v>
      </c>
      <c r="I102" s="100"/>
      <c r="J102" s="100" t="str">
        <f>INDEX(Process_Steps[Reference],MATCH(Table_Process_Details[[#This Row],[Step Name]],Process_Steps[Name],0))</f>
        <v>PACKAGE</v>
      </c>
      <c r="K102" s="105" t="str">
        <f>INDEX(Process_Steps[Real or Virtual?],MATCH(Table_Process_Details[[#This Row],[Step Name]],Process_Steps[Name],0))</f>
        <v>Real</v>
      </c>
      <c r="L102" s="100" t="str">
        <f ca="1">IF(AND(Table_Process_Details[[#This Row],[Input or Output]]="Input",NOT(Table_Process_Details[[#This Row],[LCA Data Source Class]]="Process_Steps")),IFERROR(INDEX(INDIRECT(Table_Process_Details[[#This Row],[LCA Data Source Class]]&amp;"[CAS '#]"),MATCH(Table_Process_Details[[#This Row],[LCA Data Source Subclass]],INDIRECT(Table_Process_Details[[#This Row],[LCA Data Source Class]]&amp;"[Name]"),0)),"xx"),"")</f>
        <v/>
      </c>
      <c r="M102" s="100" t="str">
        <f ca="1">IF(Table_Process_Details[[#This Row],[Input or Output]]="Input",IF(OR(Table_Process_Details[[#This Row],[LCA Data Source Class]]="iGAL_Aligned_Organic",Table_Process_Details[[#This Row],[LCA Data Source Class]]="Non_iGAL_Aligned_Organic",Table_Process_Details[[#This Row],[LCA Data Source Class]]="Common_Inorganic"),"REAGENT",IF(Table_Process_Details[[#This Row],[LCA Data Source Class]]="Special_Metal","METAL",IF(Table_Process_Details[[#This Row],[LCA Data Source Class]]="Enzymes_and_Plant_Extracts","ENZ&amp;PLNT",IF(Table_Process_Details[[#This Row],[LCA Data Source Class]]="Common_Solvent",IF(ISNUMBER(SEARCH("water",Table_Process_Details[[#This Row],[LCA Data Source Subclass]])),"WATER","SOLVENT"),IF(Table_Process_Details[[#This Row],[LCA Data Source Class]]="Custom_Material",INDEX(INDIRECT(Table_Process_Details[[#This Row],[LCA Data Source Class]]&amp;"[Classification]"),MATCH(Table_Process_Details[[#This Row],[LCA Data Source Subclass]],INDIRECT(Table_Process_Details[[#This Row],[LCA Data Source Class]]&amp;"[Name]"),0)),"Complex Input"))))),"STEP PRODUCT")</f>
        <v>STEP PRODUCT</v>
      </c>
      <c r="N102" s="100">
        <f>INDEX(Table_Process_Details[Physical Mass (kg)],MATCH(1,INDEX(((Table_Process_Details[Step Name]=Table_Process_Details[[#This Row],[Step Name]])*(Table_Process_Details[Input or Output]="Output")),0),0))</f>
        <v>1</v>
      </c>
      <c r="O102" s="105">
        <f ca="1">INDEX(Process_Steps[Step Scale Factor for 1kg Packaged API],MATCH(Table_Process_Details[[#This Row],[Step Name]],Process_Steps[Name],0))</f>
        <v>1</v>
      </c>
      <c r="P102" s="100">
        <f ca="1">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21</v>
      </c>
      <c r="Q102" s="100">
        <f ca="1">COUNTA(Process_Steps[Name])-IF(Table_Process_Details[[#This Row],[Input or Output]]="Output",INDEX(Process_Steps[Table Row],MATCH(Table_Process_Details[[#This Row],[Step Name]],Process_Steps[Name],0)),IF(Table_Process_Details[[#This Row],[LCA Data Source Class]]="Process_Steps",AVERAGE(INDEX(Process_Steps[Table Row],MATCH(Table_Process_Details[[#This Row],[Step Name]],Process_Steps[Name],0)),INDEX(Process_Steps[Table Row],MATCH(Table_Process_Details[[#This Row],[LCA Data Source Subclass]],Process_Steps[Name],0))),INDEX(Process_Steps[Table Row],MATCH(Table_Process_Details[[#This Row],[Step Name]],Process_Steps[Name],0))+SUM(INDEX((OFFSET(Table_Process_Details[Step Name],Table_Process_Details[[#This Row],[Table Row]]-1,0)=Table_Process_Details[[#This Row],[Step Name]])*(OFFSET(Table_Process_Details[Input or Output],Table_Process_Details[[#This Row],[Table Row]]-1,0)="Input")*(OFFSET(Table_Process_Details[LCA Data Source Class],Table_Process_Details[[#This Row],[Table Row]]-1,0)&lt;&gt;"Process_Steps"),0))/(SUM(INDEX((Table_Process_Details[Step Name]=Table_Process_Details[[#This Row],[Step Name]])*(Table_Process_Details[Input or Output]="Input")*(Table_Process_Details[LCA Data Source Class]&lt;&gt;"Process_Steps"),0))+1)))</f>
        <v>0</v>
      </c>
      <c r="R102" s="100">
        <f ca="1">_xlfn.SWITCH(Run_Reset_PNG,"Reset",Table_Process_Details[[#This Row],[X Init]],"Run",Table_Process_Details[[#This Row],[X Moved]],"Freeze",Table_Process_Details[[#This Row],[X Mover]])</f>
        <v>37.477861207720551</v>
      </c>
      <c r="S102" s="100">
        <f ca="1">_xlfn.SWITCH(Run_Reset_PNG,"Reset",Table_Process_Details[[#This Row],[Y Init]],"Run",Table_Process_Details[[#This Row],[Y Moved]],"Freeze",Table_Process_Details[[#This Row],[Y Mover]])</f>
        <v>10.531682026520127</v>
      </c>
      <c r="T102" s="100">
        <f t="array" aca="1" ref="T102" ca="1">SUMPRODUCT((Table_Process_Details[X Mover]-Table_Process_Details[[#This Row],[X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3.5375622450624551</v>
      </c>
      <c r="U102" s="100">
        <f t="array" aca="1" ref="U102" ca="1">SUMPRODUCT((Table_Process_Details[Y Mover]-Table_Process_Details[[#This Row],[Y Mover]])*0.5*IF(ISERR((SQRT((Table_Process_Details[[#This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Mover])^2)),0,(SQRT((Table_Process_Details[[#This Row],[X Mover]]-Table_Process_Details[X Mover])^2+(Table_Process_Details[[#This Row],[Y Mover]]-Table_Process_Details[Y Mover])^2)-Collision_Distance)/SQRT((Table_Process_Details[[#This Row],[X Mover]]-Table_Process_Details[X Mover])^2+(Table_Process_Details[[#This Row],[Y Mover]]-Table_Process_Details[Y Mover])^2)),(--(SQRT((Table_Process_Details[[#This Row],[X Mover]]-Table_Process_Details[X Mover])^2+(Table_Process_Details[[#This Row],[Y Mover]]-Table_Process_Details[Y Mover])^2)&lt;Collision_Distance)))</f>
        <v>2.5528583041779838</v>
      </c>
      <c r="V102" s="100">
        <f t="array" aca="1" ref="V102" ca="1">SUM(--(SQRT((Table_Process_Details[[#This Row],[X Mover]]-Table_Process_Details[X Mover])^2+(Table_Process_Details[[#This Row],[Y Mover]]-Table_Process_Details[Y Mover])^2)&lt;Collision_Distance))</f>
        <v>6</v>
      </c>
      <c r="W102" s="100">
        <f t="array" aca="1" ref="W102" ca="1">SUMPRODUCT((Table_Process_Details[X Mover]-Table_Process_Details[[#This Row],[X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-0.45872955346790589</v>
      </c>
      <c r="X102" s="100">
        <f t="array" aca="1" ref="X102" ca="1">SUMPRODUCT((Table_Process_Details[Y Mover]-Table_Process_Details[[#This Row],[Y Mover]])*0.5*IF(ISERR((SQRT((Table_Process_Details[[#This Row],[X Mover]]-Table_Process_Details[X Mover])^2+(Table_Process_Details[[#This Row],[Y Mover]]-Table_Process_Details[Y Mover])^2)-Edge_Length)/SQRT((Table_Process_Details[[#This Row],[X Mover]]-Table_Process_Details[X Mover])^2+(Table_Process_Details[[#This Row],[Y Mover]]-Table_Process_Details[Y Mover])^2)),0,(SQRT((Table_Process_Details[[#This Row],[X Mover]]-Table_Process_Details[X Mover])^2+(Table_Process_Details[[#This Row],[Y Mover]]-Table_Process_Details[Y Mover])^2)-Edge_Length)/SQRT((Table_Process_Details[[#This Row],[X Mover]]-Table_Process_Details[X Mover])^2+(Table_Process_Details[[#This Row],[Y Mover]]-Table_Process_Details[Y Mover])^2)),(--(SQRT((Table_Process_Details[[#This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-0.31807612062264046</v>
      </c>
      <c r="Y102" s="100">
        <f t="array" aca="1" ref="Y102" ca="1">SUM((--(SQRT((Table_Process_Details[[#This Row],[X Mover]]-Table_Process_Details[X Mover])^2+(Table_Process_Details[[#This Row],[Y Mover]]-Table_Process_Details[Y Mover])^2)&lt;&gt;Edge_Length))*IF((INDEX((Table_Process_Details[Input or Output]="Output")*(Table_Process_Details[Step Name]=Table_Process_Details[[#This Row],[Step Name]])*(Table_Process_Details[[#This Row],[Input or Output]]="Input"),0)+INDEX(((Table_Process_Details[LCA Data Source Subclass]=Table_Process_Details[[#This Row],[Step Name]])*(1)),0)*(Table_Process_Details[[#This Row],[Input or Output]]="Output")+INDEX(((Table_Process_Details[Step Name]=Table_Process_Details[[#This Row],[LCA Data Source Subclass]])*(Table_Process_Details[Input or Output]="Output")),0)+INDEX(((Table_Process_Details[Step Name]=Table_Process_Details[[#This Row],[Step Name]])*(Table_Process_Details[Input or Output]="Input")),0)*(Table_Process_Details[[#This Row],[Input or Output]]="Output")),1,0))</f>
        <v>1</v>
      </c>
      <c r="Z102" s="100">
        <f>0</f>
        <v>0</v>
      </c>
      <c r="AA102" s="100">
        <f>0</f>
        <v>0</v>
      </c>
      <c r="AB102" s="100">
        <f ca="1">(Table_Process_Details[[#This Row],[target x]]-Table_Process_Details[[#This Row],[X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-18.738930603860275</v>
      </c>
      <c r="AC102" s="100">
        <f t="array" aca="1" ref="AC102" ca="1">(Table_Process_Details[[#This Row],[target y]]-Table_Process_Details[[#This Row],[Y Mover]])*0.5*IF(ISERR((SQRT((Table_Process_Details[[#This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y]])^2)),0,(SQRT((Table_Process_Details[[#This Row],[X Mover]]-Table_Process_Details[[#This Row],[target x]])^2+(Table_Process_Details[[#This Row],[Y Mover]]-Table_Process_Details[[#This Row],[target y]])^2))/SQRT((Table_Process_Details[[#This Row],[X Mover]]-Table_Process_Details[[#This Row],[target x]])^2+(Table_Process_Details[[#This Row],[Y Mover]]-Table_Process_Details[[#This Row],[target y]])^2))</f>
        <v>-5.2658410132600633</v>
      </c>
      <c r="AD102" s="100">
        <f>MIN(1,COUNTA(Table_Process_Details[[#This Row],[target x]]),COUNTA(Table_Process_Details[[#This Row],[target y]]))*COUNTA(Table_Process_Details[Step Name])</f>
        <v>98</v>
      </c>
      <c r="AE102" s="100">
        <f ca="1">Table_Process_Details[[#This Row],[X Mover]]+IFERROR(Table_Process_Details[[#This Row],[X Move Collision]]/Table_Process_Details[[#This Row],[Number of Collision Moves]],0)+IFERROR(Table_Process_Details[[#This Row],[X Move Edge Length]]/Table_Process_Details[[#This Row],[Number of Edge Length Moves]],0)+IFERROR(Table_Process_Details[[#This Row],[X Move Special]]/Table_Process_Details[[#This Row],[Number of Special Moves]],0)</f>
        <v>37.417511784172646</v>
      </c>
      <c r="AF102" s="100">
        <f ca="1">Table_Process_Details[[#This Row],[Y Mover]]+IFERROR(Table_Process_Details[[#This Row],[Y Move Collision]]/Table_Process_Details[[#This Row],[Number of Collision Moves]],0)+IFERROR(Table_Process_Details[[#This Row],[Y Move Edge Length]]/Table_Process_Details[[#This Row],[Number of Edge Length Moves]],0)+IFERROR(Table_Process_Details[[#This Row],[Y Move Special]]/Table_Process_Details[[#This Row],[Number of Special Moves]],0)</f>
        <v>10.585349218363273</v>
      </c>
      <c r="AG102" s="100" t="str">
        <f>IF((Table_Process_Details[[#This Row],[Input or Output]]="Output")*(Table_Process_Details[[#This Row],[Real or Virtual]]="Real"),"Real Step",IF(OR((Table_Process_Details[[#This Row],[Input or Output]]="Input")*NOT(Table_Process_Details[[#This Row],[LCA Data Source Class]]="Process_Steps")*(Table_Process_Details[[#This Row],[Real or Virtual]]="Real"),(Table_Process_Details[[#This Row],[Input or Output]]="Output")*(Table_Process_Details[[#This Row],[Real or Virtual]]="Virtual")),"Raw Material",IF((Table_Process_Details[[#This Row],[Input or Output]]="Input")*(Table_Process_Details[[#This Row],[Real or Virtual]]="Virtual"),"None","Helper")))</f>
        <v>Real Step</v>
      </c>
      <c r="AH102" s="100" t="e">
        <f t="array" ref="AH102">INDEX(Table_Process_Details[X Mover],MATCH(1,INDEX((Table_Process_Details[Input or Output]="Output")*(Table_Process_Details[Step Name]=Table_Process_Details[[#This Row],[Step Name]])*(Table_Process_Details[[#This Row],[Input or Output]]="Input"),0),0))</f>
        <v>#N/A</v>
      </c>
      <c r="AI102" s="100" t="e">
        <f t="array" ref="AI102">INDEX(Table_Process_Details[Y Mover],MATCH(1,INDEX((Table_Process_Details[Input or Output]="Output")*(Table_Process_Details[Step Name]=Table_Process_Details[[#This Row],[Step Name]])*(Table_Process_Details[[#This Row],[Input or Output]]="Input"),0),0))</f>
        <v>#N/A</v>
      </c>
      <c r="AJ102" s="100" t="e">
        <f>SQRT((Table_Process_Details[[#This Row],[X End (To Node Center)]]-Table_Process_Details[[#This Row],[X Guide]])^2+(Table_Process_Details[[#This Row],[Y End (to Node Center)]]-Table_Process_Details[[#This Row],[Y Guide]])^2)</f>
        <v>#N/A</v>
      </c>
      <c r="AK102" s="100" t="e">
        <f t="array" ref="AK102">INDEX(Table_Process_Details[X Mover],MATCH(1,INDEX((Table_Process_Details[Step Name]=Table_Process_Details[[#This Row],[LCA Data Source Subclass]])*(Table_Process_Details[Input or Output]="Output"),0)*(Table_Process_Details[[#This Row],[Input or Output]]="Input"),0))</f>
        <v>#N/A</v>
      </c>
      <c r="AL102" s="100" t="e">
        <f t="array" ref="AL102">INDEX(Table_Process_Details[X Mover],MATCH(1,INDEX(((Table_Process_Details[Table Row]=Table_Process_Details[[#This Row],[Table Row]])*(1)),0)*(Table_Process_Details[[#This Row],[Input or Output]]="Input"),0))</f>
        <v>#N/A</v>
      </c>
      <c r="AM102" s="100" t="e">
        <f t="array" ref="AM102">(Table_Process_Details[[#This Row],[X End (To Node Center)]]*Table_Process_Details[[#This Row],[r0]]-Table_Process_Details[[#This Row],[X End (To Node Center)]]*Arrow_Offset+Table_Process_Details[[#This Row],[X Guide]]*Arrow_Offset)/Table_Process_Details[[#This Row],[r0]]</f>
        <v>#N/A</v>
      </c>
      <c r="AN102" s="100" t="e">
        <f>IF(NOT(Table_Process_Details[[#This Row],[Display As]]="None"),Table_Process_Details[[#This Row],[X Start Prefilter]],NA())</f>
        <v>#N/A</v>
      </c>
      <c r="AO102" s="100" t="e">
        <f>IF(NOT(Table_Process_Details[[#This Row],[Display As]]="None"),Table_Process_Details[[#This Row],[X Guide Prefilter]],NA())</f>
        <v>#N/A</v>
      </c>
      <c r="AP102" s="100" t="e">
        <f>IF(NOT(Table_Process_Details[[#This Row],[Display As]]="None"),Table_Process_Details[[#This Row],[X End (to Stop Radius) Prefilter]],NA())</f>
        <v>#N/A</v>
      </c>
      <c r="AQ102" s="100" t="e">
        <f>NA()</f>
        <v>#N/A</v>
      </c>
      <c r="AR102" s="100" t="e">
        <f t="array" ref="AR102">INDEX(Table_Process_Details[Y Mover],MATCH(1,INDEX((Table_Process_Details[Step Name]=Table_Process_Details[[#This Row],[LCA Data Source Subclass]])*(Table_Process_Details[Input or Output]="Output"),0)*(Table_Process_Details[[#This Row],[Input or Output]]="Input"),0))</f>
        <v>#N/A</v>
      </c>
      <c r="AS102" s="100" t="e">
        <f t="array" ref="AS102">INDEX(Table_Process_Details[Y Mover],MATCH(1,INDEX(((Table_Process_Details[Table Row]=Table_Process_Details[[#This Row],[Table Row]])*(1)),0)*(Table_Process_Details[[#This Row],[Input or Output]]="Input"),0))</f>
        <v>#N/A</v>
      </c>
      <c r="AT102" s="100" t="e">
        <f t="array" ref="AT102">(Table_Process_Details[[#This Row],[Y Guide]]*Arrow_Offset-Table_Process_Details[[#This Row],[Y End (to Node Center)]]*Arrow_Offset+Table_Process_Details[[#This Row],[Y End (to Node Center)]]*Table_Process_Details[[#This Row],[r0]])/Table_Process_Details[[#This Row],[r0]]</f>
        <v>#N/A</v>
      </c>
      <c r="AU102" s="100" t="e">
        <f>IF(NOT(Table_Process_Details[[#This Row],[Display As]]="None"),Table_Process_Details[[#This Row],[Y Start Prefilter]],NA())</f>
        <v>#N/A</v>
      </c>
      <c r="AV102" s="100" t="e">
        <f>IF(NOT(Table_Process_Details[[#This Row],[Display As]]="None"),Table_Process_Details[[#This Row],[Y Guide Prefilter]],NA())</f>
        <v>#N/A</v>
      </c>
      <c r="AW102" s="100" t="e">
        <f>IF(NOT(Table_Process_Details[[#This Row],[Display As]]="None"),Table_Process_Details[[#This Row],[Y End (to Stop Radius) Prefilter]],NA())</f>
        <v>#N/A</v>
      </c>
      <c r="AX102" s="100" t="e">
        <f>NA()</f>
        <v>#N/A</v>
      </c>
      <c r="AY102" s="100">
        <f ca="1">IF(Table_Process_Details[[#This Row],[Display As]]="Real Step",Table_Process_Details[[#This Row],[X Mover]],NA())</f>
        <v>37.477861207720551</v>
      </c>
      <c r="AZ102" s="100">
        <f ca="1">IF(Table_Process_Details[[#This Row],[Display As]]="Real Step",Table_Process_Details[[#This Row],[Y Mover]],NA())</f>
        <v>10.531682026520127</v>
      </c>
      <c r="BA102" s="100" t="e">
        <f>IF(Table_Process_Details[[#This Row],[Display As]]="Raw Material",Table_Process_Details[[#This Row],[X Mover]],NA())</f>
        <v>#N/A</v>
      </c>
      <c r="BB102" s="100" t="e">
        <f>IF(Table_Process_Details[[#This Row],[Display As]]="Raw Material",Table_Process_Details[[#This Row],[Y Mover]],NA())</f>
        <v>#N/A</v>
      </c>
      <c r="BC102" s="100">
        <f ca="1">IF(OR(Table_Process_Details[[#This Row],[Display As]]="Real Step",Table_Process_Details[[#This Row],[Display As]]="Raw Material"),Table_Process_Details[[#This Row],[X Mover]],NA())</f>
        <v>37.477861207720551</v>
      </c>
      <c r="BD102" s="100">
        <f ca="1">IF(OR(Table_Process_Details[[#This Row],[Display As]]="Real Step",Table_Process_Details[[#This Row],[Display As]]="Raw Material"),Table_Process_Details[[#This Row],[Y Mover]],NA())</f>
        <v>10.531682026520127</v>
      </c>
      <c r="BE102" s="98">
        <f>ROW()-ROW(Table_Process_Details[[#Headers],[Table Row]])</f>
        <v>98</v>
      </c>
      <c r="BF102" s="106" t="e">
        <f t="array" aca="1" ref="BF102" ca="1">INDEX(Table_Process_Details[Display Name],MATCH(0,IF(Table_Process_Details[Input or Output]="Input",INDEX(COUNTIF(OFFSET(Table_Process_Details[[#Headers],[Unique Process Inputs]],0,0,Table_Process_Details[[#This Row],[Table Row]],1),Table_Process_Details[Display Name]),),""),0))</f>
        <v>#N/A</v>
      </c>
      <c r="BG102" s="106">
        <f ca="1">Table_Process_Details[[#This Row],[Physical Mass (kg)]]*Table_Process_Details[[#This Row],[Step Scale Factor for 1kg Packaged API]]</f>
        <v>1</v>
      </c>
      <c r="BH102" s="106">
        <f ca="1">IFERROR(Table_Process_Details[[#This Row],[Scaled Physical Mass per kg API for All Inputs &amp; Outputs]]/SUMPRODUCT(INDEX(((Table_Process_Details[[#This Row],[LCA Data Source Subclass]]=Table_Process_Details[Step Name])*(Table_Process_Details[Input or Output]="Output")),0),Table_Process_Details[Scaled Physical Mass per kg API for All Inputs &amp; Outputs]),1)</f>
        <v>1</v>
      </c>
      <c r="BI102" s="106">
        <f ca="1">MATCH(Table_Process_Details[[#This Row],[LCA Data Source Class]],INDIRECT(Table_Process_Details[[#This Row],[Input or Output]]),0)</f>
        <v>1</v>
      </c>
      <c r="BJ102" s="107">
        <f ca="1">MATCH(Table_Process_Details[[#This Row],[LCA Data Source Subclass]],INDIRECT(Table_Process_Details[[#This Row],[LCA Data Source Class]]&amp;"[Name]"),0)</f>
        <v>1</v>
      </c>
      <c r="BK102" s="106">
        <f ca="1">IFERROR(INDEX(INDIRECT(Table_Process_Details[[#This Row],[LCA Data Source Class]]&amp;"[Mass Net (kg)]"),MATCH(Table_Process_Details[[#This Row],[LCA Data Source Subclass]],INDIRECT(Table_Process_Details[[#This Row],[LCA Data Source Class]]&amp;"[Name]"),0)),0)</f>
        <v>0</v>
      </c>
      <c r="BL102" s="106">
        <f ca="1">IFERROR(INDEX(INDIRECT(Table_Process_Details[[#This Row],[LCA Data Source Class]]&amp;"[Energy (MJ)]"),MATCH(Table_Process_Details[[#This Row],[LCA Data Source Subclass]],INDIRECT(Table_Process_Details[[#This Row],[LCA Data Source Class]]&amp;"[Name]"),0)),0)</f>
        <v>0</v>
      </c>
      <c r="BM102" s="106">
        <f ca="1">IFERROR(INDEX(INDIRECT(Table_Process_Details[[#This Row],[LCA Data Source Class]]&amp;"[GWP (kg CO2 equiv.)]"),MATCH(Table_Process_Details[[#This Row],[LCA Data Source Subclass]],INDIRECT(Table_Process_Details[[#This Row],[LCA Data Source Class]]&amp;"[Name]"),0)),0)</f>
        <v>0</v>
      </c>
      <c r="BN102" s="106">
        <f ca="1">IFERROR(INDEX(INDIRECT(Table_Process_Details[[#This Row],[LCA Data Source Class]]&amp;"[Acidification (kg SO2 equiv.)]"),MATCH(Table_Process_Details[[#This Row],[LCA Data Source Subclass]],INDIRECT(Table_Process_Details[[#This Row],[LCA Data Source Class]]&amp;"[Name]"),0)),0)</f>
        <v>0</v>
      </c>
      <c r="BO102" s="106">
        <f ca="1">IFERROR(INDEX(INDIRECT(Table_Process_Details[[#This Row],[LCA Data Source Class]]&amp;"[Eutrophication (kg posphate equiv.)]"),MATCH(Table_Process_Details[[#This Row],[LCA Data Source Subclass]],INDIRECT(Table_Process_Details[[#This Row],[LCA Data Source Class]]&amp;"[Name]"),0)),0)</f>
        <v>0</v>
      </c>
      <c r="BP102" s="106">
        <f ca="1">IFERROR(INDEX(INDIRECT(Table_Process_Details[[#This Row],[LCA Data Source Class]]&amp;"[Water (kg)]"),MATCH(Table_Process_Details[[#This Row],[LCA Data Source Subclass]],INDIRECT(Table_Process_Details[[#This Row],[LCA Data Source Class]]&amp;"[Name]"),0)),0)</f>
        <v>0</v>
      </c>
      <c r="BQ102" s="108">
        <f ca="1">(Table_Process_Details[[#This Row],[Input or Output]]="Input")*(Table_Process_Details[[#This Row],[LCA Data Source Class]]&lt;&gt;"Process_Steps")*Table_Process_Details[[#This Row],[Scaled Physical Mass per kg API for All Inputs &amp; Outputs]]</f>
        <v>0</v>
      </c>
      <c r="BR102" s="108">
        <f ca="1">(Table_Process_Details[[#This Row],[Material Class]]="REAGENT")*Table_Process_Details[[#This Row],[Physical Mass per kg API]]</f>
        <v>0</v>
      </c>
      <c r="BS102" s="108">
        <f ca="1">(Table_Process_Details[[#This Row],[Material Class]]="METAL")*Table_Process_Details[[#This Row],[Physical Mass per kg API]]</f>
        <v>0</v>
      </c>
      <c r="BT102" s="108">
        <f ca="1">(Table_Process_Details[[#This Row],[Material Class]]="SOLVENT")*Table_Process_Details[[#This Row],[Physical Mass per kg API]]</f>
        <v>0</v>
      </c>
      <c r="BU102" s="108">
        <f ca="1">(Table_Process_Details[[#This Row],[Material Class]]="WATER")*Table_Process_Details[[#This Row],[Physical Mass per kg API]]</f>
        <v>0</v>
      </c>
      <c r="BV102" s="108">
        <f ca="1">(Table_Process_Details[[#This Row],[Material Class]]="ENZ&amp;PLNT")*Table_Process_Details[[#This Row],[Physical Mass per kg API]]</f>
        <v>0</v>
      </c>
      <c r="BW102" s="108">
        <f ca="1">(Table_Process_Details[[#This Row],[Material Class]]="OTHER")*Table_Process_Details[[#This Row],[Physical Mass per kg API]]</f>
        <v>0</v>
      </c>
      <c r="BX102" s="108">
        <f ca="1">(Table_Process_Details[[#This Row],[Input or Output]]="Input")*(Table_Process_Details[[#This Row],[Real or Virtual]]="Real")*(Table_Process_Details[[#This Row],[LCA Data Source Class]]&lt;&gt;"Process_Steps")*Table_Process_Details[[#This Row],[Physical Mass per kg API]]+SUMPRODUCT(INDEX((Table_Process_Details[Real or Virtual]="Virtual")*(Table_Process_Details[Input or Output]="Input")*(Table_Process_Details[Step Name]=Table_Process_Details[[#This Row],[LCA Data Source Subclass]]),0),Table_Process_Details[Physical Mass per kg API])*Table_Process_Details[[#This Row],[Multi-Use Process_Steps Input Scale Factor]]</f>
        <v>0</v>
      </c>
      <c r="BY102" s="108">
        <f ca="1">(Table_Process_Details[[#This Row],[Input or Output]]="Input")*(Table_Process_Details[[#This Row],[Real or Virtual]]="Real")*(Table_Process_Details[[#This Row],[LCA Data Source Class]]&lt;&gt;"Process_Steps")*Table_Process_Details[[#This Row],[Physical Mass per kg API (REAGENT)]]+SUMPRODUCT(INDEX((Table_Process_Details[Real or Virtual]="Virtual")*(Table_Process_Details[Input or Output]="Input")*(Table_Process_Details[Step Name]=Table_Process_Details[[#This Row],[LCA Data Source Subclass]]),0),Table_Process_Details[Physical Mass per kg API (REAGENT)])*Table_Process_Details[[#This Row],[Multi-Use Process_Steps Input Scale Factor]]</f>
        <v>0</v>
      </c>
      <c r="BZ102" s="105">
        <f ca="1">(Table_Process_Details[[#This Row],[Input or Output]]="Input")*(Table_Process_Details[[#This Row],[Real or Virtual]]="Real")*(Table_Process_Details[[#This Row],[LCA Data Source Class]]&lt;&gt;"Process_Steps")*Table_Process_Details[[#This Row],[Physical Mass per kg API (METAL)]]+SUMPRODUCT(INDEX((Table_Process_Details[Real or Virtual]="Virtual")*(Table_Process_Details[Input or Output]="Input")*(Table_Process_Details[Step Name]=Table_Process_Details[[#This Row],[LCA Data Source Subclass]]),0),Table_Process_Details[Physical Mass per kg API (METAL)])*Table_Process_Details[[#This Row],[Multi-Use Process_Steps Input Scale Factor]]</f>
        <v>0</v>
      </c>
      <c r="CA102" s="108">
        <f ca="1">(Table_Process_Details[[#This Row],[Input or Output]]="Input")*(Table_Process_Details[[#This Row],[Real or Virtual]]="Real")*(Table_Process_Details[[#This Row],[LCA Data Source Class]]&lt;&gt;"Process_Steps")*Table_Process_Details[[#This Row],[Physical Mass per kg API (SOLVENT)]]+SUMPRODUCT(INDEX((Table_Process_Details[Real or Virtual]="Virtual")*(Table_Process_Details[Input or Output]="Input")*(Table_Process_Details[Step Name]=Table_Process_Details[[#This Row],[LCA Data Source Subclass]]),0),Table_Process_Details[Physical Mass per kg API (SOLVENT)])*Table_Process_Details[[#This Row],[Multi-Use Process_Steps Input Scale Factor]]</f>
        <v>0</v>
      </c>
      <c r="CB102" s="108">
        <f ca="1">(Table_Process_Details[[#This Row],[Input or Output]]="Input")*(Table_Process_Details[[#This Row],[Real or Virtual]]="Real")*(Table_Process_Details[[#This Row],[LCA Data Source Class]]&lt;&gt;"Process_Steps")*Table_Process_Details[[#This Row],[Physical Mass per kg API (WATER)]]+SUMPRODUCT(INDEX((Table_Process_Details[Real or Virtual]="Virtual")*(Table_Process_Details[Input or Output]="Input")*(Table_Process_Details[Step Name]=Table_Process_Details[[#This Row],[LCA Data Source Subclass]]),0),Table_Process_Details[Physical Mass per kg API (WATER)])*Table_Process_Details[[#This Row],[Multi-Use Process_Steps Input Scale Factor]]</f>
        <v>0</v>
      </c>
      <c r="CC102" s="105">
        <f ca="1">(Table_Process_Details[[#This Row],[Input or Output]]="Input")*(Table_Process_Details[[#This Row],[Real or Virtual]]="Real")*(Table_Process_Details[[#This Row],[LCA Data Source Class]]&lt;&gt;"Process_Steps")*Table_Process_Details[[#This Row],[Physical Mass per kg API (ENZ&amp;PLNT)]]+SUMPRODUCT(INDEX((Table_Process_Details[Real or Virtual]="Virtual")*(Table_Process_Details[Input or Output]="Input")*(Table_Process_Details[Step Name]=Table_Process_Details[[#This Row],[LCA Data Source Subclass]]),0),Table_Process_Details[Physical Mass per kg API (ENZ&amp;PLNT)])*Table_Process_Details[[#This Row],[Multi-Use Process_Steps Input Scale Factor]]</f>
        <v>0</v>
      </c>
      <c r="CD102" s="105">
        <f ca="1">(Table_Process_Details[[#This Row],[Input or Output]]="Input")*(Table_Process_Details[[#This Row],[Real or Virtual]]="Real")*(Table_Process_Details[[#This Row],[LCA Data Source Class]]&lt;&gt;"Process_Steps")*Table_Process_Details[[#This Row],[Physical Mass per kg API (OTHER)]]+SUMPRODUCT(INDEX((Table_Process_Details[Real or Virtual]="Virtual")*(Table_Process_Details[Input or Output]="Input")*(Table_Process_Details[Step Name]=Table_Process_Details[[#This Row],[LCA Data Source Subclass]]),0),Table_Process_Details[Physical Mass per kg API (OTHER)])*Table_Process_Details[[#This Row],[Multi-Use Process_Steps Input Scale Factor]]</f>
        <v>0</v>
      </c>
      <c r="CE102" s="98">
        <f ca="1">SUMIFS(Table_Process_Details[RV Physical Mass per kg API],Table_Process_Details[Display Name],Table_Process_Details[[#This Row],[Unique Process Inputs]],Table_Process_Details[Input or Output],"Input")</f>
        <v>0</v>
      </c>
      <c r="CF102" s="98">
        <f ca="1">SUMIFS(Table_Process_Details[RV Physical Mass per kg API (REAGENT)],Table_Process_Details[Display Name],Table_Process_Details[[#This Row],[Unique Process Inputs]],Table_Process_Details[Input or Output],"Input")</f>
        <v>0</v>
      </c>
      <c r="CG102" s="98">
        <f ca="1">SUMIFS(Table_Process_Details[RV Physical Mass per kg API (METAL)],Table_Process_Details[Display Name],Table_Process_Details[[#This Row],[Unique Process Inputs]],Table_Process_Details[Input or Output],"Input")</f>
        <v>0</v>
      </c>
      <c r="CH102" s="98">
        <f ca="1">SUMIFS(Table_Process_Details[RV Physical Mass per kg API (SOLVENT)],Table_Process_Details[Display Name],Table_Process_Details[[#This Row],[Unique Process Inputs]],Table_Process_Details[Input or Output],"Input")</f>
        <v>0</v>
      </c>
      <c r="CI102" s="98">
        <f ca="1">SUMIFS(Table_Process_Details[RV Physical Mass per kg API (WATER)],Table_Process_Details[Display Name],Table_Process_Details[[#This Row],[Unique Process Inputs]],Table_Process_Details[Input or Output],"Input")</f>
        <v>0</v>
      </c>
      <c r="CJ102" s="98">
        <f ca="1">SUMIFS(Table_Process_Details[RV Physical Mass per kg API (ENZ&amp;PLNT)],Table_Process_Details[Display Name],Table_Process_Details[[#This Row],[Unique Process Inputs]],Table_Process_Details[Input or Output],"Input")</f>
        <v>0</v>
      </c>
      <c r="CK102" s="98">
        <f ca="1">SUMIFS(Table_Process_Details[RV Physical Mass per kg API (OTHER)],Table_Process_Details[Display Name],Table_Process_Details[[#This Row],[Unique Process Inputs]],Table_Process_Details[Input or Output],"Input")</f>
        <v>0</v>
      </c>
      <c r="CL102" s="98" t="e">
        <f ca="1">INDEX(Table_Process_Details[Unique Process Inputs],MATCH(Table_Process_Details[[#This Row],['[Physical Mass per kg API'] of Unique Inputs Sorted by '[Physical Mass per kg API']]],Table_Process_Details[Total '[Physical Mass per kg API'] of Unique Inputs],0))</f>
        <v>#N/A</v>
      </c>
      <c r="CM102" s="98" t="e">
        <f ca="1">IF(LARGE(Table_Process_Details[Total '[Physical Mass per kg API'] of Unique Inputs],Table_Process_Details[[#This Row],[Table Row]])=0,NA(),LARGE(Table_Process_Details[Total '[Physical Mass per kg API'] of Unique Inputs],Table_Process_Details[[#This Row],[Table Row]]))</f>
        <v>#N/A</v>
      </c>
      <c r="CN102" s="98" t="e">
        <f ca="1">SUM(OFFSET(Table_Process_Details['[Physical Mass per kg API'] of Unique Inputs Sorted by '[Physical Mass per kg API']],0,0,Table_Process_Details[[#This Row],[Table Row]]))</f>
        <v>#N/A</v>
      </c>
      <c r="CO102" s="98" t="e">
        <f ca="1">"("&amp;TEXT(Table_Process_Details[[#This Row],['[Physical Mass per kg API'] of Unique Inputs Sorted by '[Physical Mass per kg API']]]/SUMIF(Table_Process_Details['[Physical Mass per kg API'] of Unique Inputs Sorted by '[Physical Mass per kg API']],"&lt;&gt;#N/A"),"0%")&amp;")"</f>
        <v>#N/A</v>
      </c>
      <c r="CP102" s="98" t="e">
        <f ca="1">INDEX(Table_Process_Details[Total '[Physical Mass per kg API'] of Unique Inputs (REAGENT)],MATCH(Table_Process_Details[[#This Row],[Unique Inputs Sorted by '[Physical Mass per kg API']]],Table_Process_Details[Unique Process Inputs],0))</f>
        <v>#N/A</v>
      </c>
      <c r="CQ102" s="98" t="e">
        <f ca="1">INDEX(Table_Process_Details[Total '[Physical Mass per kg API'] of Unique Inputs (METAL)],MATCH(Table_Process_Details[[#This Row],[Unique Inputs Sorted by '[Physical Mass per kg API']]],Table_Process_Details[Unique Process Inputs],0))</f>
        <v>#N/A</v>
      </c>
      <c r="CR102" s="98" t="e">
        <f ca="1">INDEX(Table_Process_Details[Total '[Physical Mass per kg API'] of Unique Inputs (SOLVENT)],MATCH(Table_Process_Details[[#This Row],[Unique Inputs Sorted by '[Physical Mass per kg API']]],Table_Process_Details[Unique Process Inputs],0))</f>
        <v>#N/A</v>
      </c>
      <c r="CS102" s="98" t="e">
        <f ca="1">INDEX(Table_Process_Details[Total '[Physical Mass per kg API'] of Unique Inputs (WATER)],MATCH(Table_Process_Details[[#This Row],[Unique Inputs Sorted by '[Physical Mass per kg API']]],Table_Process_Details[Unique Process Inputs],0))</f>
        <v>#N/A</v>
      </c>
      <c r="CT102" s="98" t="e">
        <f ca="1">INDEX(Table_Process_Details[Total '[Physical Mass per kg API'] of Unique Inputs (ENZ&amp;PLNT)],MATCH(Table_Process_Details[[#This Row],[Unique Inputs Sorted by '[Physical Mass per kg API']]],Table_Process_Details[Unique Process Inputs],0))</f>
        <v>#N/A</v>
      </c>
      <c r="CU102" s="98" t="e">
        <f ca="1">INDEX(Table_Process_Details[Total '[Physical Mass per kg API'] of Unique Inputs (OTHER)],MATCH(Table_Process_Details[[#This Row],[Unique Inputs Sorted by '[Physical Mass per kg API']]],Table_Process_Details[Unique Process Inputs],0))</f>
        <v>#N/A</v>
      </c>
      <c r="CV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API]]+SUMPRODUCT((Table_Process_Details[Real or Virtual]="Virtual")*(Table_Process_Details[Input or Output]="Input")*(Table_Process_Details[Step Name]=Table_Process_Details[[#This Row],[LCA Data Source Subclass]]),(Table_Process_Details[Mass Net (kg) Factor Lookup]*Table_Process_Details[Physical Mass per kg API]))*Table_Process_Details[[#This Row],[Multi-Use Process_Steps Input Scale Factor]]</f>
        <v>0</v>
      </c>
      <c r="CW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(REAGENT)]]+SUMPRODUCT((Table_Process_Details[Real or Virtual]="Virtual")*(Table_Process_Details[Input or Output]="Input")*(Table_Process_Details[Step Name]=Table_Process_Details[[#This Row],[LCA Data Source Subclass]]),(Table_Process_Details[Mass Net (kg) Factor Lookup]*Table_Process_Details[Physical Mass per kg API (REAGENT)]))*Table_Process_Details[[#This Row],[Multi-Use Process_Steps Input Scale Factor]]</f>
        <v>0</v>
      </c>
      <c r="CX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(METAL)]]+SUMPRODUCT((Table_Process_Details[Real or Virtual]="Virtual")*(Table_Process_Details[Input or Output]="Input")*(Table_Process_Details[Step Name]=Table_Process_Details[[#This Row],[LCA Data Source Subclass]]),(Table_Process_Details[Mass Net (kg) Factor Lookup]*Table_Process_Details[Physical Mass per kg API (METAL)]))*Table_Process_Details[[#This Row],[Multi-Use Process_Steps Input Scale Factor]]</f>
        <v>0</v>
      </c>
      <c r="CY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(SOLVENT)]]+SUMPRODUCT((Table_Process_Details[Real or Virtual]="Virtual")*(Table_Process_Details[Input or Output]="Input")*(Table_Process_Details[Step Name]=Table_Process_Details[[#This Row],[LCA Data Source Subclass]]),(Table_Process_Details[Mass Net (kg) Factor Lookup]*Table_Process_Details[Physical Mass per kg API (SOLVENT)]))*Table_Process_Details[[#This Row],[Multi-Use Process_Steps Input Scale Factor]]</f>
        <v>0</v>
      </c>
      <c r="CZ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(WATER)]]+SUMPRODUCT((Table_Process_Details[Real or Virtual]="Virtual")*(Table_Process_Details[Input or Output]="Input")*(Table_Process_Details[Step Name]=Table_Process_Details[[#This Row],[LCA Data Source Subclass]]),(Table_Process_Details[Mass Net (kg) Factor Lookup]*Table_Process_Details[Physical Mass per kg API (WATER)]))*Table_Process_Details[[#This Row],[Multi-Use Process_Steps Input Scale Factor]]</f>
        <v>0</v>
      </c>
      <c r="DA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(ENZ&amp;PLNT)]]+SUMPRODUCT((Table_Process_Details[Real or Virtual]="Virtual")*(Table_Process_Details[Input or Output]="Input")*(Table_Process_Details[Step Name]=Table_Process_Details[[#This Row],[LCA Data Source Subclass]]),(Table_Process_Details[Mass Net (kg) Factor Lookup]*Table_Process_Details[Physical Mass per kg API (ENZ&amp;PLNT)]))*Table_Process_Details[[#This Row],[Multi-Use Process_Steps Input Scale Factor]]</f>
        <v>0</v>
      </c>
      <c r="DB102" s="105">
        <f ca="1">(Table_Process_Details[[#This Row],[Input or Output]]="Input")*(Table_Process_Details[[#This Row],[Real or Virtual]]="Real")*(Table_Process_Details[[#This Row],[LCA Data Source Class]]&lt;&gt;"Process_Steps")*Table_Process_Details[[#This Row],[Mass Net (kg) Factor Lookup]]*Table_Process_Details[[#This Row],[Physical Mass per kg API (OTHER)]]+SUMPRODUCT((Table_Process_Details[Real or Virtual]="Virtual")*(Table_Process_Details[Input or Output]="Input")*(Table_Process_Details[Step Name]=Table_Process_Details[[#This Row],[LCA Data Source Subclass]]),(Table_Process_Details[Mass Net (kg) Factor Lookup]*Table_Process_Details[Physical Mass per kg API (OTHER)]))*Table_Process_Details[[#This Row],[Multi-Use Process_Steps Input Scale Factor]]</f>
        <v>0</v>
      </c>
      <c r="DC102" s="98">
        <f ca="1">SUMIFS(Table_Process_Details[RV Mass Net (kg) per kg API],Table_Process_Details[Display Name],Table_Process_Details[[#This Row],[Unique Process Inputs]],Table_Process_Details[Input or Output],"Input")</f>
        <v>0</v>
      </c>
      <c r="DD102" s="98">
        <f ca="1">SUMIFS(Table_Process_Details[RV Mass Net (kg) per kg API (REAGENT)],Table_Process_Details[Display Name],Table_Process_Details[[#This Row],[Unique Process Inputs]],Table_Process_Details[Input or Output],"Input")</f>
        <v>0</v>
      </c>
      <c r="DE102" s="98">
        <f ca="1">SUMIFS(Table_Process_Details[RV Mass Net (kg) per kg API (METAL)],Table_Process_Details[Display Name],Table_Process_Details[[#This Row],[Unique Process Inputs]],Table_Process_Details[Input or Output],"Input")</f>
        <v>0</v>
      </c>
      <c r="DF102" s="98">
        <f ca="1">SUMIFS(Table_Process_Details[RV Mass Net (kg) per kg API (SOLVENT)],Table_Process_Details[Display Name],Table_Process_Details[[#This Row],[Unique Process Inputs]],Table_Process_Details[Input or Output],"Input")</f>
        <v>0</v>
      </c>
      <c r="DG102" s="98">
        <f ca="1">SUMIFS(Table_Process_Details[RV Mass Net (kg) per kg API (WATER)],Table_Process_Details[Display Name],Table_Process_Details[[#This Row],[Unique Process Inputs]],Table_Process_Details[Input or Output],"Input")</f>
        <v>0</v>
      </c>
      <c r="DH102" s="98">
        <f ca="1">SUMIFS(Table_Process_Details[RV Mass Net (kg) per kg API (ENZ&amp;PLNT)],Table_Process_Details[Display Name],Table_Process_Details[[#This Row],[Unique Process Inputs]],Table_Process_Details[Input or Output],"Input")</f>
        <v>0</v>
      </c>
      <c r="DI102" s="98">
        <f ca="1">SUMIFS(Table_Process_Details[RV Mass Net (kg) per kg API (OTHER)],Table_Process_Details[Display Name],Table_Process_Details[[#This Row],[Unique Process Inputs]],Table_Process_Details[Input or Output],"Input")</f>
        <v>0</v>
      </c>
      <c r="DJ102" s="98" t="e">
        <f ca="1">INDEX(Table_Process_Details[Unique Process Inputs],MATCH(Table_Process_Details[[#This Row],['[Mass Net (kg) per kg API'] of Unique Inputs Sorted by '[Mass Net (kg) per kg API']]],Table_Process_Details[Total '[Mass Net (kg) per kg API'] of Unique Inputs],0))</f>
        <v>#N/A</v>
      </c>
      <c r="DK102" s="98" t="e">
        <f ca="1">IF(LARGE(Table_Process_Details[Total '[Mass Net (kg) per kg API'] of Unique Inputs],Table_Process_Details[[#This Row],[Table Row]])=0,NA(),LARGE(Table_Process_Details[Total '[Mass Net (kg) per kg API'] of Unique Inputs],Table_Process_Details[[#This Row],[Table Row]]))</f>
        <v>#N/A</v>
      </c>
      <c r="DL102" s="98" t="e">
        <f ca="1">SUM(OFFSET(Table_Process_Details['[Mass Net (kg) per kg API'] of Unique Inputs Sorted by '[Mass Net (kg) per kg API']],0,0,Table_Process_Details[[#This Row],[Table Row]]))</f>
        <v>#N/A</v>
      </c>
      <c r="DM102" s="98" t="e">
        <f ca="1">"("&amp;TEXT(Table_Process_Details[[#This Row],['[Mass Net (kg) per kg API'] of Unique Inputs Sorted by '[Mass Net (kg) per kg API']]]/SUMIF(Table_Process_Details['[Mass Net (kg) per kg API'] of Unique Inputs Sorted by '[Mass Net (kg) per kg API']],"&lt;&gt;#N/A"),"0%")&amp;")"</f>
        <v>#N/A</v>
      </c>
      <c r="DN102" s="98" t="e">
        <f ca="1">INDEX(Table_Process_Details[Total '[Mass Net (kg) per kg API'] of Unique Inputs (REAGENT)], MATCH(Table_Process_Details[[#This Row],[Unique Inputs Sorted by '[Mass Net (kg) per kg API']]],Table_Process_Details[Unique Process Inputs],0))</f>
        <v>#N/A</v>
      </c>
      <c r="DO102" s="98" t="e">
        <f ca="1">INDEX(Table_Process_Details[Total '[Mass Net (kg) per kg API'] of Unique Inputs (METAL)], MATCH(Table_Process_Details[[#This Row],[Unique Inputs Sorted by '[Mass Net (kg) per kg API']]],Table_Process_Details[Unique Process Inputs],0))</f>
        <v>#N/A</v>
      </c>
      <c r="DP102" s="98" t="e">
        <f ca="1">INDEX(Table_Process_Details[Total '[Mass Net (kg) per kg API'] of Unique Inputs (SOLVENT)], MATCH(Table_Process_Details[[#This Row],[Unique Inputs Sorted by '[Mass Net (kg) per kg API']]],Table_Process_Details[Unique Process Inputs],0))</f>
        <v>#N/A</v>
      </c>
      <c r="DQ102" s="98" t="e">
        <f ca="1">INDEX(Table_Process_Details[Total '[Mass Net (kg) per kg API'] of Unique Inputs (WATER)], MATCH(Table_Process_Details[[#This Row],[Unique Inputs Sorted by '[Mass Net (kg) per kg API']]],Table_Process_Details[Unique Process Inputs],0))</f>
        <v>#N/A</v>
      </c>
      <c r="DR102" s="98" t="e">
        <f ca="1">INDEX(Table_Process_Details[Total '[Mass Net (kg) per kg API'] of Unique Inputs (ENZ&amp;PLNT)], MATCH(Table_Process_Details[[#This Row],[Unique Inputs Sorted by '[Mass Net (kg) per kg API']]],Table_Process_Details[Unique Process Inputs],0))</f>
        <v>#N/A</v>
      </c>
      <c r="DS102" s="98" t="e">
        <f ca="1">INDEX(Table_Process_Details[Total '[Mass Net (kg) per kg API'] of Unique Inputs (OTHER)], MATCH(Table_Process_Details[[#This Row],[Unique Inputs Sorted by '[Mass Net (kg) per kg API']]],Table_Process_Details[Unique Process Inputs],0))</f>
        <v>#N/A</v>
      </c>
      <c r="DT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API]]+SUMPRODUCT((Table_Process_Details[Real or Virtual]="Virtual")*(Table_Process_Details[Input or Output]="Input")*(Table_Process_Details[Step Name]=Table_Process_Details[[#This Row],[LCA Data Source Subclass]]),(Table_Process_Details[Energy (MJ) Factor Lookup]*Table_Process_Details[Physical Mass per kg API]))*Table_Process_Details[[#This Row],[Multi-Use Process_Steps Input Scale Factor]]</f>
        <v>0</v>
      </c>
      <c r="DU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(REAGENT)]]+SUMPRODUCT((Table_Process_Details[Real or Virtual]="Virtual")*(Table_Process_Details[Input or Output]="Input")*(Table_Process_Details[Step Name]=Table_Process_Details[[#This Row],[LCA Data Source Subclass]]),(Table_Process_Details[Energy (MJ) Factor Lookup]*Table_Process_Details[Physical Mass per kg API (REAGENT)]))*Table_Process_Details[[#This Row],[Multi-Use Process_Steps Input Scale Factor]]</f>
        <v>0</v>
      </c>
      <c r="DV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(METAL)]]+SUMPRODUCT((Table_Process_Details[Real or Virtual]="Virtual")*(Table_Process_Details[Input or Output]="Input")*(Table_Process_Details[Step Name]=Table_Process_Details[[#This Row],[LCA Data Source Subclass]]),(Table_Process_Details[Energy (MJ) Factor Lookup]*Table_Process_Details[Physical Mass per kg API (METAL)]))*Table_Process_Details[[#This Row],[Multi-Use Process_Steps Input Scale Factor]]</f>
        <v>0</v>
      </c>
      <c r="DW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(SOLVENT)]]+SUMPRODUCT((Table_Process_Details[Real or Virtual]="Virtual")*(Table_Process_Details[Input or Output]="Input")*(Table_Process_Details[Step Name]=Table_Process_Details[[#This Row],[LCA Data Source Subclass]]),(Table_Process_Details[Energy (MJ) Factor Lookup]*Table_Process_Details[Physical Mass per kg API (SOLVENT)]))*Table_Process_Details[[#This Row],[Multi-Use Process_Steps Input Scale Factor]]</f>
        <v>0</v>
      </c>
      <c r="DX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(WATER)]]+SUMPRODUCT((Table_Process_Details[Real or Virtual]="Virtual")*(Table_Process_Details[Input or Output]="Input")*(Table_Process_Details[Step Name]=Table_Process_Details[[#This Row],[LCA Data Source Subclass]]),(Table_Process_Details[Energy (MJ) Factor Lookup]*Table_Process_Details[Physical Mass per kg API (WATER)]))*Table_Process_Details[[#This Row],[Multi-Use Process_Steps Input Scale Factor]]</f>
        <v>0</v>
      </c>
      <c r="DY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(ENZ&amp;PLNT)]]+SUMPRODUCT((Table_Process_Details[Real or Virtual]="Virtual")*(Table_Process_Details[Input or Output]="Input")*(Table_Process_Details[Step Name]=Table_Process_Details[[#This Row],[LCA Data Source Subclass]]),(Table_Process_Details[Energy (MJ) Factor Lookup]*Table_Process_Details[Physical Mass per kg API (ENZ&amp;PLNT)]))*Table_Process_Details[[#This Row],[Multi-Use Process_Steps Input Scale Factor]]</f>
        <v>0</v>
      </c>
      <c r="DZ102" s="105">
        <f ca="1">(Table_Process_Details[[#This Row],[Input or Output]]="Input")*(Table_Process_Details[[#This Row],[Real or Virtual]]="Real")*(Table_Process_Details[[#This Row],[LCA Data Source Class]]&lt;&gt;"Process_Steps")*Table_Process_Details[[#This Row],[Energy (MJ) Factor Lookup]]*Table_Process_Details[[#This Row],[Physical Mass per kg API (OTHER)]]+SUMPRODUCT((Table_Process_Details[Real or Virtual]="Virtual")*(Table_Process_Details[Input or Output]="Input")*(Table_Process_Details[Step Name]=Table_Process_Details[[#This Row],[LCA Data Source Subclass]]),(Table_Process_Details[Energy (MJ) Factor Lookup]*Table_Process_Details[Physical Mass per kg API (OTHER)]))*Table_Process_Details[[#This Row],[Multi-Use Process_Steps Input Scale Factor]]</f>
        <v>0</v>
      </c>
      <c r="EA102" s="98">
        <f ca="1">SUMIFS(Table_Process_Details[RV Energy (MJ) per kg API],Table_Process_Details[Display Name],Table_Process_Details[[#This Row],[Unique Process Inputs]],Table_Process_Details[Input or Output],"Input")</f>
        <v>0</v>
      </c>
      <c r="EB102" s="98">
        <f ca="1">SUMIFS(Table_Process_Details[RV Energy (MJ) per kg API (REAGENT)],Table_Process_Details[Display Name],Table_Process_Details[[#This Row],[Unique Process Inputs]],Table_Process_Details[Input or Output],"Input")</f>
        <v>0</v>
      </c>
      <c r="EC102" s="98">
        <f ca="1">SUMIFS(Table_Process_Details[RV Energy (MJ) per kg API (METAL)],Table_Process_Details[Display Name],Table_Process_Details[[#This Row],[Unique Process Inputs]],Table_Process_Details[Input or Output],"Input")</f>
        <v>0</v>
      </c>
      <c r="ED102" s="98">
        <f ca="1">SUMIFS(Table_Process_Details[RV Energy (MJ) per kg API (SOLVENT)],Table_Process_Details[Display Name],Table_Process_Details[[#This Row],[Unique Process Inputs]],Table_Process_Details[Input or Output],"Input")</f>
        <v>0</v>
      </c>
      <c r="EE102" s="98">
        <f ca="1">SUMIFS(Table_Process_Details[RV Energy (MJ) per kg API (WATER)],Table_Process_Details[Display Name],Table_Process_Details[[#This Row],[Unique Process Inputs]],Table_Process_Details[Input or Output],"Input")</f>
        <v>0</v>
      </c>
      <c r="EF102" s="98">
        <f ca="1">SUMIFS(Table_Process_Details[RV Energy (MJ) per kg API (ENZ&amp;PLNT)],Table_Process_Details[Display Name],Table_Process_Details[[#This Row],[Unique Process Inputs]],Table_Process_Details[Input or Output],"Input")</f>
        <v>0</v>
      </c>
      <c r="EG102" s="98">
        <f ca="1">SUMIFS(Table_Process_Details[RV Energy (MJ) per kg API (OTHER)],Table_Process_Details[Display Name],Table_Process_Details[[#This Row],[Unique Process Inputs]],Table_Process_Details[Input or Output],"Input")</f>
        <v>0</v>
      </c>
      <c r="EH102" s="98" t="e">
        <f ca="1">INDEX(Table_Process_Details[Unique Process Inputs],MATCH(Table_Process_Details[[#This Row],['[Energy (MJ) per kg API'] of Unique Inputs Sorted by '[Energy (MJ) per kg API']]],Table_Process_Details[Total '[Energy (MJ) per kg API'] of Unique Inputs],0))</f>
        <v>#N/A</v>
      </c>
      <c r="EI102" s="98" t="e">
        <f ca="1">IF(LARGE(Table_Process_Details[Total '[Energy (MJ) per kg API'] of Unique Inputs],Table_Process_Details[[#This Row],[Table Row]])=0,NA(),LARGE(Table_Process_Details[Total '[Energy (MJ) per kg API'] of Unique Inputs],Table_Process_Details[[#This Row],[Table Row]]))</f>
        <v>#N/A</v>
      </c>
      <c r="EJ102" s="98" t="e">
        <f ca="1">SUM(OFFSET(Table_Process_Details['[Energy (MJ) per kg API'] of Unique Inputs Sorted by '[Energy (MJ) per kg API']],0,0,Table_Process_Details[[#This Row],[Table Row]]))</f>
        <v>#N/A</v>
      </c>
      <c r="EK102" s="98" t="e">
        <f ca="1">"("&amp;TEXT(Table_Process_Details[[#This Row],['[Energy (MJ) per kg API'] of Unique Inputs Sorted by '[Energy (MJ) per kg API']]]/SUMIF(Table_Process_Details['[Energy (MJ) per kg API'] of Unique Inputs Sorted by '[Energy (MJ) per kg API']],"&lt;&gt;#N/A"),"0%")&amp;")"</f>
        <v>#N/A</v>
      </c>
      <c r="EL102" s="98" t="e">
        <f ca="1">INDEX(Table_Process_Details[Total '[Energy (MJ) per kg API'] of Unique Inputs (REAGENT)], MATCH(Table_Process_Details[[#This Row],[Unique Inputs Sorted by '[Energy (MJ) per kg API']]],Table_Process_Details[Unique Process Inputs],0))</f>
        <v>#N/A</v>
      </c>
      <c r="EM102" s="98" t="e">
        <f ca="1">INDEX(Table_Process_Details[Total '[Energy (MJ) per kg API'] of Unique Inputs (METAL)], MATCH(Table_Process_Details[[#This Row],[Unique Inputs Sorted by '[Energy (MJ) per kg API']]],Table_Process_Details[Unique Process Inputs],0))</f>
        <v>#N/A</v>
      </c>
      <c r="EN102" s="98" t="e">
        <f ca="1">INDEX(Table_Process_Details[Total '[Energy (MJ) per kg API'] of Unique Inputs (SOLVENT)], MATCH(Table_Process_Details[[#This Row],[Unique Inputs Sorted by '[Energy (MJ) per kg API']]],Table_Process_Details[Unique Process Inputs],0))</f>
        <v>#N/A</v>
      </c>
      <c r="EO102" s="98" t="e">
        <f ca="1">INDEX(Table_Process_Details[Total '[Energy (MJ) per kg API'] of Unique Inputs (WATER)], MATCH(Table_Process_Details[[#This Row],[Unique Inputs Sorted by '[Energy (MJ) per kg API']]],Table_Process_Details[Unique Process Inputs],0))</f>
        <v>#N/A</v>
      </c>
      <c r="EP102" s="98" t="e">
        <f ca="1">INDEX(Table_Process_Details[Total '[Energy (MJ) per kg API'] of Unique Inputs (ENZ&amp;PLNT)], MATCH(Table_Process_Details[[#This Row],[Unique Inputs Sorted by '[Energy (MJ) per kg API']]],Table_Process_Details[Unique Process Inputs],0))</f>
        <v>#N/A</v>
      </c>
      <c r="EQ102" s="98" t="e">
        <f ca="1">INDEX(Table_Process_Details[Total '[Energy (MJ) per kg API'] of Unique Inputs (OTHER)], MATCH(Table_Process_Details[[#This Row],[Unique Inputs Sorted by '[Energy (MJ) per kg API']]],Table_Process_Details[Unique Process Inputs],0))</f>
        <v>#N/A</v>
      </c>
      <c r="ER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API]]+SUMPRODUCT((Table_Process_Details[Real or Virtual]="Virtual")*(Table_Process_Details[Input or Output]="Input")*(Table_Process_Details[Step Name]=Table_Process_Details[[#This Row],[LCA Data Source Subclass]]),(Table_Process_Details[GWP (kg CO2 equiv.) Factor Lookup]*Table_Process_Details[Physical Mass per kg API]))*Table_Process_Details[[#This Row],[Multi-Use Process_Steps Input Scale Factor]]</f>
        <v>0</v>
      </c>
      <c r="ES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Subclass]]),(Table_Process_Details[GWP (kg CO2 equiv.) Factor Lookup]*Table_Process_Details[Physical Mass per kg API (REAGENT)]))*Table_Process_Details[[#This Row],[Multi-Use Process_Steps Input Scale Factor]]</f>
        <v>0</v>
      </c>
      <c r="ET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(METAL)]]+SUMPRODUCT((Table_Process_Details[Real or Virtual]="Virtual")*(Table_Process_Details[Input or Output]="Input")*(Table_Process_Details[Step Name]=Table_Process_Details[[#This Row],[LCA Data Source Subclass]]),(Table_Process_Details[GWP (kg CO2 equiv.) Factor Lookup]*Table_Process_Details[Physical Mass per kg API (METAL)]))*Table_Process_Details[[#This Row],[Multi-Use Process_Steps Input Scale Factor]]</f>
        <v>0</v>
      </c>
      <c r="EU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Subclass]]),(Table_Process_Details[GWP (kg CO2 equiv.) Factor Lookup]*Table_Process_Details[Physical Mass per kg API (SOLVENT)]))*Table_Process_Details[[#This Row],[Multi-Use Process_Steps Input Scale Factor]]</f>
        <v>0</v>
      </c>
      <c r="EV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(WATER)]]+SUMPRODUCT((Table_Process_Details[Real or Virtual]="Virtual")*(Table_Process_Details[Input or Output]="Input")*(Table_Process_Details[Step Name]=Table_Process_Details[[#This Row],[LCA Data Source Subclass]]),(Table_Process_Details[GWP (kg CO2 equiv.) Factor Lookup]*Table_Process_Details[Physical Mass per kg API (WATER)]))*Table_Process_Details[[#This Row],[Multi-Use Process_Steps Input Scale Factor]]</f>
        <v>0</v>
      </c>
      <c r="EW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Subclass]]),(Table_Process_Details[GWP (kg CO2 equiv.) Factor Lookup]*Table_Process_Details[Physical Mass per kg API (ENZ&amp;PLNT)]))*Table_Process_Details[[#This Row],[Multi-Use Process_Steps Input Scale Factor]]</f>
        <v>0</v>
      </c>
      <c r="EX102" s="105">
        <f ca="1">(Table_Process_Details[[#This Row],[Input or Output]]="Input")*(Table_Process_Details[[#This Row],[Real or Virtual]]="Real")*(Table_Process_Details[[#This Row],[LCA Data Source Class]]&lt;&gt;"Process_Steps")*Table_Process_Details[[#This Row],[GWP (kg CO2 equiv.) Factor Lookup]]*Table_Process_Details[[#This Row],[Physical Mass per kg API (OTHER)]]+SUMPRODUCT((Table_Process_Details[Real or Virtual]="Virtual")*(Table_Process_Details[Input or Output]="Input")*(Table_Process_Details[Step Name]=Table_Process_Details[[#This Row],[LCA Data Source Subclass]]),(Table_Process_Details[GWP (kg CO2 equiv.) Factor Lookup]*Table_Process_Details[Physical Mass per kg API (OTHER)]))*Table_Process_Details[[#This Row],[Multi-Use Process_Steps Input Scale Factor]]</f>
        <v>0</v>
      </c>
      <c r="EY102" s="98">
        <f ca="1">SUMIFS(Table_Process_Details[RV GWP (kg CO2 equiv.) per kg API],Table_Process_Details[Display Name],Table_Process_Details[[#This Row],[Unique Process Inputs]],Table_Process_Details[Input or Output],"Input")</f>
        <v>0</v>
      </c>
      <c r="EZ102" s="98">
        <f ca="1">SUMIFS(Table_Process_Details[RV GWP (kg CO2 equiv.) per kg API (REAGENT)],Table_Process_Details[Display Name],Table_Process_Details[[#This Row],[Unique Process Inputs]],Table_Process_Details[Input or Output],"Input")</f>
        <v>0</v>
      </c>
      <c r="FA102" s="98">
        <f ca="1">SUMIFS(Table_Process_Details[RV GWP (kg CO2 equiv.) per kg API (METAL)],Table_Process_Details[Display Name],Table_Process_Details[[#This Row],[Unique Process Inputs]],Table_Process_Details[Input or Output],"Input")</f>
        <v>0</v>
      </c>
      <c r="FB102" s="98">
        <f ca="1">SUMIFS(Table_Process_Details[RV GWP (kg CO2 equiv.) per kg API (SOLVENT)],Table_Process_Details[Display Name],Table_Process_Details[[#This Row],[Unique Process Inputs]],Table_Process_Details[Input or Output],"Input")</f>
        <v>0</v>
      </c>
      <c r="FC102" s="98">
        <f ca="1">SUMIFS(Table_Process_Details[RV GWP (kg CO2 equiv.) per kg API (WATER)],Table_Process_Details[Display Name],Table_Process_Details[[#This Row],[Unique Process Inputs]],Table_Process_Details[Input or Output],"Input")</f>
        <v>0</v>
      </c>
      <c r="FD102" s="98">
        <f ca="1">SUMIFS(Table_Process_Details[RV GWP (kg CO2 equiv.) per kg API (ENZ&amp;PLNT)],Table_Process_Details[Display Name],Table_Process_Details[[#This Row],[Unique Process Inputs]],Table_Process_Details[Input or Output],"Input")</f>
        <v>0</v>
      </c>
      <c r="FE102" s="98">
        <f ca="1">SUMIFS(Table_Process_Details[RV GWP (kg CO2 equiv.) per kg API (OTHER)],Table_Process_Details[Display Name],Table_Process_Details[[#This Row],[Unique Process Inputs]],Table_Process_Details[Input or Output],"Input")</f>
        <v>0</v>
      </c>
      <c r="FF102" s="98" t="e">
        <f ca="1">INDEX(Table_Process_Details[Unique Process Inputs],MATCH(Table_Process_Details[[#This Row],['[GWP (kg CO2 equiv.) per kg API'] of Unique Inputs Sorted by '[GWP (kg CO2 equiv.) per kg API']]],Table_Process_Details[Total '[GWP (kg CO2 equiv.) per kg API'] of Unique Inputs],0))</f>
        <v>#N/A</v>
      </c>
      <c r="FG102" s="98" t="e">
        <f ca="1">IF(LARGE(Table_Process_Details[Total '[GWP (kg CO2 equiv.) per kg API'] of Unique Inputs],Table_Process_Details[[#This Row],[Table Row]])=0,NA(),LARGE(Table_Process_Details[Total '[GWP (kg CO2 equiv.) per kg API'] of Unique Inputs],Table_Process_Details[[#This Row],[Table Row]]))</f>
        <v>#N/A</v>
      </c>
      <c r="FH102" s="98" t="e">
        <f ca="1">SUM(OFFSET(Table_Process_Details['[GWP (kg CO2 equiv.) per kg API'] of Unique Inputs Sorted by '[GWP (kg CO2 equiv.) per kg API']],0,0,Table_Process_Details[[#This Row],[Table Row]]))</f>
        <v>#N/A</v>
      </c>
      <c r="FI102" s="98" t="e">
        <f ca="1">"("&amp;TEXT(Table_Process_Details[[#This Row],['[GWP (kg CO2 equiv.) per kg API'] of Unique Inputs Sorted by '[GWP (kg CO2 equiv.) per kg API']]]/SUMIF(Table_Process_Details['[GWP (kg CO2 equiv.) per kg API'] of Unique Inputs Sorted by '[GWP (kg CO2 equiv.) per kg API']],"&lt;&gt;#N/A"),"0%")&amp;")"</f>
        <v>#N/A</v>
      </c>
      <c r="FJ102" s="98" t="e">
        <f ca="1">INDEX(Table_Process_Details[Total '[GWP (kg CO2 equiv.) per kg API'] of Unique Inputs (REAGENT)], MATCH(Table_Process_Details[[#This Row],[Unique Inputs Sorted by '[GWP (kg CO2 equiv.) per kg API']]],Table_Process_Details[Unique Process Inputs],0))</f>
        <v>#N/A</v>
      </c>
      <c r="FK102" s="98" t="e">
        <f ca="1">INDEX(Table_Process_Details[Total '[GWP (kg CO2 equiv.) per kg API'] of Unique Inputs (METAL)], MATCH(Table_Process_Details[[#This Row],[Unique Inputs Sorted by '[GWP (kg CO2 equiv.) per kg API']]],Table_Process_Details[Unique Process Inputs],0))</f>
        <v>#N/A</v>
      </c>
      <c r="FL102" s="98" t="e">
        <f ca="1">INDEX(Table_Process_Details[Total '[GWP (kg CO2 equiv.) per kg API'] of Unique Inputs (SOLVENT)], MATCH(Table_Process_Details[[#This Row],[Unique Inputs Sorted by '[GWP (kg CO2 equiv.) per kg API']]],Table_Process_Details[Unique Process Inputs],0))</f>
        <v>#N/A</v>
      </c>
      <c r="FM102" s="98" t="e">
        <f ca="1">INDEX(Table_Process_Details[Total '[GWP (kg CO2 equiv.) per kg API'] of Unique Inputs (WATER)], MATCH(Table_Process_Details[[#This Row],[Unique Inputs Sorted by '[GWP (kg CO2 equiv.) per kg API']]],Table_Process_Details[Unique Process Inputs],0))</f>
        <v>#N/A</v>
      </c>
      <c r="FN102" s="98" t="e">
        <f ca="1">INDEX(Table_Process_Details[Total '[GWP (kg CO2 equiv.) per kg API'] of Unique Inputs (ENZ&amp;PLNT)], MATCH(Table_Process_Details[[#This Row],[Unique Inputs Sorted by '[GWP (kg CO2 equiv.) per kg API']]],Table_Process_Details[Unique Process Inputs],0))</f>
        <v>#N/A</v>
      </c>
      <c r="FO102" s="98" t="e">
        <f ca="1">INDEX(Table_Process_Details[Total '[GWP (kg CO2 equiv.) per kg API'] of Unique Inputs (OTHER)], MATCH(Table_Process_Details[[#This Row],[Unique Inputs Sorted by '[GWP (kg CO2 equiv.) per kg API']]],Table_Process_Details[Unique Process Inputs],0))</f>
        <v>#N/A</v>
      </c>
      <c r="FP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API]))*Table_Process_Details[[#This Row],[Multi-Use Process_Steps Input Scale Factor]]</f>
        <v>0</v>
      </c>
      <c r="FQ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(REAGENT)]]+SUMPRODUCT((Table_Process_Details[Real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(REAGENT)]))*Table_Process_Details[[#This Row],[Multi-Use Process_Steps Input Scale Factor]]</f>
        <v>0</v>
      </c>
      <c r="FR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(METAL)]]+SUMPRODUCT((Table_Process_Details[Real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(METAL)]))*Table_Process_Details[[#This Row],[Multi-Use Process_Steps Input Scale Factor]]</f>
        <v>0</v>
      </c>
      <c r="FS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(SOLVENT)]]+SUMPRODUCT((Table_Process_Details[Real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(SOLVENT)]))*Table_Process_Details[[#This Row],[Multi-Use Process_Steps Input Scale Factor]]</f>
        <v>0</v>
      </c>
      <c r="FT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(WATER)]]+SUMPRODUCT((Table_Process_Details[Real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(WATER)]))*Table_Process_Details[[#This Row],[Multi-Use Process_Steps Input Scale Factor]]</f>
        <v>0</v>
      </c>
      <c r="FU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(ENZ&amp;PLNT)]))*Table_Process_Details[[#This Row],[Multi-Use Process_Steps Input Scale Factor]]</f>
        <v>0</v>
      </c>
      <c r="FV102" s="105">
        <f ca="1">(Table_Process_Details[[#This Row],[Input or Output]]="Input")*(Table_Process_Details[[#This Row],[Real or Virtual]]="Real")*(Table_Process_Details[[#This Row],[LCA Data Source Class]]&lt;&gt;"Process_Steps")*Table_Process_Details[[#This Row],[Acidification (kg SO2 equiv.) Factor Lookup]]*Table_Process_Details[[#This Row],[Physical Mass per kg API (OTHER)]]+SUMPRODUCT((Table_Process_Details[Real or Virtual]="Virtual")*(Table_Process_Details[Input or Output]="Input")*(Table_Process_Details[Step Name]=Table_Process_Details[[#This Row],[LCA Data Source Subclass]]),(Table_Process_Details[Acidification (kg SO2 equiv.) Factor Lookup]*Table_Process_Details[Physical Mass per kg API (OTHER)]))*Table_Process_Details[[#This Row],[Multi-Use Process_Steps Input Scale Factor]]</f>
        <v>0</v>
      </c>
      <c r="FW102" s="98">
        <f ca="1">SUMIFS(Table_Process_Details[RV Acidification (kg SO2 equiv.) per kg API],Table_Process_Details[Display Name],Table_Process_Details[[#This Row],[Unique Process Inputs]],Table_Process_Details[Input or Output],"Input")</f>
        <v>0</v>
      </c>
      <c r="FX102" s="98">
        <f ca="1">SUMIFS(Table_Process_Details[RV Acidification (kg SO2 equiv.) per kg API (REAGENT)],Table_Process_Details[Display Name],Table_Process_Details[[#This Row],[Unique Process Inputs]],Table_Process_Details[Input or Output],"Input")</f>
        <v>0</v>
      </c>
      <c r="FY102" s="98">
        <f ca="1">SUMIFS(Table_Process_Details[RV Acidification (kg SO2 equiv.) per kg API (METAL)],Table_Process_Details[Display Name],Table_Process_Details[[#This Row],[Unique Process Inputs]],Table_Process_Details[Input or Output],"Input")</f>
        <v>0</v>
      </c>
      <c r="FZ102" s="98">
        <f ca="1">SUMIFS(Table_Process_Details[RV Acidification (kg SO2 equiv.) per kg API (SOLVENT)],Table_Process_Details[Display Name],Table_Process_Details[[#This Row],[Unique Process Inputs]],Table_Process_Details[Input or Output],"Input")</f>
        <v>0</v>
      </c>
      <c r="GA102" s="98">
        <f ca="1">SUMIFS(Table_Process_Details[RV Acidification (kg SO2 equiv.) per kg API (WATER)],Table_Process_Details[Display Name],Table_Process_Details[[#This Row],[Unique Process Inputs]],Table_Process_Details[Input or Output],"Input")</f>
        <v>0</v>
      </c>
      <c r="GB102" s="98">
        <f ca="1">SUMIFS(Table_Process_Details[RV Acidification (kg SO2 equiv.) per kg API (ENZ&amp;PLNT)],Table_Process_Details[Display Name],Table_Process_Details[[#This Row],[Unique Process Inputs]],Table_Process_Details[Input or Output],"Input")</f>
        <v>0</v>
      </c>
      <c r="GC102" s="98">
        <f ca="1">SUMIFS(Table_Process_Details[RV Acidification (kg SO2 equiv.) per kg API (OTHER)],Table_Process_Details[Display Name],Table_Process_Details[[#This Row],[Unique Process Inputs]],Table_Process_Details[Input or Output],"Input")</f>
        <v>0</v>
      </c>
      <c r="GD102" s="98" t="e">
        <f ca="1">INDEX(Table_Process_Details[Unique Process Inputs],MATCH(Table_Process_Details[[#This Row],['[Acidification (kg SO2 equiv.) per kg API'] of Unique Inputs Sorted by '[Acidification (kg SO2 equiv.) per kg API']]],Table_Process_Details[Total '[Acidification (kg SO2 equiv.) per kg API'] of Unique Inputs],0))</f>
        <v>#N/A</v>
      </c>
      <c r="GE102" s="98" t="e">
        <f ca="1">IF(LARGE(Table_Process_Details[Total '[Acidification (kg SO2 equiv.) per kg API'] of Unique Inputs],Table_Process_Details[[#This Row],[Table Row]])=0,NA(),LARGE(Table_Process_Details[Total '[Acidification (kg SO2 equiv.) per kg API'] of Unique Inputs],Table_Process_Details[[#This Row],[Table Row]]))</f>
        <v>#N/A</v>
      </c>
      <c r="GF102" s="98" t="e">
        <f ca="1">SUM(OFFSET(Table_Process_Details['[Acidification (kg SO2 equiv.) per kg API'] of Unique Inputs Sorted by '[Acidification (kg SO2 equiv.) per kg API']],0,0,Table_Process_Details[[#This Row],[Table Row]]))</f>
        <v>#N/A</v>
      </c>
      <c r="GG102" s="98" t="e">
        <f ca="1">"("&amp;TEXT(Table_Process_Details[[#This Row],['[Acidification (kg SO2 equiv.) per kg API'] of Unique Inputs Sorted by '[Acidification (kg SO2 equiv.) per kg API']]]/SUMIF(Table_Process_Details['[Acidification (kg SO2 equiv.) per kg API'] of Unique Inputs Sorted by '[Acidification (kg SO2 equiv.) per kg API']],"&lt;&gt;#N/A"),"0%")&amp;")"</f>
        <v>#N/A</v>
      </c>
      <c r="GH102" s="98" t="e">
        <f ca="1">INDEX(Table_Process_Details[Total '[Acidification (kg SO2 equiv.) per kg API'] of Unique Inputs (REAGENT)], MATCH(Table_Process_Details[[#This Row],[Unique Inputs Sorted by '[Acidification (kg SO2 equiv.) per kg API']]],Table_Process_Details[Unique Process Inputs],0))</f>
        <v>#N/A</v>
      </c>
      <c r="GI102" s="98" t="e">
        <f ca="1">INDEX(Table_Process_Details[Total '[Acidification (kg SO2 equiv.) per kg API'] of Unique Inputs (METAL)], MATCH(Table_Process_Details[[#This Row],[Unique Inputs Sorted by '[Acidification (kg SO2 equiv.) per kg API']]],Table_Process_Details[Unique Process Inputs],0))</f>
        <v>#N/A</v>
      </c>
      <c r="GJ102" s="98" t="e">
        <f ca="1">INDEX(Table_Process_Details[Total '[Acidification (kg SO2 equiv.) per kg API'] of Unique Inputs (SOLVENT)], MATCH(Table_Process_Details[[#This Row],[Unique Inputs Sorted by '[Acidification (kg SO2 equiv.) per kg API']]],Table_Process_Details[Unique Process Inputs],0))</f>
        <v>#N/A</v>
      </c>
      <c r="GK102" s="98" t="e">
        <f ca="1">INDEX(Table_Process_Details[Total '[Acidification (kg SO2 equiv.) per kg API'] of Unique Inputs (WATER)], MATCH(Table_Process_Details[[#This Row],[Unique Inputs Sorted by '[Acidification (kg SO2 equiv.) per kg API']]],Table_Process_Details[Unique Process Inputs],0))</f>
        <v>#N/A</v>
      </c>
      <c r="GL102" s="98" t="e">
        <f ca="1">INDEX(Table_Process_Details[Total '[Acidification (kg SO2 equiv.) per kg API'] of Unique Inputs (ENZ&amp;PLNT)], MATCH(Table_Process_Details[[#This Row],[Unique Inputs Sorted by '[Acidification (kg SO2 equiv.) per kg API']]],Table_Process_Details[Unique Process Inputs],0))</f>
        <v>#N/A</v>
      </c>
      <c r="GM102" s="98" t="e">
        <f ca="1">INDEX(Table_Process_Details[Total '[Acidification (kg SO2 equiv.) per kg API'] of Unique Inputs (OTHER)], MATCH(Table_Process_Details[[#This Row],[Unique Inputs Sorted by '[Acidification (kg SO2 equiv.) per kg API']]],Table_Process_Details[Unique Process Inputs],0))</f>
        <v>#N/A</v>
      </c>
      <c r="GN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API]))*Table_Process_Details[[#This Row],[Multi-Use Process_Steps Input Scale Factor]]</f>
        <v>0</v>
      </c>
      <c r="GO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(REAGENT)]]+SUMPRODUCT((Table_Process_Details[Real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(REAGENT)]))*Table_Process_Details[[#This Row],[Multi-Use Process_Steps Input Scale Factor]]</f>
        <v>0</v>
      </c>
      <c r="GP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(METAL)]]+SUMPRODUCT((Table_Process_Details[Real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(METAL)]))*Table_Process_Details[[#This Row],[Multi-Use Process_Steps Input Scale Factor]]</f>
        <v>0</v>
      </c>
      <c r="GQ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(SOLVENT)]]+SUMPRODUCT((Table_Process_Details[Real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(SOLVENT)]))*Table_Process_Details[[#This Row],[Multi-Use Process_Steps Input Scale Factor]]</f>
        <v>0</v>
      </c>
      <c r="GR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(WATER)]]+SUMPRODUCT((Table_Process_Details[Real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(WATER)]))*Table_Process_Details[[#This Row],[Multi-Use Process_Steps Input Scale Factor]]</f>
        <v>0</v>
      </c>
      <c r="GS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(ENZ&amp;PLNT)]]+SUMPRODUCT((Table_Process_Details[Real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(ENZ&amp;PLNT)]))*Table_Process_Details[[#This Row],[Multi-Use Process_Steps Input Scale Factor]]</f>
        <v>0</v>
      </c>
      <c r="GT102" s="105">
        <f ca="1">(Table_Process_Details[[#This Row],[Input or Output]]="Input")*(Table_Process_Details[[#This Row],[Real or Virtual]]="Real")*(Table_Process_Details[[#This Row],[LCA Data Source Class]]&lt;&gt;"Process_Steps")*Table_Process_Details[[#This Row],[Eutrophication (kg phosphate equiv.) Factor Lookup]]*Table_Process_Details[[#This Row],[Physical Mass per kg API (OTHER)]]+SUMPRODUCT((Table_Process_Details[Real or Virtual]="Virtual")*(Table_Process_Details[Input or Output]="Input")*(Table_Process_Details[Step Name]=Table_Process_Details[[#This Row],[LCA Data Source Subclass]]),(Table_Process_Details[Eutrophication (kg phosphate equiv.) Factor Lookup]*Table_Process_Details[Physical Mass per kg API (OTHER)]))*Table_Process_Details[[#This Row],[Multi-Use Process_Steps Input Scale Factor]]</f>
        <v>0</v>
      </c>
      <c r="GU102" s="98">
        <f ca="1">SUMIFS(Table_Process_Details[RV Eutrophication (kg phosphate equiv.) per kg API],Table_Process_Details[Display Name],Table_Process_Details[[#This Row],[Unique Process Inputs]],Table_Process_Details[Input or Output],"Input")</f>
        <v>0</v>
      </c>
      <c r="GV102" s="98">
        <f ca="1">SUMIFS(Table_Process_Details[RV Eutrophication (kg phosphate equiv.) per kg API (REAGENT)],Table_Process_Details[Display Name],Table_Process_Details[[#This Row],[Unique Process Inputs]],Table_Process_Details[Input or Output],"Input")</f>
        <v>0</v>
      </c>
      <c r="GW102" s="98">
        <f ca="1">SUMIFS(Table_Process_Details[RV Eutrophication (kg phosphate equiv.) per kg API (METAL)],Table_Process_Details[Display Name],Table_Process_Details[[#This Row],[Unique Process Inputs]],Table_Process_Details[Input or Output],"Input")</f>
        <v>0</v>
      </c>
      <c r="GX102" s="98">
        <f ca="1">SUMIFS(Table_Process_Details[RV Eutrophication (kg phosphate equiv.) per kg API (SOLVENT)],Table_Process_Details[Display Name],Table_Process_Details[[#This Row],[Unique Process Inputs]],Table_Process_Details[Input or Output],"Input")</f>
        <v>0</v>
      </c>
      <c r="GY102" s="98">
        <f ca="1">SUMIFS(Table_Process_Details[RV Eutrophication (kg phosphate equiv.) per kg API (WATER)],Table_Process_Details[Display Name],Table_Process_Details[[#This Row],[Unique Process Inputs]],Table_Process_Details[Input or Output],"Input")</f>
        <v>0</v>
      </c>
      <c r="GZ102" s="98">
        <f ca="1">SUMIFS(Table_Process_Details[RV Eutrophication (kg phosphate equiv.) per kg API (ENZ&amp;PLNT)],Table_Process_Details[Display Name],Table_Process_Details[[#This Row],[Unique Process Inputs]],Table_Process_Details[Input or Output],"Input")</f>
        <v>0</v>
      </c>
      <c r="HA102" s="98">
        <f ca="1">SUMIFS(Table_Process_Details[RV Eutrophication (kg phosphate equiv.) per kg API (OTHER)],Table_Process_Details[Display Name],Table_Process_Details[[#This Row],[Unique Process Inputs]],Table_Process_Details[Input or Output],"Input")</f>
        <v>0</v>
      </c>
      <c r="HB102" s="98" t="e">
        <f ca="1">INDEX(Table_Process_Details[Unique Process Inputs],MATCH(Table_Process_Details[[#This Row],['[Eutrophication (kg posphate equiv.) per kg API'] of Unique Inputs Sorted by '[Eutrophication (kg posphate equiv.) per kg API']]],Table_Process_Details[Total '[Eutrophication (kg posphate equiv.) per kg API'] of Unique Inputs],0))</f>
        <v>#N/A</v>
      </c>
      <c r="HC102" s="98" t="e">
        <f ca="1">IF(LARGE(Table_Process_Details[Total '[Eutrophication (kg posphate equiv.) per kg API'] of Unique Inputs],Table_Process_Details[[#This Row],[Table Row]])=0,NA(),LARGE(Table_Process_Details[Total '[Eutrophication (kg posphate equiv.) per kg API'] of Unique Inputs],Table_Process_Details[[#This Row],[Table Row]]))</f>
        <v>#N/A</v>
      </c>
      <c r="HD102" s="98" t="e">
        <f ca="1">SUM(OFFSET(Table_Process_Details['[Eutrophication (kg posphate equiv.) per kg API'] of Unique Inputs Sorted by '[Eutrophication (kg posphate equiv.) per kg API']],0,0,Table_Process_Details[[#This Row],[Table Row]]))</f>
        <v>#N/A</v>
      </c>
      <c r="HE102" s="98" t="e">
        <f ca="1">"("&amp;TEXT(Table_Process_Details[[#This Row],['[Eutrophication (kg posphate equiv.) per kg API'] of Unique Inputs Sorted by '[Eutrophication (kg posphate equiv.) per kg API']]]/SUMIF(Table_Process_Details['[Eutrophication (kg posphate equiv.) per kg API'] of Unique Inputs Sorted by '[Eutrophication (kg posphate equiv.) per kg API']],"&lt;&gt;#N/A"),"0%")&amp;")"</f>
        <v>#N/A</v>
      </c>
      <c r="HF102" s="98" t="e">
        <f ca="1">INDEX(Table_Process_Details[Total '[Eutrophication (kg posphate equiv.) per kg API'] of Unique Inputs (REAGENT)], MATCH(Table_Process_Details[[#This Row],[Unique Inputs Sorted by '[Eutrophication (kg posphate equiv.) per kg API']]],Table_Process_Details[Unique Process Inputs],0))</f>
        <v>#N/A</v>
      </c>
      <c r="HG102" s="98" t="e">
        <f ca="1">INDEX(Table_Process_Details[Total '[Eutrophication (kg posphate equiv.) per kg API'] of Unique Inputs (METAL)], MATCH(Table_Process_Details[[#This Row],[Unique Inputs Sorted by '[Eutrophication (kg posphate equiv.) per kg API']]],Table_Process_Details[Unique Process Inputs],0))</f>
        <v>#N/A</v>
      </c>
      <c r="HH102" s="98" t="e">
        <f ca="1">INDEX(Table_Process_Details[Total '[Eutrophication (kg posphate equiv.) per kg API'] of Unique Inputs (SOLVENT)], MATCH(Table_Process_Details[[#This Row],[Unique Inputs Sorted by '[Eutrophication (kg posphate equiv.) per kg API']]],Table_Process_Details[Unique Process Inputs],0))</f>
        <v>#N/A</v>
      </c>
      <c r="HI102" s="98" t="e">
        <f ca="1">INDEX(Table_Process_Details[Total '[Eutrophication (kg posphate equiv.) per kg API'] of Unique Inputs (WATER)], MATCH(Table_Process_Details[[#This Row],[Unique Inputs Sorted by '[Eutrophication (kg posphate equiv.) per kg API']]],Table_Process_Details[Unique Process Inputs],0))</f>
        <v>#N/A</v>
      </c>
      <c r="HJ102" s="98" t="e">
        <f ca="1">INDEX(Table_Process_Details[Total '[Eutrophication (kg posphate equiv.) per kg API'] of Unique Inputs (ENZ&amp;PLNT)], MATCH(Table_Process_Details[[#This Row],[Unique Inputs Sorted by '[Eutrophication (kg posphate equiv.) per kg API']]],Table_Process_Details[Unique Process Inputs],0))</f>
        <v>#N/A</v>
      </c>
      <c r="HK102" s="98" t="e">
        <f ca="1">INDEX(Table_Process_Details[Total '[Eutrophication (kg posphate equiv.) per kg API'] of Unique Inputs (OTHER)], MATCH(Table_Process_Details[[#This Row],[Unique Inputs Sorted by '[Eutrophication (kg posphate equiv.) per kg API']]],Table_Process_Details[Unique Process Inputs],0))</f>
        <v>#N/A</v>
      </c>
      <c r="HL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API]]+SUMPRODUCT((Table_Process_Details[Real or Virtual]="Virtual")*(Table_Process_Details[Input or Output]="Input")*(Table_Process_Details[Step Name]=Table_Process_Details[[#This Row],[LCA Data Source Subclass]]),(Table_Process_Details[Water (kg) Factor Lookup]*Table_Process_Details[Physical Mass per kg API]))*Table_Process_Details[[#This Row],[Multi-Use Process_Steps Input Scale Factor]]</f>
        <v>0</v>
      </c>
      <c r="HM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(REAGENT)]]+SUMPRODUCT((Table_Process_Details[Real or Virtual]="Virtual")*(Table_Process_Details[Input or Output]="Input")*(Table_Process_Details[Step Name]=Table_Process_Details[[#This Row],[LCA Data Source Subclass]]),(Table_Process_Details[Water (kg) Factor Lookup]*Table_Process_Details[Physical Mass per kg API (REAGENT)]))*Table_Process_Details[[#This Row],[Multi-Use Process_Steps Input Scale Factor]]</f>
        <v>0</v>
      </c>
      <c r="HN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(METAL)]]+SUMPRODUCT((Table_Process_Details[Real or Virtual]="Virtual")*(Table_Process_Details[Input or Output]="Input")*(Table_Process_Details[Step Name]=Table_Process_Details[[#This Row],[LCA Data Source Subclass]]),(Table_Process_Details[Water (kg) Factor Lookup]*Table_Process_Details[Physical Mass per kg API (METAL)]))*Table_Process_Details[[#This Row],[Multi-Use Process_Steps Input Scale Factor]]</f>
        <v>0</v>
      </c>
      <c r="HO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(SOLVENT)]]+SUMPRODUCT((Table_Process_Details[Real or Virtual]="Virtual")*(Table_Process_Details[Input or Output]="Input")*(Table_Process_Details[Step Name]=Table_Process_Details[[#This Row],[LCA Data Source Subclass]]),(Table_Process_Details[Water (kg) Factor Lookup]*Table_Process_Details[Physical Mass per kg API (SOLVENT)]))*Table_Process_Details[[#This Row],[Multi-Use Process_Steps Input Scale Factor]]</f>
        <v>0</v>
      </c>
      <c r="HP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(WATER)]]+SUMPRODUCT((Table_Process_Details[Real or Virtual]="Virtual")*(Table_Process_Details[Input or Output]="Input")*(Table_Process_Details[Step Name]=Table_Process_Details[[#This Row],[LCA Data Source Subclass]]),(Table_Process_Details[Water (kg) Factor Lookup]*Table_Process_Details[Physical Mass per kg API (WATER)]))*Table_Process_Details[[#This Row],[Multi-Use Process_Steps Input Scale Factor]]</f>
        <v>0</v>
      </c>
      <c r="HQ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(ENZ&amp;PLNT)]]+SUMPRODUCT((Table_Process_Details[Real or Virtual]="Virtual")*(Table_Process_Details[Input or Output]="Input")*(Table_Process_Details[Step Name]=Table_Process_Details[[#This Row],[LCA Data Source Subclass]]),(Table_Process_Details[Water (kg) Factor Lookup]*Table_Process_Details[Physical Mass per kg API (ENZ&amp;PLNT)]))*Table_Process_Details[[#This Row],[Multi-Use Process_Steps Input Scale Factor]]</f>
        <v>0</v>
      </c>
      <c r="HR102" s="105">
        <f ca="1">(Table_Process_Details[[#This Row],[Input or Output]]="Input")*(Table_Process_Details[[#This Row],[Real or Virtual]]="Real")*(Table_Process_Details[[#This Row],[LCA Data Source Class]]&lt;&gt;"Process_Steps")*Table_Process_Details[[#This Row],[Water (kg) Factor Lookup]]*Table_Process_Details[[#This Row],[Physical Mass per kg API (OTHER)]]+SUMPRODUCT((Table_Process_Details[Real or Virtual]="Virtual")*(Table_Process_Details[Input or Output]="Input")*(Table_Process_Details[Step Name]=Table_Process_Details[[#This Row],[LCA Data Source Subclass]]),(Table_Process_Details[Water (kg) Factor Lookup]*Table_Process_Details[Physical Mass per kg API (OTHER)]))*Table_Process_Details[[#This Row],[Multi-Use Process_Steps Input Scale Factor]]</f>
        <v>0</v>
      </c>
      <c r="HS102" s="98">
        <f ca="1">SUMIFS(Table_Process_Details[RV Water (kg) per kg API],Table_Process_Details[Display Name],Table_Process_Details[[#This Row],[Unique Process Inputs]],Table_Process_Details[Input or Output],"Input")</f>
        <v>0</v>
      </c>
      <c r="HT102" s="98">
        <f ca="1">SUMIFS(Table_Process_Details[RV Water (kg) per kg API (REAGENT)],Table_Process_Details[Display Name],Table_Process_Details[[#This Row],[Unique Process Inputs]],Table_Process_Details[Input or Output],"Input")</f>
        <v>0</v>
      </c>
      <c r="HU102" s="98">
        <f ca="1">SUMIFS(Table_Process_Details[RV Water (kg) per kg API (METAL)],Table_Process_Details[Display Name],Table_Process_Details[[#This Row],[Unique Process Inputs]],Table_Process_Details[Input or Output],"Input")</f>
        <v>0</v>
      </c>
      <c r="HV102" s="98">
        <f ca="1">SUMIFS(Table_Process_Details[RV Water (kg) per kg API (SOLVENT)],Table_Process_Details[Display Name],Table_Process_Details[[#This Row],[Unique Process Inputs]],Table_Process_Details[Input or Output],"Input")</f>
        <v>0</v>
      </c>
      <c r="HW102" s="98">
        <f ca="1">SUMIFS(Table_Process_Details[RV Water (kg) per kg API (WATER)],Table_Process_Details[Display Name],Table_Process_Details[[#This Row],[Unique Process Inputs]],Table_Process_Details[Input or Output],"Input")</f>
        <v>0</v>
      </c>
      <c r="HX102" s="98">
        <f ca="1">SUMIFS(Table_Process_Details[RV Water (kg) per kg API (ENZ&amp;PLNT)],Table_Process_Details[Display Name],Table_Process_Details[[#This Row],[Unique Process Inputs]],Table_Process_Details[Input or Output],"Input")</f>
        <v>0</v>
      </c>
      <c r="HY102" s="98">
        <f ca="1">SUMIFS(Table_Process_Details[RV Water (kg) per kg API (OTHER)],Table_Process_Details[Display Name],Table_Process_Details[[#This Row],[Unique Process Inputs]],Table_Process_Details[Input or Output],"Input")</f>
        <v>0</v>
      </c>
      <c r="HZ102" s="98" t="e">
        <f ca="1">INDEX(Table_Process_Details[Unique Process Inputs],MATCH(Table_Process_Details[[#This Row],['[Water (kg) per kg API'] of Unique Inputs Sorted by '[Water (kg) per kg API']]],Table_Process_Details[Total '[Water (kg) per kg API'] of Unique Inputs],0))</f>
        <v>#N/A</v>
      </c>
      <c r="IA102" s="98" t="e">
        <f ca="1">IF(LARGE(Table_Process_Details[Total '[Water (kg) per kg API'] of Unique Inputs],Table_Process_Details[[#This Row],[Table Row]])=0,NA(),LARGE(Table_Process_Details[Total '[Water (kg) per kg API'] of Unique Inputs],Table_Process_Details[[#This Row],[Table Row]]))</f>
        <v>#N/A</v>
      </c>
      <c r="IB102" s="98" t="e">
        <f ca="1">SUM(OFFSET(Table_Process_Details['[Water (kg) per kg API'] of Unique Inputs Sorted by '[Water (kg) per kg API']],0,0,Table_Process_Details[[#This Row],[Table Row]]))</f>
        <v>#N/A</v>
      </c>
      <c r="IC102" s="98" t="e">
        <f ca="1">"("&amp;TEXT(Table_Process_Details[[#This Row],['[Water (kg) per kg API'] of Unique Inputs Sorted by '[Water (kg) per kg API']]]/SUMIF(Table_Process_Details['[Water (kg) per kg API'] of Unique Inputs Sorted by '[Water (kg) per kg API']],"&lt;&gt;#N/A"),"0%")&amp;")"</f>
        <v>#N/A</v>
      </c>
      <c r="ID102" s="98" t="e">
        <f ca="1">INDEX(Table_Process_Details[Total '[Water (kg) per kg API'] of Unique Inputs (REAGENT)], MATCH(Table_Process_Details[[#This Row],[Unique Inputs Sorted by '[Water (kg) per kg API']]],Table_Process_Details[Unique Process Inputs],0))</f>
        <v>#N/A</v>
      </c>
      <c r="IE102" s="98" t="e">
        <f ca="1">INDEX(Table_Process_Details[Total '[Water (kg) per kg API'] of Unique Inputs (METAL)], MATCH(Table_Process_Details[[#This Row],[Unique Inputs Sorted by '[Water (kg) per kg API']]],Table_Process_Details[Unique Process Inputs],0))</f>
        <v>#N/A</v>
      </c>
      <c r="IF102" s="98" t="e">
        <f ca="1">INDEX(Table_Process_Details[Total '[Water (kg) per kg API'] of Unique Inputs (SOLVENT)], MATCH(Table_Process_Details[[#This Row],[Unique Inputs Sorted by '[Water (kg) per kg API']]],Table_Process_Details[Unique Process Inputs],0))</f>
        <v>#N/A</v>
      </c>
      <c r="IG102" s="98" t="e">
        <f ca="1">INDEX(Table_Process_Details[Total '[Water (kg) per kg API'] of Unique Inputs (WATER)], MATCH(Table_Process_Details[[#This Row],[Unique Inputs Sorted by '[Water (kg) per kg API']]],Table_Process_Details[Unique Process Inputs],0))</f>
        <v>#N/A</v>
      </c>
      <c r="IH102" s="98" t="e">
        <f ca="1">INDEX(Table_Process_Details[Total '[Water (kg) per kg API'] of Unique Inputs (ENZ&amp;PLNT)], MATCH(Table_Process_Details[[#This Row],[Unique Inputs Sorted by '[Water (kg) per kg API']]],Table_Process_Details[Unique Process Inputs],0))</f>
        <v>#N/A</v>
      </c>
      <c r="II102" s="98" t="e">
        <f ca="1">INDEX(Table_Process_Details[Total '[Water (kg) per kg API'] of Unique Inputs (OTHER)], MATCH(Table_Process_Details[[#This Row],[Unique Inputs Sorted by '[Water (kg) per kg API']]],Table_Process_Details[Unique Process Inputs],0))</f>
        <v>#N/A</v>
      </c>
    </row>
    <row r="104" spans="1:243" ht="15" customHeight="1" x14ac:dyDescent="0.25">
      <c r="A104" s="142" t="s">
        <v>672</v>
      </c>
      <c r="B104" s="142"/>
      <c r="C104" s="142"/>
      <c r="D104" s="142"/>
      <c r="BX104" s="25"/>
    </row>
    <row r="105" spans="1:243" x14ac:dyDescent="0.25">
      <c r="A105" s="142"/>
      <c r="B105" s="142"/>
      <c r="C105" s="142"/>
      <c r="D105" s="142"/>
    </row>
  </sheetData>
  <mergeCells count="72">
    <mergeCell ref="BQ2:BW2"/>
    <mergeCell ref="A104:D105"/>
    <mergeCell ref="CL2:CU2"/>
    <mergeCell ref="CV2:DB2"/>
    <mergeCell ref="Z3:AD3"/>
    <mergeCell ref="W3:Y3"/>
    <mergeCell ref="P3:Q3"/>
    <mergeCell ref="R3:S3"/>
    <mergeCell ref="T3:V3"/>
    <mergeCell ref="BA3:BB3"/>
    <mergeCell ref="BC3:BD3"/>
    <mergeCell ref="AE3:AF3"/>
    <mergeCell ref="AH3:AI3"/>
    <mergeCell ref="AK3:AM3"/>
    <mergeCell ref="AY3:AZ3"/>
    <mergeCell ref="I1:I2"/>
    <mergeCell ref="HZ3:IC3"/>
    <mergeCell ref="ID3:II3"/>
    <mergeCell ref="HS2:HY2"/>
    <mergeCell ref="HT3:HY3"/>
    <mergeCell ref="FW2:GC2"/>
    <mergeCell ref="FX3:GC3"/>
    <mergeCell ref="HM3:HR3"/>
    <mergeCell ref="GV3:HA3"/>
    <mergeCell ref="HB3:HE3"/>
    <mergeCell ref="HF3:HK3"/>
    <mergeCell ref="GN2:GT2"/>
    <mergeCell ref="GD2:GM2"/>
    <mergeCell ref="GD3:GG3"/>
    <mergeCell ref="GO3:GT3"/>
    <mergeCell ref="GH3:GM3"/>
    <mergeCell ref="HL1:II1"/>
    <mergeCell ref="HL2:HR2"/>
    <mergeCell ref="GU2:HA2"/>
    <mergeCell ref="HB2:HK2"/>
    <mergeCell ref="HZ2:II2"/>
    <mergeCell ref="GN1:HK1"/>
    <mergeCell ref="DU3:DZ3"/>
    <mergeCell ref="ES3:EX3"/>
    <mergeCell ref="FQ3:FV3"/>
    <mergeCell ref="EH2:EQ2"/>
    <mergeCell ref="EH3:EK3"/>
    <mergeCell ref="EL3:EQ3"/>
    <mergeCell ref="FF2:FO2"/>
    <mergeCell ref="FF3:FI3"/>
    <mergeCell ref="FJ3:FO3"/>
    <mergeCell ref="EY2:FE2"/>
    <mergeCell ref="EZ3:FE3"/>
    <mergeCell ref="ER1:FO1"/>
    <mergeCell ref="FP1:GM1"/>
    <mergeCell ref="DT2:DZ2"/>
    <mergeCell ref="ER2:EX2"/>
    <mergeCell ref="DC2:DI2"/>
    <mergeCell ref="DJ2:DS2"/>
    <mergeCell ref="EA2:EG2"/>
    <mergeCell ref="FP2:FV2"/>
    <mergeCell ref="AR3:AT3"/>
    <mergeCell ref="DT1:EQ1"/>
    <mergeCell ref="CL3:CO3"/>
    <mergeCell ref="CP3:CU3"/>
    <mergeCell ref="BR3:BW3"/>
    <mergeCell ref="BX2:CD2"/>
    <mergeCell ref="BY3:CD3"/>
    <mergeCell ref="CF3:CK3"/>
    <mergeCell ref="CE2:CK2"/>
    <mergeCell ref="CW3:DB3"/>
    <mergeCell ref="DD3:DI3"/>
    <mergeCell ref="DJ3:DM3"/>
    <mergeCell ref="DN3:DS3"/>
    <mergeCell ref="BQ1:CU1"/>
    <mergeCell ref="CV1:DS1"/>
    <mergeCell ref="EB3:EG3"/>
  </mergeCells>
  <dataValidations xWindow="1713" yWindow="453" count="10">
    <dataValidation type="list" allowBlank="1" showInputMessage="1" showErrorMessage="1" promptTitle="Instructions:" prompt="Use the in-cell dropdown to select a step from the Process_Steps table._x000a__x000a_Tap 'Esc' to close this popup." sqref="A5:A102" xr:uid="{A945D881-AA6B-4138-88B7-7465DA338CDA}">
      <formula1>INDIRECT("Process_Steps[Name]")</formula1>
    </dataValidation>
    <dataValidation allowBlank="1" showInputMessage="1" showErrorMessage="1" promptTitle="Instructions:" prompt="Enter the material name. Use consistent naming if a material appears in multiple steps. Identical names are merged later to provide PMI and LCA contributions for each unique material input._x000a__x000a_Tap 'Esc' to close this popup." sqref="E5:E102" xr:uid="{6114AC4A-320C-49AF-B7F6-1FAEDFCE5BAD}"/>
    <dataValidation type="list" allowBlank="1" showInputMessage="1" showErrorMessage="1" promptTitle="Instructions:" prompt="Use the in-cell dropdown to select whether this material is an input or an output of the step._x000a__x000a_Tap 'Esc' to close this popup." sqref="B5:B102" xr:uid="{BCF5C78D-C554-4529-9BD6-98506A72C0A6}">
      <formula1>INDIRECT("Input_or_Output")</formula1>
    </dataValidation>
    <dataValidation type="list" allowBlank="1" showInputMessage="1" showErrorMessage="1" promptTitle="Instructions:" prompt="Use the in-cell dropdown to select the data source for PMI and LCA._x000a__x000a_Tap 'Esc' to close this popup." sqref="D5:D102" xr:uid="{FB50C93C-E513-45E8-91B5-0E3C589C123A}">
      <formula1>INDIRECT(INDIRECT("Table_Process_Details[@[LCA Data Source Class]]")&amp;"[Name]")</formula1>
    </dataValidation>
    <dataValidation type="list" allowBlank="1" showInputMessage="1" showErrorMessage="1" promptTitle="Instructions:" prompt="Use the in-cell dropdown to select the data source from which LCA data will be pulled. For an output, select 'None'. For an input that is the output of a prior step, select 'Process_Steps'. Otherwise, select the LCA Class._x000a__x000a_Tap 'Esc' to close this popup." sqref="C5:C102" xr:uid="{DDBFFB04-012E-433E-8893-65C72DE61282}">
      <formula1>INDIRECT(INDIRECT("Table_Process_Details[@[Input or Output]]"))</formula1>
    </dataValidation>
    <dataValidation allowBlank="1" showInputMessage="1" showErrorMessage="1" promptTitle="Instructions:" prompt="Enter the physical charge amount (for an input) or the physical yield (for an output) in kg for the component and step listed. _x000a__x000a_Tap 'Esc' to close this popup." sqref="F5:F102" xr:uid="{74882CC2-24C0-4EF3-AEFC-07C070F53793}"/>
    <dataValidation allowBlank="1" showInputMessage="1" showErrorMessage="1" promptTitle="Instructions:" prompt="Copy/Paste the procedure instruction from which this row is derived, if desired. This cell does not affect calculations. _x000a__x000a_Tap 'Esc' to close this popup." sqref="G5:G102" xr:uid="{C1315075-FE31-4689-A08C-6F4E492A9666}"/>
    <dataValidation allowBlank="1" showInputMessage="1" showErrorMessage="1" promptTitle="Instructions:" prompt="If desired, enter additional notes that correspond with the input in this row. Useful information to include might be a charge basis, a molar mass, a solvent's density, etc. This cell does not affect calculations._x000a__x000a_Tap 'Esc' to close this popup." sqref="H5:H102" xr:uid="{6F7C6985-20EC-45BA-94C9-A6E05FD73C1C}"/>
    <dataValidation allowBlank="1" showInputMessage="1" showErrorMessage="1" promptTitle="Instructions:" prompt="If desired, a reviewer can use this space to record notes and comments._x000a__x000a_Tap 'Esc' to close this popup." sqref="I5:I102" xr:uid="{F7BDA3EB-C4E0-44D5-9B36-B755A270C7AA}"/>
    <dataValidation allowBlank="1" showInputMessage="1" showErrorMessage="1" promptTitle="Instructions:" prompt="This cell is filled in automatically._x000a__x000a_Tap 'Esc' to close this popup." sqref="J5:II102" xr:uid="{92C009AB-2DD2-4E23-99B9-F1FB1F7A6DA8}"/>
  </dataValidations>
  <pageMargins left="0.7" right="0.7" top="0.75" bottom="0.75" header="0.3" footer="0.3"/>
  <pageSetup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FD4D-8B6B-48EC-84A1-23CEA4BD119E}">
  <sheetPr codeName="Sheet3">
    <tabColor rgb="FF00D962"/>
    <pageSetUpPr autoPageBreaks="0"/>
  </sheetPr>
  <dimension ref="B1:AF356"/>
  <sheetViews>
    <sheetView topLeftCell="A4" zoomScale="70" zoomScaleNormal="70" workbookViewId="0">
      <selection activeCell="Y18" sqref="Y18"/>
    </sheetView>
  </sheetViews>
  <sheetFormatPr defaultColWidth="9.140625" defaultRowHeight="15" x14ac:dyDescent="0.25"/>
  <cols>
    <col min="1" max="20" width="9.140625" style="36"/>
    <col min="21" max="21" width="12.85546875" style="36" customWidth="1"/>
    <col min="22" max="22" width="17.5703125" style="36" bestFit="1" customWidth="1"/>
    <col min="23" max="23" width="13.28515625" style="36" customWidth="1"/>
    <col min="24" max="24" width="46" style="36" bestFit="1" customWidth="1"/>
    <col min="25" max="25" width="12.42578125" style="36" bestFit="1" customWidth="1"/>
    <col min="26" max="16384" width="9.140625" style="36"/>
  </cols>
  <sheetData>
    <row r="1" spans="2:24" x14ac:dyDescent="0.25">
      <c r="B1" s="49"/>
    </row>
    <row r="2" spans="2:24" ht="15.75" thickBot="1" x14ac:dyDescent="0.3"/>
    <row r="3" spans="2:24" ht="34.5" thickBot="1" x14ac:dyDescent="0.55000000000000004">
      <c r="B3" s="154" t="s">
        <v>655</v>
      </c>
      <c r="C3" s="155"/>
      <c r="D3" s="155"/>
      <c r="E3" s="155"/>
      <c r="F3" s="155"/>
      <c r="G3" s="155"/>
      <c r="H3" s="155"/>
      <c r="I3" s="155"/>
      <c r="J3" s="155"/>
      <c r="K3" s="155"/>
      <c r="L3" s="155"/>
      <c r="M3" s="155"/>
      <c r="N3" s="155"/>
      <c r="O3" s="155"/>
      <c r="P3" s="155"/>
      <c r="Q3" s="155"/>
      <c r="R3" s="155"/>
      <c r="S3" s="155"/>
      <c r="T3" s="155"/>
      <c r="U3" s="155"/>
      <c r="V3" s="155"/>
      <c r="W3" s="156"/>
      <c r="X3"/>
    </row>
    <row r="4" spans="2:24" ht="104.25" customHeight="1" thickBot="1" x14ac:dyDescent="0.3">
      <c r="B4" s="151" t="str">
        <f ca="1">Notifications</f>
        <v xml:space="preserve">&gt; Everything looks good! Be sure to RESET &gt; RUN &gt; FREEZE the Graph Dynamics and the Step Scaling Iterator before evaluating results!
</v>
      </c>
      <c r="C4" s="152"/>
      <c r="D4" s="152"/>
      <c r="E4" s="152"/>
      <c r="F4" s="152"/>
      <c r="G4" s="152"/>
      <c r="H4" s="152"/>
      <c r="I4" s="152"/>
      <c r="J4" s="152"/>
      <c r="K4" s="152"/>
      <c r="L4" s="152"/>
      <c r="M4" s="152"/>
      <c r="N4" s="152"/>
      <c r="O4" s="152"/>
      <c r="P4" s="152"/>
      <c r="Q4" s="152"/>
      <c r="R4" s="152"/>
      <c r="S4" s="152"/>
      <c r="T4" s="152"/>
      <c r="U4" s="152"/>
      <c r="V4" s="152"/>
      <c r="W4" s="153"/>
      <c r="X4"/>
    </row>
    <row r="5" spans="2:24" x14ac:dyDescent="0.25">
      <c r="B5" s="49" t="s">
        <v>311</v>
      </c>
    </row>
    <row r="6" spans="2:24" ht="65.25" thickBot="1" x14ac:dyDescent="1">
      <c r="B6" s="39" t="str">
        <f>"Process Network Graph for the Synthesis of "&amp;API_Name[]</f>
        <v>Process Network Graph for the Synthesis of Packaged Fictional API</v>
      </c>
    </row>
    <row r="7" spans="2:24" ht="27" thickBot="1" x14ac:dyDescent="0.45">
      <c r="T7" s="68"/>
      <c r="U7" s="160" t="s">
        <v>591</v>
      </c>
      <c r="V7" s="161"/>
      <c r="W7" s="69" t="s">
        <v>595</v>
      </c>
      <c r="X7" s="66" t="s">
        <v>616</v>
      </c>
    </row>
    <row r="8" spans="2:24" ht="15.75" thickBot="1" x14ac:dyDescent="0.3"/>
    <row r="9" spans="2:24" ht="15.75" thickBot="1" x14ac:dyDescent="0.3">
      <c r="V9" s="158" t="s">
        <v>590</v>
      </c>
      <c r="W9" s="159"/>
    </row>
    <row r="10" spans="2:24" x14ac:dyDescent="0.25">
      <c r="V10" s="74" t="s">
        <v>588</v>
      </c>
      <c r="W10" s="75">
        <f ca="1">_xlfn.SWITCH(Run_Reset_PNG,"Reset",1,W11)</f>
        <v>10</v>
      </c>
    </row>
    <row r="11" spans="2:24" x14ac:dyDescent="0.25">
      <c r="V11" s="71" t="s">
        <v>587</v>
      </c>
      <c r="W11" s="78">
        <f ca="1">MIN(10,Collision_Distance+1/Collision_Distance)</f>
        <v>10</v>
      </c>
      <c r="X11" s="49"/>
    </row>
    <row r="12" spans="2:24" ht="15.75" thickBot="1" x14ac:dyDescent="0.3">
      <c r="V12" s="72" t="s">
        <v>589</v>
      </c>
      <c r="W12" s="73">
        <v>3</v>
      </c>
    </row>
    <row r="13" spans="2:24" ht="15.75" thickBot="1" x14ac:dyDescent="0.3"/>
    <row r="14" spans="2:24" ht="15.75" thickBot="1" x14ac:dyDescent="0.3">
      <c r="V14" s="76" t="s">
        <v>601</v>
      </c>
      <c r="W14" s="77">
        <v>0.8</v>
      </c>
    </row>
    <row r="15" spans="2:24" x14ac:dyDescent="0.25">
      <c r="V15" s="62"/>
      <c r="W15" s="62"/>
    </row>
    <row r="16" spans="2:24" x14ac:dyDescent="0.25">
      <c r="V16" s="62"/>
      <c r="W16" s="62"/>
    </row>
    <row r="17" spans="22:23" x14ac:dyDescent="0.25">
      <c r="V17" s="62"/>
      <c r="W17" s="62"/>
    </row>
    <row r="43" spans="2:32" ht="64.5" x14ac:dyDescent="0.95">
      <c r="B43" s="39" t="str">
        <f>"Overall Process Metrics for the Synthesis of "&amp;API_Name[]</f>
        <v>Overall Process Metrics for the Synthesis of Packaged Fictional API</v>
      </c>
    </row>
    <row r="45" spans="2:32" ht="65.25" thickBot="1" x14ac:dyDescent="1">
      <c r="D45" s="38" t="s">
        <v>309</v>
      </c>
      <c r="N45" s="38" t="s">
        <v>308</v>
      </c>
      <c r="X45" s="38" t="s">
        <v>275</v>
      </c>
    </row>
    <row r="46" spans="2:32" ht="27" thickBot="1" x14ac:dyDescent="0.45">
      <c r="C46" s="40"/>
      <c r="D46" s="40"/>
      <c r="E46" s="40"/>
      <c r="F46" s="40"/>
      <c r="G46" s="40"/>
      <c r="H46" s="40"/>
      <c r="I46" s="40"/>
      <c r="J46" s="40"/>
      <c r="K46" s="40"/>
      <c r="L46" s="40"/>
      <c r="M46" s="40"/>
      <c r="N46" s="40"/>
      <c r="O46" s="40"/>
      <c r="P46" s="40"/>
      <c r="Q46" s="40"/>
      <c r="R46" s="40"/>
      <c r="S46" s="40"/>
      <c r="T46" s="40"/>
      <c r="U46" s="40"/>
      <c r="V46" s="40"/>
      <c r="X46" s="70" t="s">
        <v>678</v>
      </c>
      <c r="Y46" s="69" t="s">
        <v>595</v>
      </c>
      <c r="Z46" s="66" t="s">
        <v>586</v>
      </c>
      <c r="AA46" s="150" t="s">
        <v>641</v>
      </c>
      <c r="AB46" s="150"/>
      <c r="AC46" s="150"/>
      <c r="AD46" s="150"/>
      <c r="AE46" s="150"/>
      <c r="AF46" s="150"/>
    </row>
    <row r="47" spans="2:32" x14ac:dyDescent="0.25">
      <c r="C47" s="40"/>
      <c r="D47" s="21" t="str">
        <f>"Overall Process Metrics per kg of "&amp;API_Name[]</f>
        <v>Overall Process Metrics per kg of Packaged Fictional API</v>
      </c>
      <c r="M47" s="40"/>
      <c r="N47" s="21" t="str">
        <f>"Overall Process Metrics per kg of "&amp;API_Name[]</f>
        <v>Overall Process Metrics per kg of Packaged Fictional API</v>
      </c>
      <c r="V47" s="40"/>
    </row>
    <row r="48" spans="2:32" x14ac:dyDescent="0.25">
      <c r="C48" s="40"/>
      <c r="M48" s="40"/>
      <c r="V48" s="40"/>
      <c r="W48" s="40"/>
      <c r="X48" s="40" t="s">
        <v>235</v>
      </c>
      <c r="Y48" s="40"/>
      <c r="Z48" s="40"/>
      <c r="AA48" s="40"/>
      <c r="AB48" s="40"/>
      <c r="AC48" s="40"/>
      <c r="AD48" s="40"/>
      <c r="AE48" s="40"/>
      <c r="AF48" s="40"/>
    </row>
    <row r="49" spans="3:32" x14ac:dyDescent="0.25">
      <c r="C49" s="40"/>
      <c r="M49" s="40"/>
      <c r="V49" s="40"/>
      <c r="W49" s="40"/>
      <c r="X49" s="34" t="s">
        <v>185</v>
      </c>
      <c r="Y49" s="41" t="s">
        <v>549</v>
      </c>
      <c r="Z49" s="21" t="s">
        <v>552</v>
      </c>
      <c r="AA49" s="21" t="s">
        <v>553</v>
      </c>
      <c r="AB49" s="21" t="s">
        <v>551</v>
      </c>
      <c r="AC49" s="21" t="s">
        <v>550</v>
      </c>
      <c r="AD49" s="21" t="s">
        <v>554</v>
      </c>
      <c r="AE49" s="21" t="s">
        <v>555</v>
      </c>
      <c r="AF49" s="40"/>
    </row>
    <row r="50" spans="3:32" x14ac:dyDescent="0.25">
      <c r="C50" s="40"/>
      <c r="M50" s="40"/>
      <c r="V50" s="40"/>
      <c r="W50" s="40"/>
      <c r="X50" s="33" t="s">
        <v>173</v>
      </c>
      <c r="Y50" s="35">
        <f ca="1">SUMIF(Process_Steps[RV Step PMI per kg API],"&lt;&gt;#N/A")</f>
        <v>147.57423309112158</v>
      </c>
      <c r="Z50" s="35">
        <f ca="1">SUMIF(Process_Steps[RV Step PMI per kg API (REAGENT)],"&lt;&gt;#N/A")</f>
        <v>20.243433275347634</v>
      </c>
      <c r="AA50" s="35">
        <f ca="1">SUMIF(Process_Steps[RV Step PMI per kg API (METAL)],"&lt;&gt;#N/A")</f>
        <v>5.1704470224113947E-3</v>
      </c>
      <c r="AB50" s="35">
        <f ca="1">SUMIF(Process_Steps[RV Step PMI per kg API (SOLVENT)],"&lt;&gt;#N/A")</f>
        <v>66.43890301160053</v>
      </c>
      <c r="AC50" s="35">
        <f ca="1">SUMIF(Process_Steps[RV Step PMI per kg API (WATER)],"&lt;&gt;#N/A")</f>
        <v>60.886726357151019</v>
      </c>
      <c r="AD50" s="35">
        <f ca="1">SUMIF(Process_Steps[RV Step PMI per kg API (ENZ&amp;PLNT)],"&lt;&gt;#N/A")</f>
        <v>0</v>
      </c>
      <c r="AE50" s="35">
        <f ca="1">SUMIF(Process_Steps[RV Step PMI per kg API (OTHER)],"&lt;&gt;#N/A")</f>
        <v>0</v>
      </c>
      <c r="AF50" s="60"/>
    </row>
    <row r="51" spans="3:32" x14ac:dyDescent="0.25">
      <c r="C51" s="40"/>
      <c r="M51" s="40"/>
      <c r="V51" s="40"/>
      <c r="W51" s="40"/>
      <c r="X51" s="34" t="s">
        <v>23</v>
      </c>
      <c r="Y51" s="35">
        <f ca="1">SUMIF(Process_Steps[RV Step Mass Net (kg) per kg API],"&lt;&gt;#N/A")</f>
        <v>127.08899248952403</v>
      </c>
      <c r="Z51" s="35">
        <f ca="1">SUMIF(Process_Steps[RV Step Mass Net (kg) per kg API (REAGENT)],"&lt;&gt;#N/A")</f>
        <v>38.515501404589529</v>
      </c>
      <c r="AA51" s="35">
        <f ca="1">SUMIF(Process_Steps[RV Step Mass Net (kg) per kg API (METAL)],"&lt;&gt;#N/A")</f>
        <v>1.3212335406624615E-2</v>
      </c>
      <c r="AB51" s="35">
        <f ca="1">SUMIF(Process_Steps[RV Step Mass Net (kg) per kg API (SOLVENT)],"&lt;&gt;#N/A")</f>
        <v>88.467105904952945</v>
      </c>
      <c r="AC51" s="35">
        <f ca="1">SUMIF(Process_Steps[RV Step Mass Net (kg) per kg API (WATER)],"&lt;&gt;#N/A")</f>
        <v>9.3172844574943597E-2</v>
      </c>
      <c r="AD51" s="35">
        <f ca="1">SUMIF(Process_Steps[RV Step Mass Net (kg) per kg API (ENZ&amp;PLNT)],"&lt;&gt;#N/A")</f>
        <v>0</v>
      </c>
      <c r="AE51" s="35">
        <f ca="1">SUMIF(Process_Steps[RV Step Mass Net (kg) per kg API (OTHER)],"&lt;&gt;#N/A")</f>
        <v>0</v>
      </c>
      <c r="AF51" s="60"/>
    </row>
    <row r="52" spans="3:32" x14ac:dyDescent="0.25">
      <c r="C52" s="40"/>
      <c r="M52" s="40"/>
      <c r="V52" s="40"/>
      <c r="W52" s="40"/>
      <c r="X52" s="34" t="s">
        <v>24</v>
      </c>
      <c r="Y52" s="35">
        <f ca="1">SUMIF(Process_Steps[RV Step Energy (MJ) per kg API],"&lt;&gt;#N/A")</f>
        <v>5064.7678314908235</v>
      </c>
      <c r="Z52" s="35">
        <f ca="1">SUMIF(Process_Steps[RV Step Energy (MJ) per kg API (REAGENT)],"&lt;&gt;#N/A")</f>
        <v>1195.7498064524116</v>
      </c>
      <c r="AA52" s="35">
        <f ca="1">SUMIF(Process_Steps[RV Step Energy (MJ) per kg API (METAL)],"&lt;&gt;#N/A")</f>
        <v>4.8400991479566495E-2</v>
      </c>
      <c r="AB52" s="35">
        <f ca="1">SUMIF(Process_Steps[RV Step Energy (MJ) per kg API (SOLVENT)],"&lt;&gt;#N/A")</f>
        <v>3867.8092331257658</v>
      </c>
      <c r="AC52" s="35">
        <f ca="1">SUMIF(Process_Steps[RV Step Energy (MJ) per kg API (WATER)],"&lt;&gt;#N/A")</f>
        <v>1.1603909211660448</v>
      </c>
      <c r="AD52" s="35">
        <f ca="1">SUMIF(Process_Steps[RV Step Energy (MJ) per kg API (ENZ&amp;PLNT)],"&lt;&gt;#N/A")</f>
        <v>0</v>
      </c>
      <c r="AE52" s="35">
        <f ca="1">SUMIF(Process_Steps[RV Step Energy (MJ) per kg API (OTHER)],"&lt;&gt;#N/A")</f>
        <v>0</v>
      </c>
      <c r="AF52" s="60"/>
    </row>
    <row r="53" spans="3:32" x14ac:dyDescent="0.25">
      <c r="C53" s="40"/>
      <c r="M53" s="40"/>
      <c r="V53" s="40"/>
      <c r="W53" s="40"/>
      <c r="X53" s="34" t="s">
        <v>25</v>
      </c>
      <c r="Y53" s="35">
        <f ca="1">SUMIF(Process_Steps[RV Step GWP (kg CO2 equiv.) per kg API],"&lt;&gt;#N/A")</f>
        <v>156.4994909955808</v>
      </c>
      <c r="Z53" s="35">
        <f ca="1">SUMIF(Process_Steps[RV Step GWP (kg CO2 equiv.) per kg API (REAGENT)],"&lt;&gt;#N/A")</f>
        <v>46.958254053047725</v>
      </c>
      <c r="AA53" s="35">
        <f ca="1">SUMIF(Process_Steps[RV Step GWP (kg CO2 equiv.) per kg API (METAL)],"&lt;&gt;#N/A")</f>
        <v>2.8110112451826814E-3</v>
      </c>
      <c r="AB53" s="35">
        <f ca="1">SUMIF(Process_Steps[RV Step GWP (kg CO2 equiv.) per kg API (SOLVENT)],"&lt;&gt;#N/A")</f>
        <v>109.47658072608441</v>
      </c>
      <c r="AC53" s="35">
        <f ca="1">SUMIF(Process_Steps[RV Step GWP (kg CO2 equiv.) per kg API (WATER)],"&lt;&gt;#N/A")</f>
        <v>6.1845205203465287E-2</v>
      </c>
      <c r="AD53" s="35">
        <f ca="1">SUMIF(Process_Steps[RV Step GWP (kg CO2 equiv.) per kg API (ENZ&amp;PLNT)],"&lt;&gt;#N/A")</f>
        <v>0</v>
      </c>
      <c r="AE53" s="35">
        <f ca="1">SUMIF(Process_Steps[RV Step GWP (kg CO2 equiv.) per kg API (OTHER)],"&lt;&gt;#N/A")</f>
        <v>0</v>
      </c>
      <c r="AF53" s="60"/>
    </row>
    <row r="54" spans="3:32" x14ac:dyDescent="0.25">
      <c r="C54" s="40"/>
      <c r="M54" s="40"/>
      <c r="V54" s="40"/>
      <c r="W54" s="40"/>
      <c r="X54" s="34" t="s">
        <v>26</v>
      </c>
      <c r="Y54" s="35">
        <f ca="1">SUMIF(Process_Steps[RV Step Acidification (kg SO2 equiv.) per kg API],"&lt;&gt;#N/A")</f>
        <v>0.65530288249062396</v>
      </c>
      <c r="Z54" s="35">
        <f ca="1">SUMIF(Process_Steps[RV Step Acidification (kg SO2 equiv.) per kg API (REAGENT)],"&lt;&gt;#N/A")</f>
        <v>0.2405218914241789</v>
      </c>
      <c r="AA54" s="35">
        <f ca="1">SUMIF(Process_Steps[RV Step Acidification (kg SO2 equiv.) per kg API (METAL)],"&lt;&gt;#N/A")</f>
        <v>4.4127374004533426E-4</v>
      </c>
      <c r="AB54" s="35">
        <f ca="1">SUMIF(Process_Steps[RV Step Acidification (kg SO2 equiv.) per kg API (SOLVENT)],"&lt;&gt;#N/A")</f>
        <v>0.4141027805884181</v>
      </c>
      <c r="AC54" s="35">
        <f ca="1">SUMIF(Process_Steps[RV Step Acidification (kg SO2 equiv.) per kg API (WATER)],"&lt;&gt;#N/A")</f>
        <v>2.3693673798163995E-4</v>
      </c>
      <c r="AD54" s="35">
        <f ca="1">SUMIF(Process_Steps[RV Step Acidification (kg SO2 equiv.) per kg API (ENZ&amp;PLNT)],"&lt;&gt;#N/A")</f>
        <v>0</v>
      </c>
      <c r="AE54" s="35">
        <f ca="1">SUMIF(Process_Steps[RV Step Acidification (kg SO2 equiv.) per kg API (OTHER)],"&lt;&gt;#N/A")</f>
        <v>0</v>
      </c>
      <c r="AF54" s="60"/>
    </row>
    <row r="55" spans="3:32" x14ac:dyDescent="0.25">
      <c r="C55" s="40"/>
      <c r="M55" s="40"/>
      <c r="V55" s="40"/>
      <c r="W55" s="40"/>
      <c r="X55" s="34" t="s">
        <v>27</v>
      </c>
      <c r="Y55" s="35">
        <f ca="1">SUMIF(Process_Steps[RV Step Eutrophication (kg posphate equiv.) per kg API],"&lt;&gt;#N/A")</f>
        <v>1.3757189865780779</v>
      </c>
      <c r="Z55" s="35">
        <f ca="1">SUMIF(Process_Steps[RV Step Eutrophication (kg posphate equiv.) per kg API (REAGENT)],"&lt;&gt;#N/A")</f>
        <v>0.14066052499811521</v>
      </c>
      <c r="AA55" s="35">
        <f ca="1">SUMIF(Process_Steps[RV Step Eutrophication (kg posphate equiv.) per kg API (METAL)],"&lt;&gt;#N/A")</f>
        <v>3.4793419346878223E-5</v>
      </c>
      <c r="AB55" s="35">
        <f ca="1">SUMIF(Process_Steps[RV Step Eutrophication (kg posphate equiv.) per kg API (SOLVENT)],"&lt;&gt;#N/A")</f>
        <v>1.2348825224147084</v>
      </c>
      <c r="AC55" s="35">
        <f ca="1">SUMIF(Process_Steps[RV Step Eutrophication (kg posphate equiv.) per kg API (WATER)],"&lt;&gt;#N/A")</f>
        <v>1.4114574590732095E-4</v>
      </c>
      <c r="AD55" s="35">
        <f ca="1">SUMIF(Process_Steps[RV Step Eutrophication (kg posphate equiv.) per kg API (ENZ&amp;PLNT)],"&lt;&gt;#N/A")</f>
        <v>0</v>
      </c>
      <c r="AE55" s="35">
        <f ca="1">SUMIF(Process_Steps[RV Step Eutrophication (kg posphate equiv.) per kg API (OTHER)],"&lt;&gt;#N/A")</f>
        <v>0</v>
      </c>
      <c r="AF55" s="60"/>
    </row>
    <row r="56" spans="3:32" x14ac:dyDescent="0.25">
      <c r="C56" s="40"/>
      <c r="M56" s="40"/>
      <c r="V56" s="40"/>
      <c r="W56" s="40"/>
      <c r="X56" s="34" t="s">
        <v>28</v>
      </c>
      <c r="Y56" s="35">
        <f ca="1">SUMIF(Process_Steps[RV Step Water (kg) per kg API],"&lt;&gt;#N/A")</f>
        <v>890.26141237163642</v>
      </c>
      <c r="Z56" s="35">
        <f ca="1">SUMIF(Process_Steps[RV Step Water (kg) per kg API (REAGENT)],"&lt;&gt;#N/A")</f>
        <v>227.76090809407384</v>
      </c>
      <c r="AA56" s="35">
        <f ca="1">SUMIF(Process_Steps[RV Step Water (kg) per kg API (METAL)],"&lt;&gt;#N/A")</f>
        <v>7.2587890236292571E-2</v>
      </c>
      <c r="AB56" s="35">
        <f ca="1">SUMIF(Process_Steps[RV Step Water (kg) per kg API (SOLVENT)],"&lt;&gt;#N/A")</f>
        <v>585.50672544207328</v>
      </c>
      <c r="AC56" s="35">
        <f ca="1">SUMIF(Process_Steps[RV Step Water (kg) per kg API (WATER)],"&lt;&gt;#N/A")</f>
        <v>76.921190945253002</v>
      </c>
      <c r="AD56" s="35">
        <f ca="1">SUMIF(Process_Steps[RV Step Water (kg) per kg API (ENZ&amp;PLNT)],"&lt;&gt;#N/A")</f>
        <v>0</v>
      </c>
      <c r="AE56" s="35">
        <f ca="1">SUMIF(Process_Steps[RV Step Water (kg) per kg API (OTHER)],"&lt;&gt;#N/A")</f>
        <v>0</v>
      </c>
      <c r="AF56" s="60"/>
    </row>
    <row r="57" spans="3:32" x14ac:dyDescent="0.25">
      <c r="C57" s="40"/>
      <c r="M57" s="40"/>
      <c r="V57" s="40"/>
      <c r="W57" s="40"/>
      <c r="X57" s="40"/>
      <c r="Y57" s="40"/>
      <c r="Z57" s="40"/>
      <c r="AA57" s="40"/>
      <c r="AB57" s="40"/>
      <c r="AC57" s="40"/>
      <c r="AD57" s="40"/>
      <c r="AE57" s="40"/>
      <c r="AF57" s="40"/>
    </row>
    <row r="58" spans="3:32" x14ac:dyDescent="0.25">
      <c r="C58" s="40"/>
      <c r="M58" s="40"/>
      <c r="V58" s="40"/>
    </row>
    <row r="59" spans="3:32" x14ac:dyDescent="0.25">
      <c r="C59" s="40"/>
      <c r="M59" s="40"/>
      <c r="V59" s="40"/>
    </row>
    <row r="60" spans="3:32" x14ac:dyDescent="0.25">
      <c r="C60" s="40"/>
      <c r="M60" s="40"/>
      <c r="V60" s="40"/>
    </row>
    <row r="61" spans="3:32" x14ac:dyDescent="0.25">
      <c r="C61" s="40"/>
      <c r="M61" s="40"/>
      <c r="V61" s="40"/>
    </row>
    <row r="62" spans="3:32" x14ac:dyDescent="0.25">
      <c r="C62" s="40"/>
      <c r="M62" s="40"/>
      <c r="V62" s="40"/>
    </row>
    <row r="63" spans="3:32" x14ac:dyDescent="0.25">
      <c r="C63" s="40"/>
      <c r="M63" s="40"/>
      <c r="V63" s="40"/>
    </row>
    <row r="64" spans="3:32" x14ac:dyDescent="0.25">
      <c r="C64" s="40"/>
      <c r="M64" s="40"/>
      <c r="V64" s="40"/>
    </row>
    <row r="65" spans="2:32" x14ac:dyDescent="0.25">
      <c r="C65" s="40"/>
      <c r="M65" s="40"/>
      <c r="V65" s="40"/>
    </row>
    <row r="66" spans="2:32" x14ac:dyDescent="0.25">
      <c r="C66" s="40"/>
      <c r="D66" s="40"/>
      <c r="E66" s="40"/>
      <c r="F66" s="40"/>
      <c r="G66" s="40"/>
      <c r="H66" s="40"/>
      <c r="I66" s="40"/>
      <c r="J66" s="40"/>
      <c r="K66" s="40"/>
      <c r="L66" s="40"/>
      <c r="M66" s="40"/>
      <c r="N66" s="40"/>
      <c r="O66" s="40"/>
      <c r="P66" s="40"/>
      <c r="Q66" s="40"/>
      <c r="R66" s="40"/>
      <c r="S66" s="40"/>
      <c r="T66" s="40"/>
      <c r="U66" s="40"/>
      <c r="V66" s="40"/>
    </row>
    <row r="68" spans="2:32" ht="64.5" x14ac:dyDescent="0.95">
      <c r="B68" s="39" t="str">
        <f>"Breakdown of Overall Process Metrics for the Synthesis of "&amp;API_Name[]</f>
        <v>Breakdown of Overall Process Metrics for the Synthesis of Packaged Fictional API</v>
      </c>
    </row>
    <row r="70" spans="2:32" x14ac:dyDescent="0.25">
      <c r="C70" s="40"/>
      <c r="D70" s="40"/>
      <c r="E70" s="40"/>
      <c r="F70" s="40"/>
      <c r="G70" s="40"/>
      <c r="H70" s="40"/>
      <c r="I70" s="40"/>
      <c r="J70" s="40"/>
      <c r="K70" s="40"/>
      <c r="L70" s="40"/>
      <c r="M70" s="40"/>
      <c r="N70" s="40"/>
      <c r="O70" s="40"/>
      <c r="P70" s="40"/>
      <c r="Q70" s="40"/>
      <c r="R70" s="40"/>
      <c r="S70" s="40"/>
      <c r="T70" s="40"/>
      <c r="U70" s="40"/>
      <c r="V70" s="40"/>
      <c r="W70" s="40"/>
    </row>
    <row r="71" spans="2:32" x14ac:dyDescent="0.25">
      <c r="C71" s="40"/>
      <c r="D71" s="21"/>
      <c r="W71" s="40"/>
    </row>
    <row r="72" spans="2:32" x14ac:dyDescent="0.25">
      <c r="C72" s="40"/>
      <c r="W72" s="40"/>
      <c r="X72" s="62"/>
      <c r="Y72" s="62"/>
      <c r="Z72" s="62"/>
      <c r="AA72" s="62"/>
      <c r="AB72" s="62"/>
      <c r="AC72" s="62"/>
      <c r="AD72" s="62"/>
      <c r="AE72" s="62"/>
    </row>
    <row r="73" spans="2:32" x14ac:dyDescent="0.25">
      <c r="C73" s="40"/>
      <c r="W73" s="40"/>
      <c r="X73" s="63"/>
      <c r="Y73" s="64"/>
      <c r="Z73" s="62"/>
      <c r="AA73" s="62"/>
      <c r="AB73" s="62"/>
      <c r="AC73" s="62"/>
      <c r="AD73" s="62"/>
      <c r="AE73" s="62"/>
    </row>
    <row r="74" spans="2:32" x14ac:dyDescent="0.25">
      <c r="C74" s="40"/>
      <c r="W74" s="40"/>
      <c r="X74" s="63"/>
      <c r="Y74" s="65"/>
      <c r="Z74" s="65"/>
      <c r="AA74" s="65"/>
      <c r="AB74" s="65"/>
      <c r="AC74" s="65"/>
      <c r="AD74" s="65"/>
      <c r="AE74" s="65"/>
      <c r="AF74" s="61"/>
    </row>
    <row r="75" spans="2:32" x14ac:dyDescent="0.25">
      <c r="C75" s="40"/>
      <c r="W75" s="40"/>
      <c r="X75" s="63"/>
      <c r="Y75" s="65"/>
      <c r="Z75" s="65"/>
      <c r="AA75" s="65"/>
      <c r="AB75" s="65"/>
      <c r="AC75" s="65"/>
      <c r="AD75" s="65"/>
      <c r="AE75" s="65"/>
      <c r="AF75" s="61"/>
    </row>
    <row r="76" spans="2:32" x14ac:dyDescent="0.25">
      <c r="C76" s="40"/>
      <c r="W76" s="40"/>
      <c r="X76" s="63"/>
      <c r="Y76" s="65"/>
      <c r="Z76" s="65"/>
      <c r="AA76" s="65"/>
      <c r="AB76" s="65"/>
      <c r="AC76" s="65"/>
      <c r="AD76" s="65"/>
      <c r="AE76" s="65"/>
      <c r="AF76" s="61"/>
    </row>
    <row r="77" spans="2:32" x14ac:dyDescent="0.25">
      <c r="C77" s="40"/>
      <c r="W77" s="40"/>
      <c r="X77" s="63"/>
      <c r="Y77" s="65"/>
      <c r="Z77" s="65"/>
      <c r="AA77" s="65"/>
      <c r="AB77" s="65"/>
      <c r="AC77" s="65"/>
      <c r="AD77" s="65"/>
      <c r="AE77" s="65"/>
      <c r="AF77" s="61"/>
    </row>
    <row r="78" spans="2:32" x14ac:dyDescent="0.25">
      <c r="C78" s="40"/>
      <c r="W78" s="40"/>
      <c r="X78" s="63"/>
      <c r="Y78" s="65"/>
      <c r="Z78" s="65"/>
      <c r="AA78" s="65"/>
      <c r="AB78" s="65"/>
      <c r="AC78" s="65"/>
      <c r="AD78" s="65"/>
      <c r="AE78" s="65"/>
      <c r="AF78" s="61"/>
    </row>
    <row r="79" spans="2:32" x14ac:dyDescent="0.25">
      <c r="C79" s="40"/>
      <c r="W79" s="40"/>
      <c r="X79" s="63"/>
      <c r="Y79" s="65"/>
      <c r="Z79" s="65"/>
      <c r="AA79" s="65"/>
      <c r="AB79" s="65"/>
      <c r="AC79" s="65"/>
      <c r="AD79" s="65"/>
      <c r="AE79" s="65"/>
      <c r="AF79" s="61"/>
    </row>
    <row r="80" spans="2:32" x14ac:dyDescent="0.25">
      <c r="C80" s="40"/>
      <c r="W80" s="40"/>
      <c r="X80" s="63"/>
      <c r="Y80" s="65"/>
      <c r="Z80" s="65"/>
      <c r="AA80" s="65"/>
      <c r="AB80" s="65"/>
      <c r="AC80" s="65"/>
      <c r="AD80" s="65"/>
      <c r="AE80" s="65"/>
      <c r="AF80" s="61"/>
    </row>
    <row r="81" spans="2:31" x14ac:dyDescent="0.25">
      <c r="C81" s="40"/>
      <c r="W81" s="40"/>
      <c r="X81" s="62"/>
      <c r="Y81" s="62"/>
      <c r="Z81" s="62"/>
      <c r="AA81" s="62"/>
      <c r="AB81" s="62"/>
      <c r="AC81" s="62"/>
      <c r="AD81" s="62"/>
      <c r="AE81" s="62"/>
    </row>
    <row r="82" spans="2:31" x14ac:dyDescent="0.25">
      <c r="C82" s="40"/>
      <c r="W82" s="40"/>
    </row>
    <row r="83" spans="2:31" x14ac:dyDescent="0.25">
      <c r="C83" s="40"/>
      <c r="W83" s="40"/>
    </row>
    <row r="84" spans="2:31" x14ac:dyDescent="0.25">
      <c r="C84" s="40"/>
      <c r="W84" s="40"/>
    </row>
    <row r="85" spans="2:31" x14ac:dyDescent="0.25">
      <c r="C85" s="40"/>
      <c r="W85" s="40"/>
    </row>
    <row r="86" spans="2:31" x14ac:dyDescent="0.25">
      <c r="C86" s="40"/>
      <c r="W86" s="40"/>
    </row>
    <row r="87" spans="2:31" x14ac:dyDescent="0.25">
      <c r="C87" s="40"/>
      <c r="W87" s="40"/>
    </row>
    <row r="88" spans="2:31" x14ac:dyDescent="0.25">
      <c r="C88" s="40"/>
      <c r="W88" s="40"/>
    </row>
    <row r="89" spans="2:31" x14ac:dyDescent="0.25">
      <c r="C89" s="40"/>
      <c r="W89" s="40"/>
    </row>
    <row r="90" spans="2:31" x14ac:dyDescent="0.25">
      <c r="C90" s="40"/>
      <c r="W90" s="40"/>
    </row>
    <row r="91" spans="2:31" x14ac:dyDescent="0.25">
      <c r="C91" s="40"/>
      <c r="W91" s="40"/>
    </row>
    <row r="92" spans="2:31" x14ac:dyDescent="0.25">
      <c r="C92" s="40"/>
      <c r="D92" s="40"/>
      <c r="E92" s="40"/>
      <c r="F92" s="40"/>
      <c r="G92" s="40"/>
      <c r="H92" s="40"/>
      <c r="I92" s="40"/>
      <c r="J92" s="40"/>
      <c r="K92" s="40"/>
      <c r="L92" s="40"/>
      <c r="M92" s="40"/>
      <c r="N92" s="40"/>
      <c r="O92" s="40"/>
      <c r="P92" s="40"/>
      <c r="Q92" s="40"/>
      <c r="R92" s="40"/>
      <c r="S92" s="40"/>
      <c r="T92" s="40"/>
      <c r="U92" s="40"/>
      <c r="V92" s="40"/>
      <c r="W92" s="40"/>
    </row>
    <row r="94" spans="2:31" ht="64.5" x14ac:dyDescent="0.95">
      <c r="B94" s="39" t="s">
        <v>677</v>
      </c>
      <c r="X94" s="37"/>
    </row>
    <row r="96" spans="2:31" ht="64.5" x14ac:dyDescent="0.95">
      <c r="D96" s="38" t="s">
        <v>276</v>
      </c>
      <c r="X96" s="38" t="s">
        <v>277</v>
      </c>
    </row>
    <row r="97" spans="2:31" x14ac:dyDescent="0.25">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2:31" ht="15" customHeight="1" x14ac:dyDescent="0.25">
      <c r="B98" s="157" t="s">
        <v>279</v>
      </c>
      <c r="C98" s="40"/>
      <c r="D98" s="21" t="str">
        <f>"Physical Mass (kg) of Unique Inputs per kg of "&amp;API_Name[]</f>
        <v>Physical Mass (kg) of Unique Inputs per kg of Packaged Fictional API</v>
      </c>
      <c r="W98" s="40"/>
      <c r="X98" s="21" t="str">
        <f>"PMI of Each Step per kg of "&amp;API_Name[]</f>
        <v>PMI of Each Step per kg of Packaged Fictional API</v>
      </c>
      <c r="AE98" s="40"/>
    </row>
    <row r="99" spans="2:31" x14ac:dyDescent="0.25">
      <c r="B99" s="157"/>
      <c r="C99" s="40"/>
      <c r="W99" s="40"/>
      <c r="AE99" s="40"/>
    </row>
    <row r="100" spans="2:31" x14ac:dyDescent="0.25">
      <c r="B100" s="157"/>
      <c r="C100" s="40"/>
      <c r="W100" s="40"/>
      <c r="AE100" s="40"/>
    </row>
    <row r="101" spans="2:31" x14ac:dyDescent="0.25">
      <c r="B101" s="157"/>
      <c r="C101" s="40"/>
      <c r="W101" s="40"/>
      <c r="AE101" s="40"/>
    </row>
    <row r="102" spans="2:31" x14ac:dyDescent="0.25">
      <c r="B102" s="157"/>
      <c r="C102" s="40"/>
      <c r="W102" s="40"/>
      <c r="AE102" s="40"/>
    </row>
    <row r="103" spans="2:31" x14ac:dyDescent="0.25">
      <c r="B103" s="157"/>
      <c r="C103" s="40"/>
      <c r="W103" s="40"/>
      <c r="AE103" s="40"/>
    </row>
    <row r="104" spans="2:31" x14ac:dyDescent="0.25">
      <c r="B104" s="157"/>
      <c r="C104" s="40"/>
      <c r="W104" s="40"/>
      <c r="AE104" s="40"/>
    </row>
    <row r="105" spans="2:31" x14ac:dyDescent="0.25">
      <c r="B105" s="157"/>
      <c r="C105" s="40"/>
      <c r="W105" s="40"/>
      <c r="AE105" s="40"/>
    </row>
    <row r="106" spans="2:31" x14ac:dyDescent="0.25">
      <c r="B106" s="157"/>
      <c r="C106" s="40"/>
      <c r="W106" s="40"/>
      <c r="AE106" s="40"/>
    </row>
    <row r="107" spans="2:31" x14ac:dyDescent="0.25">
      <c r="B107" s="157"/>
      <c r="C107" s="40"/>
      <c r="W107" s="40"/>
      <c r="AE107" s="40"/>
    </row>
    <row r="108" spans="2:31" x14ac:dyDescent="0.25">
      <c r="B108" s="157"/>
      <c r="C108" s="40"/>
      <c r="W108" s="40"/>
      <c r="AE108" s="40"/>
    </row>
    <row r="109" spans="2:31" x14ac:dyDescent="0.25">
      <c r="B109" s="157"/>
      <c r="C109" s="40"/>
      <c r="W109" s="40"/>
      <c r="AE109" s="40"/>
    </row>
    <row r="110" spans="2:31" x14ac:dyDescent="0.25">
      <c r="B110" s="157"/>
      <c r="C110" s="40"/>
      <c r="W110" s="40"/>
      <c r="AE110" s="40"/>
    </row>
    <row r="111" spans="2:31" x14ac:dyDescent="0.25">
      <c r="B111" s="157"/>
      <c r="C111" s="40"/>
      <c r="W111" s="40"/>
      <c r="AE111" s="40"/>
    </row>
    <row r="112" spans="2:31" x14ac:dyDescent="0.25">
      <c r="B112" s="157"/>
      <c r="C112" s="40"/>
      <c r="W112" s="40"/>
      <c r="AE112" s="40"/>
    </row>
    <row r="113" spans="2:31" x14ac:dyDescent="0.25">
      <c r="B113" s="157"/>
      <c r="C113" s="40"/>
      <c r="W113" s="40"/>
      <c r="AE113" s="40"/>
    </row>
    <row r="114" spans="2:31" x14ac:dyDescent="0.25">
      <c r="B114" s="157"/>
      <c r="C114" s="40"/>
      <c r="W114" s="40"/>
      <c r="AE114" s="40"/>
    </row>
    <row r="115" spans="2:31" x14ac:dyDescent="0.25">
      <c r="B115" s="157"/>
      <c r="C115" s="40"/>
      <c r="W115" s="40"/>
      <c r="AE115" s="40"/>
    </row>
    <row r="116" spans="2:31" x14ac:dyDescent="0.25">
      <c r="B116" s="157"/>
      <c r="C116" s="40"/>
      <c r="W116" s="40"/>
      <c r="AE116" s="40"/>
    </row>
    <row r="117" spans="2:31" x14ac:dyDescent="0.25">
      <c r="B117" s="157"/>
      <c r="C117" s="40"/>
      <c r="W117" s="40"/>
      <c r="AE117" s="40"/>
    </row>
    <row r="118" spans="2:31" x14ac:dyDescent="0.25">
      <c r="B118" s="157"/>
      <c r="C118" s="40"/>
      <c r="W118" s="40"/>
      <c r="AE118" s="40"/>
    </row>
    <row r="119" spans="2:31" x14ac:dyDescent="0.25">
      <c r="B119" s="157"/>
      <c r="C119" s="40"/>
      <c r="W119" s="40"/>
      <c r="AE119" s="40"/>
    </row>
    <row r="120" spans="2:31" x14ac:dyDescent="0.25">
      <c r="B120" s="157"/>
      <c r="C120" s="40"/>
      <c r="W120" s="40"/>
      <c r="AE120" s="40"/>
    </row>
    <row r="121" spans="2:31" x14ac:dyDescent="0.25">
      <c r="B121" s="157"/>
      <c r="C121" s="40"/>
      <c r="W121" s="40"/>
      <c r="AE121" s="40"/>
    </row>
    <row r="122" spans="2:31" x14ac:dyDescent="0.25">
      <c r="B122" s="157"/>
      <c r="C122" s="40"/>
      <c r="W122" s="40"/>
      <c r="AE122" s="40"/>
    </row>
    <row r="123" spans="2:31" x14ac:dyDescent="0.25">
      <c r="B123" s="157"/>
      <c r="C123" s="40"/>
      <c r="W123" s="40"/>
      <c r="AE123" s="40"/>
    </row>
    <row r="124" spans="2:31" x14ac:dyDescent="0.25">
      <c r="B124" s="157"/>
      <c r="C124" s="40"/>
      <c r="W124" s="40"/>
      <c r="AE124" s="40"/>
    </row>
    <row r="125" spans="2:31" x14ac:dyDescent="0.25">
      <c r="B125" s="157"/>
      <c r="C125" s="40"/>
      <c r="W125" s="40"/>
      <c r="AE125" s="40"/>
    </row>
    <row r="126" spans="2:31" x14ac:dyDescent="0.25">
      <c r="B126" s="157"/>
      <c r="C126" s="40"/>
      <c r="W126" s="40"/>
      <c r="AE126" s="40"/>
    </row>
    <row r="127" spans="2:31" x14ac:dyDescent="0.25">
      <c r="B127" s="157"/>
      <c r="C127" s="40"/>
      <c r="W127" s="40"/>
      <c r="X127" s="40"/>
      <c r="Y127" s="40"/>
      <c r="Z127" s="40"/>
      <c r="AA127" s="40"/>
      <c r="AB127" s="40"/>
      <c r="AC127" s="40"/>
      <c r="AD127" s="40"/>
      <c r="AE127" s="40"/>
    </row>
    <row r="128" spans="2:31" x14ac:dyDescent="0.25">
      <c r="B128" s="157"/>
      <c r="C128" s="40"/>
      <c r="W128" s="40"/>
    </row>
    <row r="129" spans="2:31" x14ac:dyDescent="0.25">
      <c r="B129" s="157"/>
      <c r="C129" s="40"/>
      <c r="W129" s="40"/>
    </row>
    <row r="130" spans="2:31" x14ac:dyDescent="0.25">
      <c r="B130" s="157"/>
      <c r="C130" s="40"/>
      <c r="W130" s="40"/>
    </row>
    <row r="131" spans="2:31" x14ac:dyDescent="0.25">
      <c r="B131" s="157"/>
      <c r="C131" s="40"/>
      <c r="W131" s="40"/>
    </row>
    <row r="132" spans="2:31" x14ac:dyDescent="0.25">
      <c r="B132" s="157"/>
      <c r="C132" s="40"/>
      <c r="W132" s="40"/>
    </row>
    <row r="133" spans="2:31" x14ac:dyDescent="0.25">
      <c r="B133" s="157"/>
      <c r="C133" s="40"/>
      <c r="W133" s="40"/>
    </row>
    <row r="134" spans="2:31" x14ac:dyDescent="0.25">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2:31" ht="15" customHeight="1" x14ac:dyDescent="0.25">
      <c r="B135" s="157" t="s">
        <v>278</v>
      </c>
      <c r="C135" s="40"/>
      <c r="D135" s="21" t="str">
        <f>"Mass Net of Unique Inputs per kg of "&amp;API_Name[]</f>
        <v>Mass Net of Unique Inputs per kg of Packaged Fictional API</v>
      </c>
      <c r="W135" s="40"/>
      <c r="X135" s="21" t="str">
        <f>"Mass Net of Each Step per kg of "&amp;API_Name[]</f>
        <v>Mass Net of Each Step per kg of Packaged Fictional API</v>
      </c>
      <c r="AE135" s="40"/>
    </row>
    <row r="136" spans="2:31" x14ac:dyDescent="0.25">
      <c r="B136" s="157"/>
      <c r="C136" s="40"/>
      <c r="W136" s="40"/>
      <c r="AE136" s="40"/>
    </row>
    <row r="137" spans="2:31" x14ac:dyDescent="0.25">
      <c r="B137" s="157"/>
      <c r="C137" s="40"/>
      <c r="W137" s="40"/>
      <c r="AE137" s="40"/>
    </row>
    <row r="138" spans="2:31" x14ac:dyDescent="0.25">
      <c r="B138" s="157"/>
      <c r="C138" s="40"/>
      <c r="W138" s="40"/>
      <c r="AE138" s="40"/>
    </row>
    <row r="139" spans="2:31" x14ac:dyDescent="0.25">
      <c r="B139" s="157"/>
      <c r="C139" s="40"/>
      <c r="W139" s="40"/>
      <c r="AE139" s="40"/>
    </row>
    <row r="140" spans="2:31" x14ac:dyDescent="0.25">
      <c r="B140" s="157"/>
      <c r="C140" s="40"/>
      <c r="W140" s="40"/>
      <c r="AE140" s="40"/>
    </row>
    <row r="141" spans="2:31" x14ac:dyDescent="0.25">
      <c r="B141" s="157"/>
      <c r="C141" s="40"/>
      <c r="W141" s="40"/>
      <c r="AE141" s="40"/>
    </row>
    <row r="142" spans="2:31" x14ac:dyDescent="0.25">
      <c r="B142" s="157"/>
      <c r="C142" s="40"/>
      <c r="W142" s="40"/>
      <c r="AE142" s="40"/>
    </row>
    <row r="143" spans="2:31" x14ac:dyDescent="0.25">
      <c r="B143" s="157"/>
      <c r="C143" s="40"/>
      <c r="W143" s="40"/>
      <c r="AE143" s="40"/>
    </row>
    <row r="144" spans="2:31" x14ac:dyDescent="0.25">
      <c r="B144" s="157"/>
      <c r="C144" s="40"/>
      <c r="W144" s="40"/>
      <c r="AE144" s="40"/>
    </row>
    <row r="145" spans="2:31" x14ac:dyDescent="0.25">
      <c r="B145" s="157"/>
      <c r="C145" s="40"/>
      <c r="W145" s="40"/>
      <c r="AE145" s="40"/>
    </row>
    <row r="146" spans="2:31" x14ac:dyDescent="0.25">
      <c r="B146" s="157"/>
      <c r="C146" s="40"/>
      <c r="W146" s="40"/>
      <c r="AE146" s="40"/>
    </row>
    <row r="147" spans="2:31" x14ac:dyDescent="0.25">
      <c r="B147" s="157"/>
      <c r="C147" s="40"/>
      <c r="W147" s="40"/>
      <c r="AE147" s="40"/>
    </row>
    <row r="148" spans="2:31" x14ac:dyDescent="0.25">
      <c r="B148" s="157"/>
      <c r="C148" s="40"/>
      <c r="W148" s="40"/>
      <c r="AE148" s="40"/>
    </row>
    <row r="149" spans="2:31" x14ac:dyDescent="0.25">
      <c r="B149" s="157"/>
      <c r="C149" s="40"/>
      <c r="W149" s="40"/>
      <c r="AE149" s="40"/>
    </row>
    <row r="150" spans="2:31" x14ac:dyDescent="0.25">
      <c r="B150" s="157"/>
      <c r="C150" s="40"/>
      <c r="W150" s="40"/>
      <c r="AE150" s="40"/>
    </row>
    <row r="151" spans="2:31" x14ac:dyDescent="0.25">
      <c r="B151" s="157"/>
      <c r="C151" s="40"/>
      <c r="W151" s="40"/>
      <c r="AE151" s="40"/>
    </row>
    <row r="152" spans="2:31" x14ac:dyDescent="0.25">
      <c r="B152" s="157"/>
      <c r="C152" s="40"/>
      <c r="W152" s="40"/>
      <c r="AE152" s="40"/>
    </row>
    <row r="153" spans="2:31" x14ac:dyDescent="0.25">
      <c r="B153" s="157"/>
      <c r="C153" s="40"/>
      <c r="W153" s="40"/>
      <c r="AE153" s="40"/>
    </row>
    <row r="154" spans="2:31" x14ac:dyDescent="0.25">
      <c r="B154" s="157"/>
      <c r="C154" s="40"/>
      <c r="W154" s="40"/>
      <c r="AE154" s="40"/>
    </row>
    <row r="155" spans="2:31" x14ac:dyDescent="0.25">
      <c r="B155" s="157"/>
      <c r="C155" s="40"/>
      <c r="W155" s="40"/>
      <c r="AE155" s="40"/>
    </row>
    <row r="156" spans="2:31" x14ac:dyDescent="0.25">
      <c r="B156" s="157"/>
      <c r="C156" s="40"/>
      <c r="W156" s="40"/>
      <c r="AE156" s="40"/>
    </row>
    <row r="157" spans="2:31" x14ac:dyDescent="0.25">
      <c r="B157" s="157"/>
      <c r="C157" s="40"/>
      <c r="W157" s="40"/>
      <c r="AE157" s="40"/>
    </row>
    <row r="158" spans="2:31" x14ac:dyDescent="0.25">
      <c r="B158" s="157"/>
      <c r="C158" s="40"/>
      <c r="W158" s="40"/>
      <c r="AE158" s="40"/>
    </row>
    <row r="159" spans="2:31" x14ac:dyDescent="0.25">
      <c r="B159" s="157"/>
      <c r="C159" s="40"/>
      <c r="W159" s="40"/>
      <c r="AE159" s="40"/>
    </row>
    <row r="160" spans="2:31" x14ac:dyDescent="0.25">
      <c r="B160" s="157"/>
      <c r="C160" s="40"/>
      <c r="W160" s="40"/>
      <c r="AE160" s="40"/>
    </row>
    <row r="161" spans="2:31" x14ac:dyDescent="0.25">
      <c r="B161" s="157"/>
      <c r="C161" s="40"/>
      <c r="W161" s="40"/>
      <c r="AE161" s="40"/>
    </row>
    <row r="162" spans="2:31" x14ac:dyDescent="0.25">
      <c r="B162" s="157"/>
      <c r="C162" s="40"/>
      <c r="W162" s="40"/>
      <c r="AE162" s="40"/>
    </row>
    <row r="163" spans="2:31" x14ac:dyDescent="0.25">
      <c r="B163" s="157"/>
      <c r="C163" s="40"/>
      <c r="W163" s="40"/>
      <c r="AE163" s="40"/>
    </row>
    <row r="164" spans="2:31" x14ac:dyDescent="0.25">
      <c r="B164" s="157"/>
      <c r="C164" s="40"/>
      <c r="W164" s="40"/>
      <c r="X164" s="40"/>
      <c r="Y164" s="40"/>
      <c r="Z164" s="40"/>
      <c r="AA164" s="40"/>
      <c r="AB164" s="40"/>
      <c r="AC164" s="40"/>
      <c r="AD164" s="40"/>
      <c r="AE164" s="40"/>
    </row>
    <row r="165" spans="2:31" x14ac:dyDescent="0.25">
      <c r="B165" s="157"/>
      <c r="C165" s="40"/>
      <c r="W165" s="40"/>
    </row>
    <row r="166" spans="2:31" x14ac:dyDescent="0.25">
      <c r="B166" s="157"/>
      <c r="C166" s="40"/>
      <c r="W166" s="40"/>
    </row>
    <row r="167" spans="2:31" x14ac:dyDescent="0.25">
      <c r="B167" s="157"/>
      <c r="C167" s="40"/>
      <c r="W167" s="40"/>
    </row>
    <row r="168" spans="2:31" x14ac:dyDescent="0.25">
      <c r="B168" s="157"/>
      <c r="C168" s="40"/>
      <c r="W168" s="40"/>
    </row>
    <row r="169" spans="2:31" x14ac:dyDescent="0.25">
      <c r="B169" s="157"/>
      <c r="C169" s="40"/>
      <c r="W169" s="40"/>
    </row>
    <row r="170" spans="2:31" x14ac:dyDescent="0.25">
      <c r="B170" s="157"/>
      <c r="C170" s="40"/>
      <c r="W170" s="40"/>
    </row>
    <row r="171" spans="2:31" x14ac:dyDescent="0.25">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2:31" ht="15" customHeight="1" x14ac:dyDescent="0.25">
      <c r="B172" s="157" t="s">
        <v>280</v>
      </c>
      <c r="C172" s="40"/>
      <c r="D172" s="21" t="str">
        <f>"Energy of Unique Inputs per kg of "&amp;API_Name[]</f>
        <v>Energy of Unique Inputs per kg of Packaged Fictional API</v>
      </c>
      <c r="W172" s="40"/>
      <c r="X172" s="21" t="str">
        <f>"Energy of Each Step per kg of "&amp;API_Name[]</f>
        <v>Energy of Each Step per kg of Packaged Fictional API</v>
      </c>
      <c r="AE172" s="40"/>
    </row>
    <row r="173" spans="2:31" x14ac:dyDescent="0.25">
      <c r="B173" s="157"/>
      <c r="C173" s="40"/>
      <c r="W173" s="40"/>
      <c r="AE173" s="40"/>
    </row>
    <row r="174" spans="2:31" x14ac:dyDescent="0.25">
      <c r="B174" s="157"/>
      <c r="C174" s="40"/>
      <c r="W174" s="40"/>
      <c r="AE174" s="40"/>
    </row>
    <row r="175" spans="2:31" x14ac:dyDescent="0.25">
      <c r="B175" s="157"/>
      <c r="C175" s="40"/>
      <c r="W175" s="40"/>
      <c r="AE175" s="40"/>
    </row>
    <row r="176" spans="2:31" x14ac:dyDescent="0.25">
      <c r="B176" s="157"/>
      <c r="C176" s="40"/>
      <c r="W176" s="40"/>
      <c r="AE176" s="40"/>
    </row>
    <row r="177" spans="2:31" x14ac:dyDescent="0.25">
      <c r="B177" s="157"/>
      <c r="C177" s="40"/>
      <c r="W177" s="40"/>
      <c r="AE177" s="40"/>
    </row>
    <row r="178" spans="2:31" x14ac:dyDescent="0.25">
      <c r="B178" s="157"/>
      <c r="C178" s="40"/>
      <c r="W178" s="40"/>
      <c r="AE178" s="40"/>
    </row>
    <row r="179" spans="2:31" x14ac:dyDescent="0.25">
      <c r="B179" s="157"/>
      <c r="C179" s="40"/>
      <c r="W179" s="40"/>
      <c r="AE179" s="40"/>
    </row>
    <row r="180" spans="2:31" x14ac:dyDescent="0.25">
      <c r="B180" s="157"/>
      <c r="C180" s="40"/>
      <c r="W180" s="40"/>
      <c r="AE180" s="40"/>
    </row>
    <row r="181" spans="2:31" x14ac:dyDescent="0.25">
      <c r="B181" s="157"/>
      <c r="C181" s="40"/>
      <c r="W181" s="40"/>
      <c r="AE181" s="40"/>
    </row>
    <row r="182" spans="2:31" x14ac:dyDescent="0.25">
      <c r="B182" s="157"/>
      <c r="C182" s="40"/>
      <c r="W182" s="40"/>
      <c r="AE182" s="40"/>
    </row>
    <row r="183" spans="2:31" x14ac:dyDescent="0.25">
      <c r="B183" s="157"/>
      <c r="C183" s="40"/>
      <c r="W183" s="40"/>
      <c r="AE183" s="40"/>
    </row>
    <row r="184" spans="2:31" x14ac:dyDescent="0.25">
      <c r="B184" s="157"/>
      <c r="C184" s="40"/>
      <c r="W184" s="40"/>
      <c r="AE184" s="40"/>
    </row>
    <row r="185" spans="2:31" x14ac:dyDescent="0.25">
      <c r="B185" s="157"/>
      <c r="C185" s="40"/>
      <c r="W185" s="40"/>
      <c r="AE185" s="40"/>
    </row>
    <row r="186" spans="2:31" x14ac:dyDescent="0.25">
      <c r="B186" s="157"/>
      <c r="C186" s="40"/>
      <c r="W186" s="40"/>
      <c r="AE186" s="40"/>
    </row>
    <row r="187" spans="2:31" x14ac:dyDescent="0.25">
      <c r="B187" s="157"/>
      <c r="C187" s="40"/>
      <c r="W187" s="40"/>
      <c r="AE187" s="40"/>
    </row>
    <row r="188" spans="2:31" x14ac:dyDescent="0.25">
      <c r="B188" s="157"/>
      <c r="C188" s="40"/>
      <c r="W188" s="40"/>
      <c r="AE188" s="40"/>
    </row>
    <row r="189" spans="2:31" x14ac:dyDescent="0.25">
      <c r="B189" s="157"/>
      <c r="C189" s="40"/>
      <c r="W189" s="40"/>
      <c r="AE189" s="40"/>
    </row>
    <row r="190" spans="2:31" x14ac:dyDescent="0.25">
      <c r="B190" s="157"/>
      <c r="C190" s="40"/>
      <c r="W190" s="40"/>
      <c r="AE190" s="40"/>
    </row>
    <row r="191" spans="2:31" x14ac:dyDescent="0.25">
      <c r="B191" s="157"/>
      <c r="C191" s="40"/>
      <c r="W191" s="40"/>
      <c r="AE191" s="40"/>
    </row>
    <row r="192" spans="2:31" x14ac:dyDescent="0.25">
      <c r="B192" s="157"/>
      <c r="C192" s="40"/>
      <c r="W192" s="40"/>
      <c r="AE192" s="40"/>
    </row>
    <row r="193" spans="2:31" x14ac:dyDescent="0.25">
      <c r="B193" s="157"/>
      <c r="C193" s="40"/>
      <c r="W193" s="40"/>
      <c r="AE193" s="40"/>
    </row>
    <row r="194" spans="2:31" x14ac:dyDescent="0.25">
      <c r="B194" s="157"/>
      <c r="C194" s="40"/>
      <c r="W194" s="40"/>
      <c r="AE194" s="40"/>
    </row>
    <row r="195" spans="2:31" x14ac:dyDescent="0.25">
      <c r="B195" s="157"/>
      <c r="C195" s="40"/>
      <c r="W195" s="40"/>
      <c r="AE195" s="40"/>
    </row>
    <row r="196" spans="2:31" x14ac:dyDescent="0.25">
      <c r="B196" s="157"/>
      <c r="C196" s="40"/>
      <c r="W196" s="40"/>
      <c r="AE196" s="40"/>
    </row>
    <row r="197" spans="2:31" x14ac:dyDescent="0.25">
      <c r="B197" s="157"/>
      <c r="C197" s="40"/>
      <c r="W197" s="40"/>
      <c r="AE197" s="40"/>
    </row>
    <row r="198" spans="2:31" x14ac:dyDescent="0.25">
      <c r="B198" s="157"/>
      <c r="C198" s="40"/>
      <c r="W198" s="40"/>
      <c r="AE198" s="40"/>
    </row>
    <row r="199" spans="2:31" x14ac:dyDescent="0.25">
      <c r="B199" s="157"/>
      <c r="C199" s="40"/>
      <c r="W199" s="40"/>
      <c r="AE199" s="40"/>
    </row>
    <row r="200" spans="2:31" x14ac:dyDescent="0.25">
      <c r="B200" s="157"/>
      <c r="C200" s="40"/>
      <c r="W200" s="40"/>
      <c r="AE200" s="40"/>
    </row>
    <row r="201" spans="2:31" x14ac:dyDescent="0.25">
      <c r="B201" s="157"/>
      <c r="C201" s="40"/>
      <c r="W201" s="40"/>
      <c r="X201" s="40"/>
      <c r="Y201" s="40"/>
      <c r="Z201" s="40"/>
      <c r="AA201" s="40"/>
      <c r="AB201" s="40"/>
      <c r="AC201" s="40"/>
      <c r="AD201" s="40"/>
      <c r="AE201" s="40"/>
    </row>
    <row r="202" spans="2:31" x14ac:dyDescent="0.25">
      <c r="B202" s="157"/>
      <c r="C202" s="40"/>
      <c r="W202" s="40"/>
    </row>
    <row r="203" spans="2:31" x14ac:dyDescent="0.25">
      <c r="B203" s="157"/>
      <c r="C203" s="40"/>
      <c r="W203" s="40"/>
    </row>
    <row r="204" spans="2:31" x14ac:dyDescent="0.25">
      <c r="B204" s="157"/>
      <c r="C204" s="40"/>
      <c r="W204" s="40"/>
    </row>
    <row r="205" spans="2:31" x14ac:dyDescent="0.25">
      <c r="B205" s="157"/>
      <c r="C205" s="40"/>
      <c r="W205" s="40"/>
    </row>
    <row r="206" spans="2:31" x14ac:dyDescent="0.25">
      <c r="B206" s="157"/>
      <c r="C206" s="40"/>
      <c r="W206" s="40"/>
    </row>
    <row r="207" spans="2:31" x14ac:dyDescent="0.25">
      <c r="B207" s="157"/>
      <c r="C207" s="40"/>
      <c r="W207" s="40"/>
    </row>
    <row r="208" spans="2:31" x14ac:dyDescent="0.25">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2:31" ht="15" customHeight="1" x14ac:dyDescent="0.25">
      <c r="B209" s="157" t="s">
        <v>281</v>
      </c>
      <c r="C209" s="40"/>
      <c r="D209" s="21" t="str">
        <f>"Global Warming Potential of Unique Inputs per kg of "&amp;API_Name[]</f>
        <v>Global Warming Potential of Unique Inputs per kg of Packaged Fictional API</v>
      </c>
      <c r="W209" s="40"/>
      <c r="X209" s="21" t="str">
        <f>"Global Warming Potential of Each Step per kg of "&amp;API_Name[]</f>
        <v>Global Warming Potential of Each Step per kg of Packaged Fictional API</v>
      </c>
      <c r="AE209" s="40"/>
    </row>
    <row r="210" spans="2:31" x14ac:dyDescent="0.25">
      <c r="B210" s="157"/>
      <c r="C210" s="40"/>
      <c r="W210" s="40"/>
      <c r="AE210" s="40"/>
    </row>
    <row r="211" spans="2:31" x14ac:dyDescent="0.25">
      <c r="B211" s="157"/>
      <c r="C211" s="40"/>
      <c r="W211" s="40"/>
      <c r="AE211" s="40"/>
    </row>
    <row r="212" spans="2:31" x14ac:dyDescent="0.25">
      <c r="B212" s="157"/>
      <c r="C212" s="40"/>
      <c r="W212" s="40"/>
      <c r="AE212" s="40"/>
    </row>
    <row r="213" spans="2:31" x14ac:dyDescent="0.25">
      <c r="B213" s="157"/>
      <c r="C213" s="40"/>
      <c r="W213" s="40"/>
      <c r="AE213" s="40"/>
    </row>
    <row r="214" spans="2:31" x14ac:dyDescent="0.25">
      <c r="B214" s="157"/>
      <c r="C214" s="40"/>
      <c r="W214" s="40"/>
      <c r="AE214" s="40"/>
    </row>
    <row r="215" spans="2:31" x14ac:dyDescent="0.25">
      <c r="B215" s="157"/>
      <c r="C215" s="40"/>
      <c r="W215" s="40"/>
      <c r="AE215" s="40"/>
    </row>
    <row r="216" spans="2:31" x14ac:dyDescent="0.25">
      <c r="B216" s="157"/>
      <c r="C216" s="40"/>
      <c r="W216" s="40"/>
      <c r="AE216" s="40"/>
    </row>
    <row r="217" spans="2:31" x14ac:dyDescent="0.25">
      <c r="B217" s="157"/>
      <c r="C217" s="40"/>
      <c r="W217" s="40"/>
      <c r="AE217" s="40"/>
    </row>
    <row r="218" spans="2:31" x14ac:dyDescent="0.25">
      <c r="B218" s="157"/>
      <c r="C218" s="40"/>
      <c r="W218" s="40"/>
      <c r="AE218" s="40"/>
    </row>
    <row r="219" spans="2:31" x14ac:dyDescent="0.25">
      <c r="B219" s="157"/>
      <c r="C219" s="40"/>
      <c r="W219" s="40"/>
      <c r="AE219" s="40"/>
    </row>
    <row r="220" spans="2:31" x14ac:dyDescent="0.25">
      <c r="B220" s="157"/>
      <c r="C220" s="40"/>
      <c r="W220" s="40"/>
      <c r="AE220" s="40"/>
    </row>
    <row r="221" spans="2:31" x14ac:dyDescent="0.25">
      <c r="B221" s="157"/>
      <c r="C221" s="40"/>
      <c r="W221" s="40"/>
      <c r="AE221" s="40"/>
    </row>
    <row r="222" spans="2:31" x14ac:dyDescent="0.25">
      <c r="B222" s="157"/>
      <c r="C222" s="40"/>
      <c r="W222" s="40"/>
      <c r="AE222" s="40"/>
    </row>
    <row r="223" spans="2:31" x14ac:dyDescent="0.25">
      <c r="B223" s="157"/>
      <c r="C223" s="40"/>
      <c r="W223" s="40"/>
      <c r="AE223" s="40"/>
    </row>
    <row r="224" spans="2:31" x14ac:dyDescent="0.25">
      <c r="B224" s="157"/>
      <c r="C224" s="40"/>
      <c r="W224" s="40"/>
      <c r="AE224" s="40"/>
    </row>
    <row r="225" spans="2:31" x14ac:dyDescent="0.25">
      <c r="B225" s="157"/>
      <c r="C225" s="40"/>
      <c r="W225" s="40"/>
      <c r="AE225" s="40"/>
    </row>
    <row r="226" spans="2:31" x14ac:dyDescent="0.25">
      <c r="B226" s="157"/>
      <c r="C226" s="40"/>
      <c r="W226" s="40"/>
      <c r="AE226" s="40"/>
    </row>
    <row r="227" spans="2:31" x14ac:dyDescent="0.25">
      <c r="B227" s="157"/>
      <c r="C227" s="40"/>
      <c r="W227" s="40"/>
      <c r="AE227" s="40"/>
    </row>
    <row r="228" spans="2:31" x14ac:dyDescent="0.25">
      <c r="B228" s="157"/>
      <c r="C228" s="40"/>
      <c r="W228" s="40"/>
      <c r="AE228" s="40"/>
    </row>
    <row r="229" spans="2:31" x14ac:dyDescent="0.25">
      <c r="B229" s="157"/>
      <c r="C229" s="40"/>
      <c r="W229" s="40"/>
      <c r="AE229" s="40"/>
    </row>
    <row r="230" spans="2:31" x14ac:dyDescent="0.25">
      <c r="B230" s="157"/>
      <c r="C230" s="40"/>
      <c r="W230" s="40"/>
      <c r="AE230" s="40"/>
    </row>
    <row r="231" spans="2:31" x14ac:dyDescent="0.25">
      <c r="B231" s="157"/>
      <c r="C231" s="40"/>
      <c r="W231" s="40"/>
      <c r="AE231" s="40"/>
    </row>
    <row r="232" spans="2:31" x14ac:dyDescent="0.25">
      <c r="B232" s="157"/>
      <c r="C232" s="40"/>
      <c r="W232" s="40"/>
      <c r="AE232" s="40"/>
    </row>
    <row r="233" spans="2:31" x14ac:dyDescent="0.25">
      <c r="B233" s="157"/>
      <c r="C233" s="40"/>
      <c r="W233" s="40"/>
      <c r="AE233" s="40"/>
    </row>
    <row r="234" spans="2:31" x14ac:dyDescent="0.25">
      <c r="B234" s="157"/>
      <c r="C234" s="40"/>
      <c r="W234" s="40"/>
      <c r="AE234" s="40"/>
    </row>
    <row r="235" spans="2:31" x14ac:dyDescent="0.25">
      <c r="B235" s="157"/>
      <c r="C235" s="40"/>
      <c r="W235" s="40"/>
      <c r="AE235" s="40"/>
    </row>
    <row r="236" spans="2:31" x14ac:dyDescent="0.25">
      <c r="B236" s="157"/>
      <c r="C236" s="40"/>
      <c r="W236" s="40"/>
      <c r="AE236" s="40"/>
    </row>
    <row r="237" spans="2:31" x14ac:dyDescent="0.25">
      <c r="B237" s="157"/>
      <c r="C237" s="40"/>
      <c r="W237" s="40"/>
      <c r="AE237" s="40"/>
    </row>
    <row r="238" spans="2:31" x14ac:dyDescent="0.25">
      <c r="B238" s="157"/>
      <c r="C238" s="40"/>
      <c r="W238" s="40"/>
      <c r="X238" s="40"/>
      <c r="Y238" s="40"/>
      <c r="Z238" s="40"/>
      <c r="AA238" s="40"/>
      <c r="AB238" s="40"/>
      <c r="AC238" s="40"/>
      <c r="AD238" s="40"/>
      <c r="AE238" s="40"/>
    </row>
    <row r="239" spans="2:31" x14ac:dyDescent="0.25">
      <c r="B239" s="157"/>
      <c r="C239" s="40"/>
      <c r="W239" s="40"/>
    </row>
    <row r="240" spans="2:31" x14ac:dyDescent="0.25">
      <c r="B240" s="157"/>
      <c r="C240" s="40"/>
      <c r="W240" s="40"/>
    </row>
    <row r="241" spans="2:31" x14ac:dyDescent="0.25">
      <c r="B241" s="157"/>
      <c r="C241" s="40"/>
      <c r="W241" s="40"/>
    </row>
    <row r="242" spans="2:31" x14ac:dyDescent="0.25">
      <c r="B242" s="157"/>
      <c r="C242" s="40"/>
      <c r="W242" s="40"/>
    </row>
    <row r="243" spans="2:31" x14ac:dyDescent="0.25">
      <c r="B243" s="157"/>
      <c r="C243" s="40"/>
      <c r="W243" s="40"/>
    </row>
    <row r="244" spans="2:31" x14ac:dyDescent="0.25">
      <c r="B244" s="157"/>
      <c r="C244" s="40"/>
      <c r="W244" s="40"/>
    </row>
    <row r="245" spans="2:31" x14ac:dyDescent="0.25">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2:31" ht="15" customHeight="1" x14ac:dyDescent="0.25">
      <c r="B246" s="157" t="s">
        <v>282</v>
      </c>
      <c r="C246" s="40"/>
      <c r="D246" s="21" t="str">
        <f>"Acidification Potential of Unique Inputs per kg of "&amp;API_Name[]</f>
        <v>Acidification Potential of Unique Inputs per kg of Packaged Fictional API</v>
      </c>
      <c r="W246" s="40"/>
      <c r="X246" s="21" t="str">
        <f>"Acidification Potential of Each Step per kg of "&amp;API_Name[]</f>
        <v>Acidification Potential of Each Step per kg of Packaged Fictional API</v>
      </c>
      <c r="AE246" s="40"/>
    </row>
    <row r="247" spans="2:31" x14ac:dyDescent="0.25">
      <c r="B247" s="157"/>
      <c r="C247" s="40"/>
      <c r="W247" s="40"/>
      <c r="AE247" s="40"/>
    </row>
    <row r="248" spans="2:31" x14ac:dyDescent="0.25">
      <c r="B248" s="157"/>
      <c r="C248" s="40"/>
      <c r="W248" s="40"/>
      <c r="AE248" s="40"/>
    </row>
    <row r="249" spans="2:31" x14ac:dyDescent="0.25">
      <c r="B249" s="157"/>
      <c r="C249" s="40"/>
      <c r="W249" s="40"/>
      <c r="AE249" s="40"/>
    </row>
    <row r="250" spans="2:31" x14ac:dyDescent="0.25">
      <c r="B250" s="157"/>
      <c r="C250" s="40"/>
      <c r="W250" s="40"/>
      <c r="AE250" s="40"/>
    </row>
    <row r="251" spans="2:31" x14ac:dyDescent="0.25">
      <c r="B251" s="157"/>
      <c r="C251" s="40"/>
      <c r="W251" s="40"/>
      <c r="AE251" s="40"/>
    </row>
    <row r="252" spans="2:31" x14ac:dyDescent="0.25">
      <c r="B252" s="157"/>
      <c r="C252" s="40"/>
      <c r="W252" s="40"/>
      <c r="AE252" s="40"/>
    </row>
    <row r="253" spans="2:31" x14ac:dyDescent="0.25">
      <c r="B253" s="157"/>
      <c r="C253" s="40"/>
      <c r="W253" s="40"/>
      <c r="AE253" s="40"/>
    </row>
    <row r="254" spans="2:31" x14ac:dyDescent="0.25">
      <c r="B254" s="157"/>
      <c r="C254" s="40"/>
      <c r="W254" s="40"/>
      <c r="AE254" s="40"/>
    </row>
    <row r="255" spans="2:31" x14ac:dyDescent="0.25">
      <c r="B255" s="157"/>
      <c r="C255" s="40"/>
      <c r="W255" s="40"/>
      <c r="AE255" s="40"/>
    </row>
    <row r="256" spans="2:31" x14ac:dyDescent="0.25">
      <c r="B256" s="157"/>
      <c r="C256" s="40"/>
      <c r="W256" s="40"/>
      <c r="AE256" s="40"/>
    </row>
    <row r="257" spans="2:31" x14ac:dyDescent="0.25">
      <c r="B257" s="157"/>
      <c r="C257" s="40"/>
      <c r="W257" s="40"/>
      <c r="AE257" s="40"/>
    </row>
    <row r="258" spans="2:31" x14ac:dyDescent="0.25">
      <c r="B258" s="157"/>
      <c r="C258" s="40"/>
      <c r="W258" s="40"/>
      <c r="AE258" s="40"/>
    </row>
    <row r="259" spans="2:31" x14ac:dyDescent="0.25">
      <c r="B259" s="157"/>
      <c r="C259" s="40"/>
      <c r="W259" s="40"/>
      <c r="AE259" s="40"/>
    </row>
    <row r="260" spans="2:31" x14ac:dyDescent="0.25">
      <c r="B260" s="157"/>
      <c r="C260" s="40"/>
      <c r="W260" s="40"/>
      <c r="AE260" s="40"/>
    </row>
    <row r="261" spans="2:31" x14ac:dyDescent="0.25">
      <c r="B261" s="157"/>
      <c r="C261" s="40"/>
      <c r="W261" s="40"/>
      <c r="AE261" s="40"/>
    </row>
    <row r="262" spans="2:31" x14ac:dyDescent="0.25">
      <c r="B262" s="157"/>
      <c r="C262" s="40"/>
      <c r="W262" s="40"/>
      <c r="AE262" s="40"/>
    </row>
    <row r="263" spans="2:31" x14ac:dyDescent="0.25">
      <c r="B263" s="157"/>
      <c r="C263" s="40"/>
      <c r="W263" s="40"/>
      <c r="AE263" s="40"/>
    </row>
    <row r="264" spans="2:31" x14ac:dyDescent="0.25">
      <c r="B264" s="157"/>
      <c r="C264" s="40"/>
      <c r="W264" s="40"/>
      <c r="AE264" s="40"/>
    </row>
    <row r="265" spans="2:31" x14ac:dyDescent="0.25">
      <c r="B265" s="157"/>
      <c r="C265" s="40"/>
      <c r="W265" s="40"/>
      <c r="AE265" s="40"/>
    </row>
    <row r="266" spans="2:31" x14ac:dyDescent="0.25">
      <c r="B266" s="157"/>
      <c r="C266" s="40"/>
      <c r="W266" s="40"/>
      <c r="AE266" s="40"/>
    </row>
    <row r="267" spans="2:31" x14ac:dyDescent="0.25">
      <c r="B267" s="157"/>
      <c r="C267" s="40"/>
      <c r="W267" s="40"/>
      <c r="AE267" s="40"/>
    </row>
    <row r="268" spans="2:31" x14ac:dyDescent="0.25">
      <c r="B268" s="157"/>
      <c r="C268" s="40"/>
      <c r="W268" s="40"/>
      <c r="AE268" s="40"/>
    </row>
    <row r="269" spans="2:31" x14ac:dyDescent="0.25">
      <c r="B269" s="157"/>
      <c r="C269" s="40"/>
      <c r="W269" s="40"/>
      <c r="AE269" s="40"/>
    </row>
    <row r="270" spans="2:31" x14ac:dyDescent="0.25">
      <c r="B270" s="157"/>
      <c r="C270" s="40"/>
      <c r="W270" s="40"/>
      <c r="AE270" s="40"/>
    </row>
    <row r="271" spans="2:31" x14ac:dyDescent="0.25">
      <c r="B271" s="157"/>
      <c r="C271" s="40"/>
      <c r="W271" s="40"/>
      <c r="AE271" s="40"/>
    </row>
    <row r="272" spans="2:31" x14ac:dyDescent="0.25">
      <c r="B272" s="157"/>
      <c r="C272" s="40"/>
      <c r="W272" s="40"/>
      <c r="AE272" s="40"/>
    </row>
    <row r="273" spans="2:31" x14ac:dyDescent="0.25">
      <c r="B273" s="157"/>
      <c r="C273" s="40"/>
      <c r="W273" s="40"/>
      <c r="AE273" s="40"/>
    </row>
    <row r="274" spans="2:31" x14ac:dyDescent="0.25">
      <c r="B274" s="157"/>
      <c r="C274" s="40"/>
      <c r="W274" s="40"/>
      <c r="AE274" s="40"/>
    </row>
    <row r="275" spans="2:31" x14ac:dyDescent="0.25">
      <c r="B275" s="157"/>
      <c r="C275" s="40"/>
      <c r="W275" s="40"/>
      <c r="X275" s="40"/>
      <c r="Y275" s="40"/>
      <c r="Z275" s="40"/>
      <c r="AA275" s="40"/>
      <c r="AB275" s="40"/>
      <c r="AC275" s="40"/>
      <c r="AD275" s="40"/>
      <c r="AE275" s="40"/>
    </row>
    <row r="276" spans="2:31" x14ac:dyDescent="0.25">
      <c r="B276" s="157"/>
      <c r="C276" s="40"/>
      <c r="W276" s="40"/>
    </row>
    <row r="277" spans="2:31" x14ac:dyDescent="0.25">
      <c r="B277" s="157"/>
      <c r="C277" s="40"/>
      <c r="W277" s="40"/>
    </row>
    <row r="278" spans="2:31" x14ac:dyDescent="0.25">
      <c r="B278" s="157"/>
      <c r="C278" s="40"/>
      <c r="W278" s="40"/>
    </row>
    <row r="279" spans="2:31" x14ac:dyDescent="0.25">
      <c r="B279" s="157"/>
      <c r="C279" s="40"/>
      <c r="W279" s="40"/>
    </row>
    <row r="280" spans="2:31" x14ac:dyDescent="0.25">
      <c r="B280" s="157"/>
      <c r="C280" s="40"/>
      <c r="W280" s="40"/>
    </row>
    <row r="281" spans="2:31" x14ac:dyDescent="0.25">
      <c r="B281" s="157"/>
      <c r="C281" s="40"/>
      <c r="W281" s="40"/>
    </row>
    <row r="282" spans="2:31" x14ac:dyDescent="0.25">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2:31" ht="15" customHeight="1" x14ac:dyDescent="0.25">
      <c r="B283" s="157" t="s">
        <v>283</v>
      </c>
      <c r="C283" s="40"/>
      <c r="D283" s="21" t="str">
        <f>"Eutrophication Potential of Unique Inputs per kg of "&amp;API_Name[]</f>
        <v>Eutrophication Potential of Unique Inputs per kg of Packaged Fictional API</v>
      </c>
      <c r="W283" s="40"/>
      <c r="X283" s="21" t="str">
        <f>"Eutrophication Potential of Each Step per kg of "&amp;API_Name[]</f>
        <v>Eutrophication Potential of Each Step per kg of Packaged Fictional API</v>
      </c>
      <c r="AE283" s="40"/>
    </row>
    <row r="284" spans="2:31" x14ac:dyDescent="0.25">
      <c r="B284" s="157"/>
      <c r="C284" s="40"/>
      <c r="W284" s="40"/>
      <c r="AE284" s="40"/>
    </row>
    <row r="285" spans="2:31" x14ac:dyDescent="0.25">
      <c r="B285" s="157"/>
      <c r="C285" s="40"/>
      <c r="W285" s="40"/>
      <c r="AE285" s="40"/>
    </row>
    <row r="286" spans="2:31" x14ac:dyDescent="0.25">
      <c r="B286" s="157"/>
      <c r="C286" s="40"/>
      <c r="W286" s="40"/>
      <c r="AE286" s="40"/>
    </row>
    <row r="287" spans="2:31" x14ac:dyDescent="0.25">
      <c r="B287" s="157"/>
      <c r="C287" s="40"/>
      <c r="W287" s="40"/>
      <c r="AE287" s="40"/>
    </row>
    <row r="288" spans="2:31" x14ac:dyDescent="0.25">
      <c r="B288" s="157"/>
      <c r="C288" s="40"/>
      <c r="W288" s="40"/>
      <c r="AE288" s="40"/>
    </row>
    <row r="289" spans="2:31" x14ac:dyDescent="0.25">
      <c r="B289" s="157"/>
      <c r="C289" s="40"/>
      <c r="W289" s="40"/>
      <c r="AE289" s="40"/>
    </row>
    <row r="290" spans="2:31" x14ac:dyDescent="0.25">
      <c r="B290" s="157"/>
      <c r="C290" s="40"/>
      <c r="W290" s="40"/>
      <c r="AE290" s="40"/>
    </row>
    <row r="291" spans="2:31" x14ac:dyDescent="0.25">
      <c r="B291" s="157"/>
      <c r="C291" s="40"/>
      <c r="W291" s="40"/>
      <c r="AE291" s="40"/>
    </row>
    <row r="292" spans="2:31" x14ac:dyDescent="0.25">
      <c r="B292" s="157"/>
      <c r="C292" s="40"/>
      <c r="W292" s="40"/>
      <c r="AE292" s="40"/>
    </row>
    <row r="293" spans="2:31" x14ac:dyDescent="0.25">
      <c r="B293" s="157"/>
      <c r="C293" s="40"/>
      <c r="W293" s="40"/>
      <c r="AE293" s="40"/>
    </row>
    <row r="294" spans="2:31" x14ac:dyDescent="0.25">
      <c r="B294" s="157"/>
      <c r="C294" s="40"/>
      <c r="W294" s="40"/>
      <c r="AE294" s="40"/>
    </row>
    <row r="295" spans="2:31" x14ac:dyDescent="0.25">
      <c r="B295" s="157"/>
      <c r="C295" s="40"/>
      <c r="W295" s="40"/>
      <c r="AE295" s="40"/>
    </row>
    <row r="296" spans="2:31" x14ac:dyDescent="0.25">
      <c r="B296" s="157"/>
      <c r="C296" s="40"/>
      <c r="W296" s="40"/>
      <c r="AE296" s="40"/>
    </row>
    <row r="297" spans="2:31" x14ac:dyDescent="0.25">
      <c r="B297" s="157"/>
      <c r="C297" s="40"/>
      <c r="W297" s="40"/>
      <c r="AE297" s="40"/>
    </row>
    <row r="298" spans="2:31" x14ac:dyDescent="0.25">
      <c r="B298" s="157"/>
      <c r="C298" s="40"/>
      <c r="W298" s="40"/>
      <c r="AE298" s="40"/>
    </row>
    <row r="299" spans="2:31" x14ac:dyDescent="0.25">
      <c r="B299" s="157"/>
      <c r="C299" s="40"/>
      <c r="W299" s="40"/>
      <c r="AE299" s="40"/>
    </row>
    <row r="300" spans="2:31" x14ac:dyDescent="0.25">
      <c r="B300" s="157"/>
      <c r="C300" s="40"/>
      <c r="W300" s="40"/>
      <c r="AE300" s="40"/>
    </row>
    <row r="301" spans="2:31" x14ac:dyDescent="0.25">
      <c r="B301" s="157"/>
      <c r="C301" s="40"/>
      <c r="W301" s="40"/>
      <c r="AE301" s="40"/>
    </row>
    <row r="302" spans="2:31" x14ac:dyDescent="0.25">
      <c r="B302" s="157"/>
      <c r="C302" s="40"/>
      <c r="W302" s="40"/>
      <c r="AE302" s="40"/>
    </row>
    <row r="303" spans="2:31" x14ac:dyDescent="0.25">
      <c r="B303" s="157"/>
      <c r="C303" s="40"/>
      <c r="W303" s="40"/>
      <c r="AE303" s="40"/>
    </row>
    <row r="304" spans="2:31" x14ac:dyDescent="0.25">
      <c r="B304" s="157"/>
      <c r="C304" s="40"/>
      <c r="W304" s="40"/>
      <c r="AE304" s="40"/>
    </row>
    <row r="305" spans="2:31" x14ac:dyDescent="0.25">
      <c r="B305" s="157"/>
      <c r="C305" s="40"/>
      <c r="W305" s="40"/>
      <c r="AE305" s="40"/>
    </row>
    <row r="306" spans="2:31" x14ac:dyDescent="0.25">
      <c r="B306" s="157"/>
      <c r="C306" s="40"/>
      <c r="W306" s="40"/>
      <c r="AE306" s="40"/>
    </row>
    <row r="307" spans="2:31" x14ac:dyDescent="0.25">
      <c r="B307" s="157"/>
      <c r="C307" s="40"/>
      <c r="W307" s="40"/>
      <c r="AE307" s="40"/>
    </row>
    <row r="308" spans="2:31" x14ac:dyDescent="0.25">
      <c r="B308" s="157"/>
      <c r="C308" s="40"/>
      <c r="W308" s="40"/>
      <c r="AE308" s="40"/>
    </row>
    <row r="309" spans="2:31" x14ac:dyDescent="0.25">
      <c r="B309" s="157"/>
      <c r="C309" s="40"/>
      <c r="W309" s="40"/>
      <c r="AE309" s="40"/>
    </row>
    <row r="310" spans="2:31" x14ac:dyDescent="0.25">
      <c r="B310" s="157"/>
      <c r="C310" s="40"/>
      <c r="W310" s="40"/>
      <c r="AE310" s="40"/>
    </row>
    <row r="311" spans="2:31" x14ac:dyDescent="0.25">
      <c r="B311" s="157"/>
      <c r="C311" s="40"/>
      <c r="W311" s="40"/>
      <c r="AE311" s="40"/>
    </row>
    <row r="312" spans="2:31" x14ac:dyDescent="0.25">
      <c r="B312" s="157"/>
      <c r="C312" s="40"/>
      <c r="W312" s="40"/>
      <c r="X312" s="40"/>
      <c r="Y312" s="40"/>
      <c r="Z312" s="40"/>
      <c r="AA312" s="40"/>
      <c r="AB312" s="40"/>
      <c r="AC312" s="40"/>
      <c r="AD312" s="40"/>
      <c r="AE312" s="40"/>
    </row>
    <row r="313" spans="2:31" x14ac:dyDescent="0.25">
      <c r="B313" s="157"/>
      <c r="C313" s="40"/>
      <c r="W313" s="40"/>
    </row>
    <row r="314" spans="2:31" x14ac:dyDescent="0.25">
      <c r="B314" s="157"/>
      <c r="C314" s="40"/>
      <c r="W314" s="40"/>
    </row>
    <row r="315" spans="2:31" x14ac:dyDescent="0.25">
      <c r="B315" s="157"/>
      <c r="C315" s="40"/>
      <c r="W315" s="40"/>
    </row>
    <row r="316" spans="2:31" x14ac:dyDescent="0.25">
      <c r="B316" s="157"/>
      <c r="C316" s="40"/>
      <c r="W316" s="40"/>
    </row>
    <row r="317" spans="2:31" x14ac:dyDescent="0.25">
      <c r="B317" s="157"/>
      <c r="C317" s="40"/>
      <c r="W317" s="40"/>
    </row>
    <row r="318" spans="2:31" x14ac:dyDescent="0.25">
      <c r="B318" s="157"/>
      <c r="C318" s="40"/>
      <c r="W318" s="40"/>
    </row>
    <row r="319" spans="2:31" x14ac:dyDescent="0.25">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2:31" ht="15" customHeight="1" x14ac:dyDescent="0.25">
      <c r="B320" s="157" t="s">
        <v>284</v>
      </c>
      <c r="C320" s="40"/>
      <c r="D320" s="21" t="str">
        <f>"Water Depletion of Unique Inputs per kg of "&amp;API_Name[]</f>
        <v>Water Depletion of Unique Inputs per kg of Packaged Fictional API</v>
      </c>
      <c r="W320" s="40"/>
      <c r="X320" s="21" t="str">
        <f>"Water Depletion of Each Step per kg of "&amp;API_Name[]</f>
        <v>Water Depletion of Each Step per kg of Packaged Fictional API</v>
      </c>
      <c r="AE320" s="40"/>
    </row>
    <row r="321" spans="2:31" x14ac:dyDescent="0.25">
      <c r="B321" s="157"/>
      <c r="C321" s="40"/>
      <c r="W321" s="40"/>
      <c r="AE321" s="40"/>
    </row>
    <row r="322" spans="2:31" x14ac:dyDescent="0.25">
      <c r="B322" s="157"/>
      <c r="C322" s="40"/>
      <c r="W322" s="40"/>
      <c r="AE322" s="40"/>
    </row>
    <row r="323" spans="2:31" x14ac:dyDescent="0.25">
      <c r="B323" s="157"/>
      <c r="C323" s="40"/>
      <c r="W323" s="40"/>
      <c r="AE323" s="40"/>
    </row>
    <row r="324" spans="2:31" x14ac:dyDescent="0.25">
      <c r="B324" s="157"/>
      <c r="C324" s="40"/>
      <c r="W324" s="40"/>
      <c r="AE324" s="40"/>
    </row>
    <row r="325" spans="2:31" x14ac:dyDescent="0.25">
      <c r="B325" s="157"/>
      <c r="C325" s="40"/>
      <c r="W325" s="40"/>
      <c r="AE325" s="40"/>
    </row>
    <row r="326" spans="2:31" x14ac:dyDescent="0.25">
      <c r="B326" s="157"/>
      <c r="C326" s="40"/>
      <c r="W326" s="40"/>
      <c r="AE326" s="40"/>
    </row>
    <row r="327" spans="2:31" x14ac:dyDescent="0.25">
      <c r="B327" s="157"/>
      <c r="C327" s="40"/>
      <c r="W327" s="40"/>
      <c r="AE327" s="40"/>
    </row>
    <row r="328" spans="2:31" x14ac:dyDescent="0.25">
      <c r="B328" s="157"/>
      <c r="C328" s="40"/>
      <c r="W328" s="40"/>
      <c r="AE328" s="40"/>
    </row>
    <row r="329" spans="2:31" x14ac:dyDescent="0.25">
      <c r="B329" s="157"/>
      <c r="C329" s="40"/>
      <c r="W329" s="40"/>
      <c r="AE329" s="40"/>
    </row>
    <row r="330" spans="2:31" x14ac:dyDescent="0.25">
      <c r="B330" s="157"/>
      <c r="C330" s="40"/>
      <c r="W330" s="40"/>
      <c r="AE330" s="40"/>
    </row>
    <row r="331" spans="2:31" x14ac:dyDescent="0.25">
      <c r="B331" s="157"/>
      <c r="C331" s="40"/>
      <c r="W331" s="40"/>
      <c r="AE331" s="40"/>
    </row>
    <row r="332" spans="2:31" x14ac:dyDescent="0.25">
      <c r="B332" s="157"/>
      <c r="C332" s="40"/>
      <c r="W332" s="40"/>
      <c r="AE332" s="40"/>
    </row>
    <row r="333" spans="2:31" x14ac:dyDescent="0.25">
      <c r="B333" s="157"/>
      <c r="C333" s="40"/>
      <c r="W333" s="40"/>
      <c r="AE333" s="40"/>
    </row>
    <row r="334" spans="2:31" x14ac:dyDescent="0.25">
      <c r="B334" s="157"/>
      <c r="C334" s="40"/>
      <c r="W334" s="40"/>
      <c r="AE334" s="40"/>
    </row>
    <row r="335" spans="2:31" x14ac:dyDescent="0.25">
      <c r="B335" s="157"/>
      <c r="C335" s="40"/>
      <c r="W335" s="40"/>
      <c r="AE335" s="40"/>
    </row>
    <row r="336" spans="2:31" x14ac:dyDescent="0.25">
      <c r="B336" s="157"/>
      <c r="C336" s="40"/>
      <c r="W336" s="40"/>
      <c r="AE336" s="40"/>
    </row>
    <row r="337" spans="2:31" x14ac:dyDescent="0.25">
      <c r="B337" s="157"/>
      <c r="C337" s="40"/>
      <c r="W337" s="40"/>
      <c r="AE337" s="40"/>
    </row>
    <row r="338" spans="2:31" x14ac:dyDescent="0.25">
      <c r="B338" s="157"/>
      <c r="C338" s="40"/>
      <c r="W338" s="40"/>
      <c r="AE338" s="40"/>
    </row>
    <row r="339" spans="2:31" x14ac:dyDescent="0.25">
      <c r="B339" s="157"/>
      <c r="C339" s="40"/>
      <c r="W339" s="40"/>
      <c r="AE339" s="40"/>
    </row>
    <row r="340" spans="2:31" x14ac:dyDescent="0.25">
      <c r="B340" s="157"/>
      <c r="C340" s="40"/>
      <c r="W340" s="40"/>
      <c r="AE340" s="40"/>
    </row>
    <row r="341" spans="2:31" x14ac:dyDescent="0.25">
      <c r="B341" s="157"/>
      <c r="C341" s="40"/>
      <c r="W341" s="40"/>
      <c r="AE341" s="40"/>
    </row>
    <row r="342" spans="2:31" x14ac:dyDescent="0.25">
      <c r="B342" s="157"/>
      <c r="C342" s="40"/>
      <c r="W342" s="40"/>
      <c r="AE342" s="40"/>
    </row>
    <row r="343" spans="2:31" x14ac:dyDescent="0.25">
      <c r="B343" s="157"/>
      <c r="C343" s="40"/>
      <c r="W343" s="40"/>
      <c r="AE343" s="40"/>
    </row>
    <row r="344" spans="2:31" x14ac:dyDescent="0.25">
      <c r="B344" s="157"/>
      <c r="C344" s="40"/>
      <c r="W344" s="40"/>
      <c r="AE344" s="40"/>
    </row>
    <row r="345" spans="2:31" x14ac:dyDescent="0.25">
      <c r="B345" s="157"/>
      <c r="C345" s="40"/>
      <c r="W345" s="40"/>
      <c r="AE345" s="40"/>
    </row>
    <row r="346" spans="2:31" x14ac:dyDescent="0.25">
      <c r="B346" s="157"/>
      <c r="C346" s="40"/>
      <c r="W346" s="40"/>
      <c r="AE346" s="40"/>
    </row>
    <row r="347" spans="2:31" x14ac:dyDescent="0.25">
      <c r="B347" s="157"/>
      <c r="C347" s="40"/>
      <c r="W347" s="40"/>
      <c r="AE347" s="40"/>
    </row>
    <row r="348" spans="2:31" x14ac:dyDescent="0.25">
      <c r="B348" s="157"/>
      <c r="C348" s="40"/>
      <c r="W348" s="40"/>
      <c r="AE348" s="40"/>
    </row>
    <row r="349" spans="2:31" x14ac:dyDescent="0.25">
      <c r="B349" s="157"/>
      <c r="C349" s="40"/>
      <c r="W349" s="40"/>
      <c r="X349" s="40"/>
      <c r="Y349" s="40"/>
      <c r="Z349" s="40"/>
      <c r="AA349" s="40"/>
      <c r="AB349" s="40"/>
      <c r="AC349" s="40"/>
      <c r="AD349" s="40"/>
      <c r="AE349" s="40"/>
    </row>
    <row r="350" spans="2:31" x14ac:dyDescent="0.25">
      <c r="B350" s="157"/>
      <c r="C350" s="40"/>
      <c r="W350" s="40"/>
    </row>
    <row r="351" spans="2:31" x14ac:dyDescent="0.25">
      <c r="B351" s="157"/>
      <c r="C351" s="40"/>
      <c r="W351" s="40"/>
    </row>
    <row r="352" spans="2:31" x14ac:dyDescent="0.25">
      <c r="B352" s="157"/>
      <c r="C352" s="40"/>
      <c r="W352" s="40"/>
    </row>
    <row r="353" spans="2:31" x14ac:dyDescent="0.25">
      <c r="B353" s="157"/>
      <c r="C353" s="40"/>
      <c r="W353" s="40"/>
    </row>
    <row r="354" spans="2:31" x14ac:dyDescent="0.25">
      <c r="B354" s="157"/>
      <c r="C354" s="40"/>
      <c r="W354" s="40"/>
    </row>
    <row r="355" spans="2:31" x14ac:dyDescent="0.25">
      <c r="B355" s="157"/>
      <c r="C355" s="40"/>
      <c r="W355" s="40"/>
    </row>
    <row r="356" spans="2:31" x14ac:dyDescent="0.25">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sheetData>
  <mergeCells count="12">
    <mergeCell ref="AA46:AF46"/>
    <mergeCell ref="B4:W4"/>
    <mergeCell ref="B3:W3"/>
    <mergeCell ref="B320:B355"/>
    <mergeCell ref="B98:B133"/>
    <mergeCell ref="B135:B170"/>
    <mergeCell ref="B172:B207"/>
    <mergeCell ref="B209:B244"/>
    <mergeCell ref="B246:B281"/>
    <mergeCell ref="B283:B318"/>
    <mergeCell ref="V9:W9"/>
    <mergeCell ref="U7:V7"/>
  </mergeCells>
  <dataValidations count="1">
    <dataValidation type="list" allowBlank="1" showInputMessage="1" showErrorMessage="1" sqref="Y46 W7" xr:uid="{B29B2FC6-0114-49FF-A49B-0199A7073559}">
      <formula1>INDIRECT("Reset_Run_Freeze")</formula1>
    </dataValidation>
  </dataValidation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52D0-AC92-4339-8DE9-9B06B5A22A6B}">
  <sheetPr codeName="Sheet4">
    <tabColor rgb="FF397BA0"/>
    <pageSetUpPr autoPageBreaks="0"/>
  </sheetPr>
  <dimension ref="A1:Z505"/>
  <sheetViews>
    <sheetView workbookViewId="0">
      <selection activeCell="H3" sqref="H3"/>
    </sheetView>
  </sheetViews>
  <sheetFormatPr defaultRowHeight="15" x14ac:dyDescent="0.25"/>
  <cols>
    <col min="2" max="2" width="18" bestFit="1" customWidth="1"/>
    <col min="3" max="3" width="3.28515625" customWidth="1"/>
    <col min="4" max="4" width="22.140625" bestFit="1" customWidth="1"/>
    <col min="5" max="5" width="2.140625" customWidth="1"/>
    <col min="6" max="6" width="25.85546875" bestFit="1" customWidth="1"/>
    <col min="7" max="7" width="2.28515625" customWidth="1"/>
    <col min="8" max="8" width="25.85546875" customWidth="1"/>
    <col min="9" max="9" width="2.28515625" customWidth="1"/>
    <col min="10" max="10" width="9.5703125" bestFit="1" customWidth="1"/>
    <col min="11" max="11" width="2.28515625" customWidth="1"/>
    <col min="12" max="12" width="8.5703125" bestFit="1" customWidth="1"/>
    <col min="13" max="13" width="2" customWidth="1"/>
    <col min="14" max="14" width="19.5703125" customWidth="1"/>
    <col min="15" max="15" width="2.7109375" customWidth="1"/>
    <col min="16" max="16" width="146.42578125" bestFit="1" customWidth="1"/>
    <col min="17" max="17" width="11" customWidth="1"/>
    <col min="19" max="19" width="10.7109375" customWidth="1"/>
    <col min="20" max="20" width="10.5703125" customWidth="1"/>
  </cols>
  <sheetData>
    <row r="1" spans="1:26" x14ac:dyDescent="0.25">
      <c r="A1" t="s">
        <v>771</v>
      </c>
    </row>
    <row r="2" spans="1:26" x14ac:dyDescent="0.25">
      <c r="D2" s="7"/>
    </row>
    <row r="4" spans="1:26" x14ac:dyDescent="0.25">
      <c r="B4" t="s">
        <v>176</v>
      </c>
      <c r="D4" s="7" t="s">
        <v>3</v>
      </c>
      <c r="F4" s="7" t="s">
        <v>4</v>
      </c>
      <c r="H4" s="7" t="s">
        <v>347</v>
      </c>
      <c r="J4" s="7" t="s">
        <v>5</v>
      </c>
      <c r="L4" t="s">
        <v>155</v>
      </c>
      <c r="N4" t="s">
        <v>594</v>
      </c>
      <c r="P4" t="s">
        <v>178</v>
      </c>
      <c r="S4" t="s">
        <v>638</v>
      </c>
    </row>
    <row r="5" spans="1:26" x14ac:dyDescent="0.25">
      <c r="B5" t="s">
        <v>176</v>
      </c>
      <c r="D5" t="s">
        <v>3</v>
      </c>
      <c r="F5" t="s">
        <v>4</v>
      </c>
      <c r="H5" t="s">
        <v>347</v>
      </c>
      <c r="J5" t="s">
        <v>5</v>
      </c>
      <c r="L5" t="s">
        <v>21</v>
      </c>
      <c r="N5" t="s">
        <v>594</v>
      </c>
      <c r="P5" t="s">
        <v>178</v>
      </c>
      <c r="Q5" t="s">
        <v>310</v>
      </c>
      <c r="S5" t="s">
        <v>582</v>
      </c>
      <c r="T5" t="s">
        <v>583</v>
      </c>
    </row>
    <row r="6" spans="1:26" x14ac:dyDescent="0.25">
      <c r="B6" t="s">
        <v>174</v>
      </c>
      <c r="D6" t="s">
        <v>4</v>
      </c>
      <c r="F6" t="s">
        <v>170</v>
      </c>
      <c r="H6" t="s">
        <v>351</v>
      </c>
      <c r="J6" s="2" t="s">
        <v>155</v>
      </c>
      <c r="L6" s="2" t="s">
        <v>155</v>
      </c>
      <c r="M6" s="2"/>
      <c r="N6" s="2" t="s">
        <v>593</v>
      </c>
      <c r="P6" t="s">
        <v>767</v>
      </c>
      <c r="Q6">
        <f ca="1">IF(SUM(OFFSET(Messages[Status],1,0,COUNTA(Messages[Messages])-1))=0,1,0)</f>
        <v>1</v>
      </c>
      <c r="S6" t="e">
        <f>IFERROR(INDEX(Table_Process_Details[[X Start]:[X Intentionally NA]],INT((ROW()-ROW(Table_Arrow_Coords[[#Headers],[Arrow_X]])-1)/4)+1,MOD(ROW()-ROW(Table_Arrow_Coords[[#Headers],[Arrow_X]])-1,4)+1),NA())</f>
        <v>#N/A</v>
      </c>
      <c r="T6" t="e">
        <f>IFERROR(INDEX(Table_Process_Details[[Y Start]:[Y Intentionally NA]],INT((ROW()-ROW(Table_Arrow_Coords[[#Headers],[Arrow_Y]])-1)/4)+1,MOD(ROW()-ROW(Table_Arrow_Coords[[#Headers],[Arrow_Y]])-1,4)+1),NA())</f>
        <v>#N/A</v>
      </c>
      <c r="U6" s="1"/>
      <c r="V6" s="1"/>
      <c r="W6" s="1"/>
      <c r="X6" s="1"/>
      <c r="Y6" s="1"/>
      <c r="Z6" s="1"/>
    </row>
    <row r="7" spans="1:26" x14ac:dyDescent="0.25">
      <c r="B7" t="s">
        <v>175</v>
      </c>
      <c r="D7" t="s">
        <v>5</v>
      </c>
      <c r="F7" t="s">
        <v>6</v>
      </c>
      <c r="H7" t="s">
        <v>354</v>
      </c>
      <c r="N7" t="s">
        <v>592</v>
      </c>
      <c r="P7" t="s">
        <v>657</v>
      </c>
      <c r="Q7" s="1">
        <f t="array" ref="Q7">IF(SUM(IF(COUNTIFS(Table_Process_Details[Step Name],Process_Steps[Name],Table_Process_Details[Input or Output],"Output")&gt;1,1,0))&gt;0,1,0)</f>
        <v>0</v>
      </c>
      <c r="S7" t="e">
        <f>IFERROR(INDEX(Table_Process_Details[[X Start]:[X Intentionally NA]],INT((ROW()-ROW(Table_Arrow_Coords[[#Headers],[Arrow_X]])-1)/4)+1,MOD(ROW()-ROW(Table_Arrow_Coords[[#Headers],[Arrow_X]])-1,4)+1),NA())</f>
        <v>#N/A</v>
      </c>
      <c r="T7" t="e">
        <f>IFERROR(INDEX(Table_Process_Details[[Y Start]:[Y Intentionally NA]],INT((ROW()-ROW(Table_Arrow_Coords[[#Headers],[Arrow_Y]])-1)/4)+1,MOD(ROW()-ROW(Table_Arrow_Coords[[#Headers],[Arrow_Y]])-1,4)+1),NA())</f>
        <v>#N/A</v>
      </c>
      <c r="U7" s="1"/>
      <c r="V7" s="1"/>
      <c r="W7" s="1"/>
      <c r="X7" s="1"/>
      <c r="Y7" s="1"/>
      <c r="Z7" s="1"/>
    </row>
    <row r="8" spans="1:26" x14ac:dyDescent="0.25">
      <c r="F8" t="s">
        <v>153</v>
      </c>
      <c r="H8" t="s">
        <v>350</v>
      </c>
      <c r="N8" t="s">
        <v>595</v>
      </c>
      <c r="P8" t="str">
        <f ca="1">"Warning: Please append "&amp;COUNTA(Table_Process_Details[[X Start]:[X Intentionally NA]])-COUNTA(Table_Arrow_Coords[Arrow_X])&amp; " rows to Table_Arrow_Coords on Sheet 'A. Behind-the-scenes'."</f>
        <v>Warning: Please append -108 rows to Table_Arrow_Coords on Sheet 'A. Behind-the-scenes'.</v>
      </c>
      <c r="Q8" s="1">
        <f ca="1">--(COUNTA(Table_Process_Details[[X Start]:[X Intentionally NA]])&gt;COUNTA(Table_Arrow_Coords[Arrow_X]))</f>
        <v>0</v>
      </c>
      <c r="S8" t="e">
        <f>IFERROR(INDEX(Table_Process_Details[[X Start]:[X Intentionally NA]],INT((ROW()-ROW(Table_Arrow_Coords[[#Headers],[Arrow_X]])-1)/4)+1,MOD(ROW()-ROW(Table_Arrow_Coords[[#Headers],[Arrow_X]])-1,4)+1),NA())</f>
        <v>#N/A</v>
      </c>
      <c r="T8" t="e">
        <f>IFERROR(INDEX(Table_Process_Details[[Y Start]:[Y Intentionally NA]],INT((ROW()-ROW(Table_Arrow_Coords[[#Headers],[Arrow_Y]])-1)/4)+1,MOD(ROW()-ROW(Table_Arrow_Coords[[#Headers],[Arrow_Y]])-1,4)+1),NA())</f>
        <v>#N/A</v>
      </c>
      <c r="U8" s="1"/>
      <c r="V8" s="1"/>
      <c r="W8" s="1"/>
      <c r="X8" s="1"/>
      <c r="Y8" s="1"/>
      <c r="Z8" s="1"/>
    </row>
    <row r="9" spans="1:26" x14ac:dyDescent="0.25">
      <c r="F9" t="s">
        <v>154</v>
      </c>
      <c r="H9" t="s">
        <v>352</v>
      </c>
      <c r="P9" t="s">
        <v>642</v>
      </c>
      <c r="Q9" s="1">
        <f>_xlfn.IFNA(IF(SUM(INDEX((Table_Process_Details[Real or Virtual]="Virtual")*(Table_Process_Details[LCA Data Source Class]="Process_Steps"),0))&gt;0,1,0),0)</f>
        <v>0</v>
      </c>
      <c r="S9" t="e">
        <f>IFERROR(INDEX(Table_Process_Details[[X Start]:[X Intentionally NA]],INT((ROW()-ROW(Table_Arrow_Coords[[#Headers],[Arrow_X]])-1)/4)+1,MOD(ROW()-ROW(Table_Arrow_Coords[[#Headers],[Arrow_X]])-1,4)+1),NA())</f>
        <v>#N/A</v>
      </c>
      <c r="T9" t="e">
        <f>IFERROR(INDEX(Table_Process_Details[[Y Start]:[Y Intentionally NA]],INT((ROW()-ROW(Table_Arrow_Coords[[#Headers],[Arrow_Y]])-1)/4)+1,MOD(ROW()-ROW(Table_Arrow_Coords[[#Headers],[Arrow_Y]])-1,4)+1),NA())</f>
        <v>#N/A</v>
      </c>
      <c r="U9" s="1"/>
      <c r="V9" s="1"/>
      <c r="W9" s="1"/>
      <c r="X9" s="1"/>
      <c r="Y9" s="1"/>
      <c r="Z9" s="1"/>
    </row>
    <row r="10" spans="1:26" x14ac:dyDescent="0.25">
      <c r="F10" t="s">
        <v>656</v>
      </c>
      <c r="H10" t="s">
        <v>353</v>
      </c>
      <c r="P10" t="s">
        <v>671</v>
      </c>
      <c r="Q10" s="1">
        <f ca="1">IF(COUNTIF(Table_Process_Details[Valid Table Lookup 1],NA()),1,0)</f>
        <v>0</v>
      </c>
      <c r="S10" t="e">
        <f>IFERROR(INDEX(Table_Process_Details[[X Start]:[X Intentionally NA]],INT((ROW()-ROW(Table_Arrow_Coords[[#Headers],[Arrow_X]])-1)/4)+1,MOD(ROW()-ROW(Table_Arrow_Coords[[#Headers],[Arrow_X]])-1,4)+1),NA())</f>
        <v>#N/A</v>
      </c>
      <c r="T10" t="e">
        <f>IFERROR(INDEX(Table_Process_Details[[Y Start]:[Y Intentionally NA]],INT((ROW()-ROW(Table_Arrow_Coords[[#Headers],[Arrow_Y]])-1)/4)+1,MOD(ROW()-ROW(Table_Arrow_Coords[[#Headers],[Arrow_Y]])-1,4)+1),NA())</f>
        <v>#N/A</v>
      </c>
      <c r="U10" s="1"/>
      <c r="V10" s="1"/>
      <c r="W10" s="1"/>
      <c r="X10" s="1"/>
      <c r="Y10" s="1"/>
      <c r="Z10" s="1"/>
    </row>
    <row r="11" spans="1:26" x14ac:dyDescent="0.25">
      <c r="F11" t="s">
        <v>7</v>
      </c>
      <c r="H11" t="s">
        <v>355</v>
      </c>
      <c r="P11" t="s">
        <v>658</v>
      </c>
      <c r="Q11" s="1">
        <f ca="1">IF(COUNTIF(Table_Process_Details[Valid Table Lookup 2],NA()),1,0)</f>
        <v>0</v>
      </c>
      <c r="S11" t="e">
        <f>IFERROR(INDEX(Table_Process_Details[[X Start]:[X Intentionally NA]],INT((ROW()-ROW(Table_Arrow_Coords[[#Headers],[Arrow_X]])-1)/4)+1,MOD(ROW()-ROW(Table_Arrow_Coords[[#Headers],[Arrow_X]])-1,4)+1),NA())</f>
        <v>#N/A</v>
      </c>
      <c r="T11" t="e">
        <f>IFERROR(INDEX(Table_Process_Details[[Y Start]:[Y Intentionally NA]],INT((ROW()-ROW(Table_Arrow_Coords[[#Headers],[Arrow_Y]])-1)/4)+1,MOD(ROW()-ROW(Table_Arrow_Coords[[#Headers],[Arrow_Y]])-1,4)+1),NA())</f>
        <v>#N/A</v>
      </c>
      <c r="U11" s="1"/>
      <c r="V11" s="1"/>
      <c r="W11" s="1"/>
      <c r="X11" s="1"/>
      <c r="Y11" s="1"/>
      <c r="Z11" s="1"/>
    </row>
    <row r="12" spans="1:26" x14ac:dyDescent="0.25">
      <c r="F12" t="s">
        <v>8</v>
      </c>
      <c r="P12" t="s">
        <v>659</v>
      </c>
      <c r="Q12" s="1">
        <f>COUNTBLANK(Table_Process_Details[Step Name])</f>
        <v>0</v>
      </c>
      <c r="S12" t="e">
        <f>IFERROR(INDEX(Table_Process_Details[[X Start]:[X Intentionally NA]],INT((ROW()-ROW(Table_Arrow_Coords[[#Headers],[Arrow_X]])-1)/4)+1,MOD(ROW()-ROW(Table_Arrow_Coords[[#Headers],[Arrow_X]])-1,4)+1),NA())</f>
        <v>#N/A</v>
      </c>
      <c r="T12" t="e">
        <f>IFERROR(INDEX(Table_Process_Details[[Y Start]:[Y Intentionally NA]],INT((ROW()-ROW(Table_Arrow_Coords[[#Headers],[Arrow_Y]])-1)/4)+1,MOD(ROW()-ROW(Table_Arrow_Coords[[#Headers],[Arrow_Y]])-1,4)+1),NA())</f>
        <v>#N/A</v>
      </c>
      <c r="U12" s="1"/>
      <c r="V12" s="1"/>
      <c r="W12" s="1"/>
      <c r="X12" s="1"/>
      <c r="Y12" s="1"/>
      <c r="Z12" s="1"/>
    </row>
    <row r="13" spans="1:26" x14ac:dyDescent="0.25">
      <c r="F13" t="s">
        <v>328</v>
      </c>
      <c r="P13" t="s">
        <v>644</v>
      </c>
      <c r="Q13" s="1">
        <f>IF(SUMPRODUCT(--(ISNA(MATCH(Table_Process_Details[Step Name],Process_Steps[Name],0))))&gt;0,1,0)</f>
        <v>0</v>
      </c>
      <c r="S13" t="e">
        <f>IFERROR(INDEX(Table_Process_Details[[X Start]:[X Intentionally NA]],INT((ROW()-ROW(Table_Arrow_Coords[[#Headers],[Arrow_X]])-1)/4)+1,MOD(ROW()-ROW(Table_Arrow_Coords[[#Headers],[Arrow_X]])-1,4)+1),NA())</f>
        <v>#N/A</v>
      </c>
      <c r="T13" t="e">
        <f>IFERROR(INDEX(Table_Process_Details[[Y Start]:[Y Intentionally NA]],INT((ROW()-ROW(Table_Arrow_Coords[[#Headers],[Arrow_Y]])-1)/4)+1,MOD(ROW()-ROW(Table_Arrow_Coords[[#Headers],[Arrow_Y]])-1,4)+1),NA())</f>
        <v>#N/A</v>
      </c>
      <c r="U13" s="1"/>
      <c r="V13" s="1"/>
      <c r="W13" s="1"/>
      <c r="X13" s="1"/>
      <c r="Y13" s="1"/>
      <c r="Z13" s="1"/>
    </row>
    <row r="14" spans="1:26" x14ac:dyDescent="0.25">
      <c r="P14" t="s">
        <v>660</v>
      </c>
      <c r="Q14" s="1">
        <f>COUNTBLANK(Table_Process_Details[Input or Output])</f>
        <v>0</v>
      </c>
      <c r="S14" t="e">
        <f>IFERROR(INDEX(Table_Process_Details[[X Start]:[X Intentionally NA]],INT((ROW()-ROW(Table_Arrow_Coords[[#Headers],[Arrow_X]])-1)/4)+1,MOD(ROW()-ROW(Table_Arrow_Coords[[#Headers],[Arrow_X]])-1,4)+1),NA())</f>
        <v>#N/A</v>
      </c>
      <c r="T14" t="e">
        <f>IFERROR(INDEX(Table_Process_Details[[Y Start]:[Y Intentionally NA]],INT((ROW()-ROW(Table_Arrow_Coords[[#Headers],[Arrow_Y]])-1)/4)+1,MOD(ROW()-ROW(Table_Arrow_Coords[[#Headers],[Arrow_Y]])-1,4)+1),NA())</f>
        <v>#N/A</v>
      </c>
      <c r="U14" s="1"/>
      <c r="V14" s="1"/>
      <c r="W14" s="1"/>
      <c r="X14" s="1"/>
      <c r="Y14" s="1"/>
      <c r="Z14" s="1"/>
    </row>
    <row r="15" spans="1:26" x14ac:dyDescent="0.25">
      <c r="P15" t="s">
        <v>661</v>
      </c>
      <c r="Q15" s="1">
        <f>COUNTBLANK(Table_Process_Details[LCA Data Source Class])</f>
        <v>0</v>
      </c>
      <c r="S15" t="e">
        <f>IFERROR(INDEX(Table_Process_Details[[X Start]:[X Intentionally NA]],INT((ROW()-ROW(Table_Arrow_Coords[[#Headers],[Arrow_X]])-1)/4)+1,MOD(ROW()-ROW(Table_Arrow_Coords[[#Headers],[Arrow_X]])-1,4)+1),NA())</f>
        <v>#N/A</v>
      </c>
      <c r="T15" t="e">
        <f>IFERROR(INDEX(Table_Process_Details[[Y Start]:[Y Intentionally NA]],INT((ROW()-ROW(Table_Arrow_Coords[[#Headers],[Arrow_Y]])-1)/4)+1,MOD(ROW()-ROW(Table_Arrow_Coords[[#Headers],[Arrow_Y]])-1,4)+1),NA())</f>
        <v>#N/A</v>
      </c>
      <c r="U15" s="1"/>
      <c r="V15" s="1"/>
      <c r="W15" s="1"/>
      <c r="X15" s="1"/>
      <c r="Y15" s="1"/>
      <c r="Z15" s="1"/>
    </row>
    <row r="16" spans="1:26" x14ac:dyDescent="0.25">
      <c r="P16" t="s">
        <v>662</v>
      </c>
      <c r="Q16" s="1">
        <f>COUNTBLANK(Table_Process_Details[LCA Data Source Subclass])</f>
        <v>0</v>
      </c>
      <c r="S16" t="e">
        <f>IFERROR(INDEX(Table_Process_Details[[X Start]:[X Intentionally NA]],INT((ROW()-ROW(Table_Arrow_Coords[[#Headers],[Arrow_X]])-1)/4)+1,MOD(ROW()-ROW(Table_Arrow_Coords[[#Headers],[Arrow_X]])-1,4)+1),NA())</f>
        <v>#N/A</v>
      </c>
      <c r="T16" t="e">
        <f>IFERROR(INDEX(Table_Process_Details[[Y Start]:[Y Intentionally NA]],INT((ROW()-ROW(Table_Arrow_Coords[[#Headers],[Arrow_Y]])-1)/4)+1,MOD(ROW()-ROW(Table_Arrow_Coords[[#Headers],[Arrow_Y]])-1,4)+1),NA())</f>
        <v>#N/A</v>
      </c>
      <c r="U16" s="1"/>
      <c r="V16" s="1"/>
      <c r="W16" s="1"/>
      <c r="X16" s="1"/>
      <c r="Y16" s="1"/>
      <c r="Z16" s="1"/>
    </row>
    <row r="17" spans="16:26" x14ac:dyDescent="0.25">
      <c r="P17" t="s">
        <v>643</v>
      </c>
      <c r="Q17" s="1">
        <f t="array" ref="Q17">IF(PRODUCT((IF(ISNA(MATCH(Table_Process_Details[LCA Data Source Subclass],Process_Steps[Name],0)),0,1)=INDEX((Table_Process_Details[LCA Data Source Class]="Process_Steps")*(1),0))*1),0,1)</f>
        <v>0</v>
      </c>
      <c r="S17" t="e">
        <f>IFERROR(INDEX(Table_Process_Details[[X Start]:[X Intentionally NA]],INT((ROW()-ROW(Table_Arrow_Coords[[#Headers],[Arrow_X]])-1)/4)+1,MOD(ROW()-ROW(Table_Arrow_Coords[[#Headers],[Arrow_X]])-1,4)+1),NA())</f>
        <v>#N/A</v>
      </c>
      <c r="T17" t="e">
        <f>IFERROR(INDEX(Table_Process_Details[[Y Start]:[Y Intentionally NA]],INT((ROW()-ROW(Table_Arrow_Coords[[#Headers],[Arrow_Y]])-1)/4)+1,MOD(ROW()-ROW(Table_Arrow_Coords[[#Headers],[Arrow_Y]])-1,4)+1),NA())</f>
        <v>#N/A</v>
      </c>
      <c r="U17" s="1"/>
      <c r="V17" s="1"/>
      <c r="W17" s="1"/>
      <c r="X17" s="1"/>
      <c r="Y17" s="1"/>
      <c r="Z17" s="1"/>
    </row>
    <row r="18" spans="16:26" x14ac:dyDescent="0.25">
      <c r="P18" t="s">
        <v>663</v>
      </c>
      <c r="Q18" s="1">
        <f>COUNTBLANK(Table_Process_Details[Display Name])</f>
        <v>0</v>
      </c>
      <c r="S18" t="e">
        <f>IFERROR(INDEX(Table_Process_Details[[X Start]:[X Intentionally NA]],INT((ROW()-ROW(Table_Arrow_Coords[[#Headers],[Arrow_X]])-1)/4)+1,MOD(ROW()-ROW(Table_Arrow_Coords[[#Headers],[Arrow_X]])-1,4)+1),NA())</f>
        <v>#N/A</v>
      </c>
      <c r="T18" t="e">
        <f>IFERROR(INDEX(Table_Process_Details[[Y Start]:[Y Intentionally NA]],INT((ROW()-ROW(Table_Arrow_Coords[[#Headers],[Arrow_Y]])-1)/4)+1,MOD(ROW()-ROW(Table_Arrow_Coords[[#Headers],[Arrow_Y]])-1,4)+1),NA())</f>
        <v>#N/A</v>
      </c>
      <c r="U18" s="1"/>
      <c r="V18" s="1"/>
      <c r="W18" s="1"/>
      <c r="X18" s="1"/>
      <c r="Y18" s="1"/>
      <c r="Z18" s="1"/>
    </row>
    <row r="19" spans="16:26" x14ac:dyDescent="0.25">
      <c r="P19" t="s">
        <v>664</v>
      </c>
      <c r="Q19" s="1">
        <f>COUNTBLANK(Table_Process_Details[Physical Mass (kg)])</f>
        <v>0</v>
      </c>
      <c r="S19" t="e">
        <f>IFERROR(INDEX(Table_Process_Details[[X Start]:[X Intentionally NA]],INT((ROW()-ROW(Table_Arrow_Coords[[#Headers],[Arrow_X]])-1)/4)+1,MOD(ROW()-ROW(Table_Arrow_Coords[[#Headers],[Arrow_X]])-1,4)+1),NA())</f>
        <v>#N/A</v>
      </c>
      <c r="T19" t="e">
        <f>IFERROR(INDEX(Table_Process_Details[[Y Start]:[Y Intentionally NA]],INT((ROW()-ROW(Table_Arrow_Coords[[#Headers],[Arrow_Y]])-1)/4)+1,MOD(ROW()-ROW(Table_Arrow_Coords[[#Headers],[Arrow_Y]])-1,4)+1),NA())</f>
        <v>#N/A</v>
      </c>
      <c r="U19" s="1"/>
      <c r="V19" s="1"/>
      <c r="W19" s="1"/>
      <c r="X19" s="1"/>
      <c r="Y19" s="1"/>
      <c r="Z19" s="1"/>
    </row>
    <row r="20" spans="16:26" x14ac:dyDescent="0.25">
      <c r="P20" t="s">
        <v>665</v>
      </c>
      <c r="Q20" s="1">
        <f>COUNTBLANK(Process_Steps[Name])</f>
        <v>0</v>
      </c>
      <c r="S20" t="e">
        <f>IFERROR(INDEX(Table_Process_Details[[X Start]:[X Intentionally NA]],INT((ROW()-ROW(Table_Arrow_Coords[[#Headers],[Arrow_X]])-1)/4)+1,MOD(ROW()-ROW(Table_Arrow_Coords[[#Headers],[Arrow_X]])-1,4)+1),NA())</f>
        <v>#N/A</v>
      </c>
      <c r="T20" t="e">
        <f>IFERROR(INDEX(Table_Process_Details[[Y Start]:[Y Intentionally NA]],INT((ROW()-ROW(Table_Arrow_Coords[[#Headers],[Arrow_Y]])-1)/4)+1,MOD(ROW()-ROW(Table_Arrow_Coords[[#Headers],[Arrow_Y]])-1,4)+1),NA())</f>
        <v>#N/A</v>
      </c>
      <c r="U20" s="1"/>
      <c r="V20" s="1"/>
      <c r="W20" s="1"/>
      <c r="X20" s="1"/>
      <c r="Y20" s="1"/>
      <c r="Z20" s="1"/>
    </row>
    <row r="21" spans="16:26" x14ac:dyDescent="0.25">
      <c r="P21" t="s">
        <v>666</v>
      </c>
      <c r="Q21" s="1">
        <f>COUNTBLANK(Process_Steps[Real or Virtual?])</f>
        <v>0</v>
      </c>
      <c r="S21" t="e">
        <f>IFERROR(INDEX(Table_Process_Details[[X Start]:[X Intentionally NA]],INT((ROW()-ROW(Table_Arrow_Coords[[#Headers],[Arrow_X]])-1)/4)+1,MOD(ROW()-ROW(Table_Arrow_Coords[[#Headers],[Arrow_X]])-1,4)+1),NA())</f>
        <v>#N/A</v>
      </c>
      <c r="T21" t="e">
        <f>IFERROR(INDEX(Table_Process_Details[[Y Start]:[Y Intentionally NA]],INT((ROW()-ROW(Table_Arrow_Coords[[#Headers],[Arrow_Y]])-1)/4)+1,MOD(ROW()-ROW(Table_Arrow_Coords[[#Headers],[Arrow_Y]])-1,4)+1),NA())</f>
        <v>#N/A</v>
      </c>
      <c r="U21" s="1"/>
      <c r="V21" s="1"/>
      <c r="W21" s="1"/>
      <c r="X21" s="1"/>
      <c r="Y21" s="1"/>
      <c r="Z21" s="1"/>
    </row>
    <row r="22" spans="16:26" x14ac:dyDescent="0.25">
      <c r="P22" t="s">
        <v>667</v>
      </c>
      <c r="Q22" s="1">
        <f>COUNTBLANK(Process_Steps[Product Display Name])</f>
        <v>0</v>
      </c>
      <c r="S22" t="e">
        <f>IFERROR(INDEX(Table_Process_Details[[X Start]:[X Intentionally NA]],INT((ROW()-ROW(Table_Arrow_Coords[[#Headers],[Arrow_X]])-1)/4)+1,MOD(ROW()-ROW(Table_Arrow_Coords[[#Headers],[Arrow_X]])-1,4)+1),NA())</f>
        <v>#N/A</v>
      </c>
      <c r="T22" t="e">
        <f>IFERROR(INDEX(Table_Process_Details[[Y Start]:[Y Intentionally NA]],INT((ROW()-ROW(Table_Arrow_Coords[[#Headers],[Arrow_Y]])-1)/4)+1,MOD(ROW()-ROW(Table_Arrow_Coords[[#Headers],[Arrow_Y]])-1,4)+1),NA())</f>
        <v>#N/A</v>
      </c>
      <c r="U22" s="1"/>
      <c r="V22" s="1"/>
      <c r="W22" s="1"/>
      <c r="X22" s="1"/>
      <c r="Y22" s="1"/>
      <c r="Z22" s="1"/>
    </row>
    <row r="23" spans="16:26" x14ac:dyDescent="0.25">
      <c r="S23" t="e">
        <f>IFERROR(INDEX(Table_Process_Details[[X Start]:[X Intentionally NA]],INT((ROW()-ROW(Table_Arrow_Coords[[#Headers],[Arrow_X]])-1)/4)+1,MOD(ROW()-ROW(Table_Arrow_Coords[[#Headers],[Arrow_X]])-1,4)+1),NA())</f>
        <v>#N/A</v>
      </c>
      <c r="T23" t="e">
        <f>IFERROR(INDEX(Table_Process_Details[[Y Start]:[Y Intentionally NA]],INT((ROW()-ROW(Table_Arrow_Coords[[#Headers],[Arrow_Y]])-1)/4)+1,MOD(ROW()-ROW(Table_Arrow_Coords[[#Headers],[Arrow_Y]])-1,4)+1),NA())</f>
        <v>#N/A</v>
      </c>
      <c r="U23" s="1"/>
      <c r="V23" s="1"/>
      <c r="W23" s="1"/>
      <c r="X23" s="1"/>
      <c r="Y23" s="1"/>
      <c r="Z23" s="1"/>
    </row>
    <row r="24" spans="16:26" x14ac:dyDescent="0.25">
      <c r="S24" t="e">
        <f>IFERROR(INDEX(Table_Process_Details[[X Start]:[X Intentionally NA]],INT((ROW()-ROW(Table_Arrow_Coords[[#Headers],[Arrow_X]])-1)/4)+1,MOD(ROW()-ROW(Table_Arrow_Coords[[#Headers],[Arrow_X]])-1,4)+1),NA())</f>
        <v>#N/A</v>
      </c>
      <c r="T24" t="e">
        <f>IFERROR(INDEX(Table_Process_Details[[Y Start]:[Y Intentionally NA]],INT((ROW()-ROW(Table_Arrow_Coords[[#Headers],[Arrow_Y]])-1)/4)+1,MOD(ROW()-ROW(Table_Arrow_Coords[[#Headers],[Arrow_Y]])-1,4)+1),NA())</f>
        <v>#N/A</v>
      </c>
      <c r="U24" s="1"/>
      <c r="V24" s="1"/>
      <c r="W24" s="1"/>
      <c r="X24" s="1"/>
      <c r="Y24" s="1"/>
      <c r="Z24" s="1"/>
    </row>
    <row r="25" spans="16:26" x14ac:dyDescent="0.25">
      <c r="S25" t="e">
        <f>IFERROR(INDEX(Table_Process_Details[[X Start]:[X Intentionally NA]],INT((ROW()-ROW(Table_Arrow_Coords[[#Headers],[Arrow_X]])-1)/4)+1,MOD(ROW()-ROW(Table_Arrow_Coords[[#Headers],[Arrow_X]])-1,4)+1),NA())</f>
        <v>#N/A</v>
      </c>
      <c r="T25" t="e">
        <f>IFERROR(INDEX(Table_Process_Details[[Y Start]:[Y Intentionally NA]],INT((ROW()-ROW(Table_Arrow_Coords[[#Headers],[Arrow_Y]])-1)/4)+1,MOD(ROW()-ROW(Table_Arrow_Coords[[#Headers],[Arrow_Y]])-1,4)+1),NA())</f>
        <v>#N/A</v>
      </c>
      <c r="U25" s="1"/>
      <c r="V25" s="1"/>
      <c r="W25" s="1"/>
      <c r="X25" s="1"/>
      <c r="Y25" s="1"/>
      <c r="Z25" s="1"/>
    </row>
    <row r="26" spans="16:26" x14ac:dyDescent="0.25">
      <c r="S26" t="e">
        <f>IFERROR(INDEX(Table_Process_Details[[X Start]:[X Intentionally NA]],INT((ROW()-ROW(Table_Arrow_Coords[[#Headers],[Arrow_X]])-1)/4)+1,MOD(ROW()-ROW(Table_Arrow_Coords[[#Headers],[Arrow_X]])-1,4)+1),NA())</f>
        <v>#N/A</v>
      </c>
      <c r="T26" t="e">
        <f>IFERROR(INDEX(Table_Process_Details[[Y Start]:[Y Intentionally NA]],INT((ROW()-ROW(Table_Arrow_Coords[[#Headers],[Arrow_Y]])-1)/4)+1,MOD(ROW()-ROW(Table_Arrow_Coords[[#Headers],[Arrow_Y]])-1,4)+1),NA())</f>
        <v>#N/A</v>
      </c>
      <c r="U26" s="1"/>
      <c r="V26" s="1"/>
      <c r="W26" s="1"/>
      <c r="X26" s="1"/>
      <c r="Y26" s="1"/>
      <c r="Z26" s="1"/>
    </row>
    <row r="27" spans="16:26" x14ac:dyDescent="0.25">
      <c r="S27" t="e">
        <f>IFERROR(INDEX(Table_Process_Details[[X Start]:[X Intentionally NA]],INT((ROW()-ROW(Table_Arrow_Coords[[#Headers],[Arrow_X]])-1)/4)+1,MOD(ROW()-ROW(Table_Arrow_Coords[[#Headers],[Arrow_X]])-1,4)+1),NA())</f>
        <v>#N/A</v>
      </c>
      <c r="T27" t="e">
        <f>IFERROR(INDEX(Table_Process_Details[[Y Start]:[Y Intentionally NA]],INT((ROW()-ROW(Table_Arrow_Coords[[#Headers],[Arrow_Y]])-1)/4)+1,MOD(ROW()-ROW(Table_Arrow_Coords[[#Headers],[Arrow_Y]])-1,4)+1),NA())</f>
        <v>#N/A</v>
      </c>
      <c r="U27" s="1"/>
      <c r="V27" s="1"/>
      <c r="W27" s="1"/>
      <c r="X27" s="1"/>
      <c r="Y27" s="1"/>
      <c r="Z27" s="1"/>
    </row>
    <row r="28" spans="16:26" x14ac:dyDescent="0.25">
      <c r="S28" t="e">
        <f>IFERROR(INDEX(Table_Process_Details[[X Start]:[X Intentionally NA]],INT((ROW()-ROW(Table_Arrow_Coords[[#Headers],[Arrow_X]])-1)/4)+1,MOD(ROW()-ROW(Table_Arrow_Coords[[#Headers],[Arrow_X]])-1,4)+1),NA())</f>
        <v>#N/A</v>
      </c>
      <c r="T28" t="e">
        <f>IFERROR(INDEX(Table_Process_Details[[Y Start]:[Y Intentionally NA]],INT((ROW()-ROW(Table_Arrow_Coords[[#Headers],[Arrow_Y]])-1)/4)+1,MOD(ROW()-ROW(Table_Arrow_Coords[[#Headers],[Arrow_Y]])-1,4)+1),NA())</f>
        <v>#N/A</v>
      </c>
      <c r="U28" s="1"/>
      <c r="V28" s="1"/>
      <c r="W28" s="1"/>
      <c r="X28" s="1"/>
      <c r="Y28" s="1"/>
      <c r="Z28" s="1"/>
    </row>
    <row r="29" spans="16:26" x14ac:dyDescent="0.25">
      <c r="S29" t="e">
        <f>IFERROR(INDEX(Table_Process_Details[[X Start]:[X Intentionally NA]],INT((ROW()-ROW(Table_Arrow_Coords[[#Headers],[Arrow_X]])-1)/4)+1,MOD(ROW()-ROW(Table_Arrow_Coords[[#Headers],[Arrow_X]])-1,4)+1),NA())</f>
        <v>#N/A</v>
      </c>
      <c r="T29" t="e">
        <f>IFERROR(INDEX(Table_Process_Details[[Y Start]:[Y Intentionally NA]],INT((ROW()-ROW(Table_Arrow_Coords[[#Headers],[Arrow_Y]])-1)/4)+1,MOD(ROW()-ROW(Table_Arrow_Coords[[#Headers],[Arrow_Y]])-1,4)+1),NA())</f>
        <v>#N/A</v>
      </c>
      <c r="U29" s="1"/>
      <c r="V29" s="1"/>
      <c r="W29" s="1"/>
      <c r="X29" s="1"/>
      <c r="Y29" s="1"/>
      <c r="Z29" s="1"/>
    </row>
    <row r="30" spans="16:26" x14ac:dyDescent="0.25">
      <c r="S30" t="e">
        <f>IFERROR(INDEX(Table_Process_Details[[X Start]:[X Intentionally NA]],INT((ROW()-ROW(Table_Arrow_Coords[[#Headers],[Arrow_X]])-1)/4)+1,MOD(ROW()-ROW(Table_Arrow_Coords[[#Headers],[Arrow_X]])-1,4)+1),NA())</f>
        <v>#N/A</v>
      </c>
      <c r="T30" t="e">
        <f>IFERROR(INDEX(Table_Process_Details[[Y Start]:[Y Intentionally NA]],INT((ROW()-ROW(Table_Arrow_Coords[[#Headers],[Arrow_Y]])-1)/4)+1,MOD(ROW()-ROW(Table_Arrow_Coords[[#Headers],[Arrow_Y]])-1,4)+1),NA())</f>
        <v>#N/A</v>
      </c>
      <c r="U30" s="1"/>
      <c r="V30" s="1"/>
      <c r="W30" s="1"/>
      <c r="X30" s="1"/>
      <c r="Y30" s="1"/>
      <c r="Z30" s="1"/>
    </row>
    <row r="31" spans="16:26" x14ac:dyDescent="0.25">
      <c r="S31" t="e">
        <f>IFERROR(INDEX(Table_Process_Details[[X Start]:[X Intentionally NA]],INT((ROW()-ROW(Table_Arrow_Coords[[#Headers],[Arrow_X]])-1)/4)+1,MOD(ROW()-ROW(Table_Arrow_Coords[[#Headers],[Arrow_X]])-1,4)+1),NA())</f>
        <v>#N/A</v>
      </c>
      <c r="T31" t="e">
        <f>IFERROR(INDEX(Table_Process_Details[[Y Start]:[Y Intentionally NA]],INT((ROW()-ROW(Table_Arrow_Coords[[#Headers],[Arrow_Y]])-1)/4)+1,MOD(ROW()-ROW(Table_Arrow_Coords[[#Headers],[Arrow_Y]])-1,4)+1),NA())</f>
        <v>#N/A</v>
      </c>
      <c r="U31" s="1"/>
      <c r="V31" s="1"/>
      <c r="W31" s="1"/>
      <c r="X31" s="1"/>
      <c r="Y31" s="1"/>
      <c r="Z31" s="1"/>
    </row>
    <row r="32" spans="16:26" x14ac:dyDescent="0.25">
      <c r="S32" t="e">
        <f>IFERROR(INDEX(Table_Process_Details[[X Start]:[X Intentionally NA]],INT((ROW()-ROW(Table_Arrow_Coords[[#Headers],[Arrow_X]])-1)/4)+1,MOD(ROW()-ROW(Table_Arrow_Coords[[#Headers],[Arrow_X]])-1,4)+1),NA())</f>
        <v>#N/A</v>
      </c>
      <c r="T32" t="e">
        <f>IFERROR(INDEX(Table_Process_Details[[Y Start]:[Y Intentionally NA]],INT((ROW()-ROW(Table_Arrow_Coords[[#Headers],[Arrow_Y]])-1)/4)+1,MOD(ROW()-ROW(Table_Arrow_Coords[[#Headers],[Arrow_Y]])-1,4)+1),NA())</f>
        <v>#N/A</v>
      </c>
      <c r="U32" s="1"/>
      <c r="V32" s="1"/>
      <c r="W32" s="1"/>
      <c r="X32" s="1"/>
      <c r="Y32" s="1"/>
      <c r="Z32" s="1"/>
    </row>
    <row r="33" spans="19:26" x14ac:dyDescent="0.25">
      <c r="S33" t="e">
        <f>IFERROR(INDEX(Table_Process_Details[[X Start]:[X Intentionally NA]],INT((ROW()-ROW(Table_Arrow_Coords[[#Headers],[Arrow_X]])-1)/4)+1,MOD(ROW()-ROW(Table_Arrow_Coords[[#Headers],[Arrow_X]])-1,4)+1),NA())</f>
        <v>#N/A</v>
      </c>
      <c r="T33" t="e">
        <f>IFERROR(INDEX(Table_Process_Details[[Y Start]:[Y Intentionally NA]],INT((ROW()-ROW(Table_Arrow_Coords[[#Headers],[Arrow_Y]])-1)/4)+1,MOD(ROW()-ROW(Table_Arrow_Coords[[#Headers],[Arrow_Y]])-1,4)+1),NA())</f>
        <v>#N/A</v>
      </c>
      <c r="U33" s="1"/>
      <c r="V33" s="1"/>
      <c r="W33" s="1"/>
      <c r="X33" s="1"/>
      <c r="Y33" s="1"/>
      <c r="Z33" s="1"/>
    </row>
    <row r="34" spans="19:26" x14ac:dyDescent="0.25">
      <c r="S34" t="e">
        <f>IFERROR(INDEX(Table_Process_Details[[X Start]:[X Intentionally NA]],INT((ROW()-ROW(Table_Arrow_Coords[[#Headers],[Arrow_X]])-1)/4)+1,MOD(ROW()-ROW(Table_Arrow_Coords[[#Headers],[Arrow_X]])-1,4)+1),NA())</f>
        <v>#N/A</v>
      </c>
      <c r="T34" t="e">
        <f>IFERROR(INDEX(Table_Process_Details[[Y Start]:[Y Intentionally NA]],INT((ROW()-ROW(Table_Arrow_Coords[[#Headers],[Arrow_Y]])-1)/4)+1,MOD(ROW()-ROW(Table_Arrow_Coords[[#Headers],[Arrow_Y]])-1,4)+1),NA())</f>
        <v>#N/A</v>
      </c>
      <c r="U34" s="1"/>
      <c r="V34" s="1"/>
      <c r="W34" s="1"/>
      <c r="X34" s="1"/>
      <c r="Y34" s="1"/>
      <c r="Z34" s="1"/>
    </row>
    <row r="35" spans="19:26" x14ac:dyDescent="0.25">
      <c r="S35" t="e">
        <f>IFERROR(INDEX(Table_Process_Details[[X Start]:[X Intentionally NA]],INT((ROW()-ROW(Table_Arrow_Coords[[#Headers],[Arrow_X]])-1)/4)+1,MOD(ROW()-ROW(Table_Arrow_Coords[[#Headers],[Arrow_X]])-1,4)+1),NA())</f>
        <v>#N/A</v>
      </c>
      <c r="T35" t="e">
        <f>IFERROR(INDEX(Table_Process_Details[[Y Start]:[Y Intentionally NA]],INT((ROW()-ROW(Table_Arrow_Coords[[#Headers],[Arrow_Y]])-1)/4)+1,MOD(ROW()-ROW(Table_Arrow_Coords[[#Headers],[Arrow_Y]])-1,4)+1),NA())</f>
        <v>#N/A</v>
      </c>
      <c r="U35" s="1"/>
      <c r="V35" s="1"/>
      <c r="W35" s="1"/>
      <c r="X35" s="1"/>
      <c r="Y35" s="1"/>
      <c r="Z35" s="1"/>
    </row>
    <row r="36" spans="19:26" x14ac:dyDescent="0.25">
      <c r="S36" t="e">
        <f>IFERROR(INDEX(Table_Process_Details[[X Start]:[X Intentionally NA]],INT((ROW()-ROW(Table_Arrow_Coords[[#Headers],[Arrow_X]])-1)/4)+1,MOD(ROW()-ROW(Table_Arrow_Coords[[#Headers],[Arrow_X]])-1,4)+1),NA())</f>
        <v>#N/A</v>
      </c>
      <c r="T36" t="e">
        <f>IFERROR(INDEX(Table_Process_Details[[Y Start]:[Y Intentionally NA]],INT((ROW()-ROW(Table_Arrow_Coords[[#Headers],[Arrow_Y]])-1)/4)+1,MOD(ROW()-ROW(Table_Arrow_Coords[[#Headers],[Arrow_Y]])-1,4)+1),NA())</f>
        <v>#N/A</v>
      </c>
      <c r="U36" s="1"/>
      <c r="V36" s="1"/>
      <c r="W36" s="1"/>
      <c r="X36" s="1"/>
      <c r="Y36" s="1"/>
      <c r="Z36" s="1"/>
    </row>
    <row r="37" spans="19:26" x14ac:dyDescent="0.25">
      <c r="S37" t="e">
        <f>IFERROR(INDEX(Table_Process_Details[[X Start]:[X Intentionally NA]],INT((ROW()-ROW(Table_Arrow_Coords[[#Headers],[Arrow_X]])-1)/4)+1,MOD(ROW()-ROW(Table_Arrow_Coords[[#Headers],[Arrow_X]])-1,4)+1),NA())</f>
        <v>#N/A</v>
      </c>
      <c r="T37" t="e">
        <f>IFERROR(INDEX(Table_Process_Details[[Y Start]:[Y Intentionally NA]],INT((ROW()-ROW(Table_Arrow_Coords[[#Headers],[Arrow_Y]])-1)/4)+1,MOD(ROW()-ROW(Table_Arrow_Coords[[#Headers],[Arrow_Y]])-1,4)+1),NA())</f>
        <v>#N/A</v>
      </c>
      <c r="U37" s="1"/>
      <c r="V37" s="1"/>
      <c r="W37" s="1"/>
      <c r="X37" s="1"/>
      <c r="Y37" s="1"/>
      <c r="Z37" s="1"/>
    </row>
    <row r="38" spans="19:26" x14ac:dyDescent="0.25">
      <c r="S38" t="e">
        <f>IFERROR(INDEX(Table_Process_Details[[X Start]:[X Intentionally NA]],INT((ROW()-ROW(Table_Arrow_Coords[[#Headers],[Arrow_X]])-1)/4)+1,MOD(ROW()-ROW(Table_Arrow_Coords[[#Headers],[Arrow_X]])-1,4)+1),NA())</f>
        <v>#N/A</v>
      </c>
      <c r="T38" t="e">
        <f>IFERROR(INDEX(Table_Process_Details[[Y Start]:[Y Intentionally NA]],INT((ROW()-ROW(Table_Arrow_Coords[[#Headers],[Arrow_Y]])-1)/4)+1,MOD(ROW()-ROW(Table_Arrow_Coords[[#Headers],[Arrow_Y]])-1,4)+1),NA())</f>
        <v>#N/A</v>
      </c>
      <c r="U38" s="1"/>
      <c r="V38" s="1"/>
      <c r="W38" s="1"/>
      <c r="X38" s="1"/>
      <c r="Y38" s="1"/>
      <c r="Z38" s="1"/>
    </row>
    <row r="39" spans="19:26" x14ac:dyDescent="0.25">
      <c r="S39" t="e">
        <f>IFERROR(INDEX(Table_Process_Details[[X Start]:[X Intentionally NA]],INT((ROW()-ROW(Table_Arrow_Coords[[#Headers],[Arrow_X]])-1)/4)+1,MOD(ROW()-ROW(Table_Arrow_Coords[[#Headers],[Arrow_X]])-1,4)+1),NA())</f>
        <v>#N/A</v>
      </c>
      <c r="T39" t="e">
        <f>IFERROR(INDEX(Table_Process_Details[[Y Start]:[Y Intentionally NA]],INT((ROW()-ROW(Table_Arrow_Coords[[#Headers],[Arrow_Y]])-1)/4)+1,MOD(ROW()-ROW(Table_Arrow_Coords[[#Headers],[Arrow_Y]])-1,4)+1),NA())</f>
        <v>#N/A</v>
      </c>
      <c r="U39" s="1"/>
      <c r="V39" s="1"/>
      <c r="W39" s="1"/>
      <c r="X39" s="1"/>
      <c r="Y39" s="1"/>
      <c r="Z39" s="1"/>
    </row>
    <row r="40" spans="19:26" x14ac:dyDescent="0.25">
      <c r="S40" t="e">
        <f>IFERROR(INDEX(Table_Process_Details[[X Start]:[X Intentionally NA]],INT((ROW()-ROW(Table_Arrow_Coords[[#Headers],[Arrow_X]])-1)/4)+1,MOD(ROW()-ROW(Table_Arrow_Coords[[#Headers],[Arrow_X]])-1,4)+1),NA())</f>
        <v>#N/A</v>
      </c>
      <c r="T40" t="e">
        <f>IFERROR(INDEX(Table_Process_Details[[Y Start]:[Y Intentionally NA]],INT((ROW()-ROW(Table_Arrow_Coords[[#Headers],[Arrow_Y]])-1)/4)+1,MOD(ROW()-ROW(Table_Arrow_Coords[[#Headers],[Arrow_Y]])-1,4)+1),NA())</f>
        <v>#N/A</v>
      </c>
      <c r="U40" s="1"/>
      <c r="V40" s="1"/>
      <c r="W40" s="1"/>
      <c r="X40" s="1"/>
      <c r="Y40" s="1"/>
      <c r="Z40" s="1"/>
    </row>
    <row r="41" spans="19:26" x14ac:dyDescent="0.25">
      <c r="S41" t="e">
        <f>IFERROR(INDEX(Table_Process_Details[[X Start]:[X Intentionally NA]],INT((ROW()-ROW(Table_Arrow_Coords[[#Headers],[Arrow_X]])-1)/4)+1,MOD(ROW()-ROW(Table_Arrow_Coords[[#Headers],[Arrow_X]])-1,4)+1),NA())</f>
        <v>#N/A</v>
      </c>
      <c r="T41" t="e">
        <f>IFERROR(INDEX(Table_Process_Details[[Y Start]:[Y Intentionally NA]],INT((ROW()-ROW(Table_Arrow_Coords[[#Headers],[Arrow_Y]])-1)/4)+1,MOD(ROW()-ROW(Table_Arrow_Coords[[#Headers],[Arrow_Y]])-1,4)+1),NA())</f>
        <v>#N/A</v>
      </c>
      <c r="U41" s="1"/>
      <c r="V41" s="1"/>
      <c r="W41" s="1"/>
      <c r="X41" s="1"/>
      <c r="Y41" s="1"/>
      <c r="Z41" s="1"/>
    </row>
    <row r="42" spans="19:26" x14ac:dyDescent="0.25">
      <c r="S42" t="e">
        <f>IFERROR(INDEX(Table_Process_Details[[X Start]:[X Intentionally NA]],INT((ROW()-ROW(Table_Arrow_Coords[[#Headers],[Arrow_X]])-1)/4)+1,MOD(ROW()-ROW(Table_Arrow_Coords[[#Headers],[Arrow_X]])-1,4)+1),NA())</f>
        <v>#N/A</v>
      </c>
      <c r="T42" t="e">
        <f>IFERROR(INDEX(Table_Process_Details[[Y Start]:[Y Intentionally NA]],INT((ROW()-ROW(Table_Arrow_Coords[[#Headers],[Arrow_Y]])-1)/4)+1,MOD(ROW()-ROW(Table_Arrow_Coords[[#Headers],[Arrow_Y]])-1,4)+1),NA())</f>
        <v>#N/A</v>
      </c>
      <c r="U42" s="1"/>
      <c r="V42" s="1"/>
      <c r="W42" s="1"/>
      <c r="X42" s="1"/>
      <c r="Y42" s="1"/>
      <c r="Z42" s="1"/>
    </row>
    <row r="43" spans="19:26" x14ac:dyDescent="0.25">
      <c r="S43" t="e">
        <f>IFERROR(INDEX(Table_Process_Details[[X Start]:[X Intentionally NA]],INT((ROW()-ROW(Table_Arrow_Coords[[#Headers],[Arrow_X]])-1)/4)+1,MOD(ROW()-ROW(Table_Arrow_Coords[[#Headers],[Arrow_X]])-1,4)+1),NA())</f>
        <v>#N/A</v>
      </c>
      <c r="T43" t="e">
        <f>IFERROR(INDEX(Table_Process_Details[[Y Start]:[Y Intentionally NA]],INT((ROW()-ROW(Table_Arrow_Coords[[#Headers],[Arrow_Y]])-1)/4)+1,MOD(ROW()-ROW(Table_Arrow_Coords[[#Headers],[Arrow_Y]])-1,4)+1),NA())</f>
        <v>#N/A</v>
      </c>
      <c r="U43" s="1"/>
      <c r="V43" s="1"/>
      <c r="W43" s="1"/>
      <c r="X43" s="1"/>
      <c r="Y43" s="1"/>
      <c r="Z43" s="1"/>
    </row>
    <row r="44" spans="19:26" x14ac:dyDescent="0.25">
      <c r="S44" t="e">
        <f>IFERROR(INDEX(Table_Process_Details[[X Start]:[X Intentionally NA]],INT((ROW()-ROW(Table_Arrow_Coords[[#Headers],[Arrow_X]])-1)/4)+1,MOD(ROW()-ROW(Table_Arrow_Coords[[#Headers],[Arrow_X]])-1,4)+1),NA())</f>
        <v>#N/A</v>
      </c>
      <c r="T44" t="e">
        <f>IFERROR(INDEX(Table_Process_Details[[Y Start]:[Y Intentionally NA]],INT((ROW()-ROW(Table_Arrow_Coords[[#Headers],[Arrow_Y]])-1)/4)+1,MOD(ROW()-ROW(Table_Arrow_Coords[[#Headers],[Arrow_Y]])-1,4)+1),NA())</f>
        <v>#N/A</v>
      </c>
      <c r="U44" s="1"/>
      <c r="V44" s="1"/>
      <c r="W44" s="1"/>
      <c r="X44" s="1"/>
      <c r="Y44" s="1"/>
      <c r="Z44" s="1"/>
    </row>
    <row r="45" spans="19:26" x14ac:dyDescent="0.25">
      <c r="S45" t="e">
        <f>IFERROR(INDEX(Table_Process_Details[[X Start]:[X Intentionally NA]],INT((ROW()-ROW(Table_Arrow_Coords[[#Headers],[Arrow_X]])-1)/4)+1,MOD(ROW()-ROW(Table_Arrow_Coords[[#Headers],[Arrow_X]])-1,4)+1),NA())</f>
        <v>#N/A</v>
      </c>
      <c r="T45" t="e">
        <f>IFERROR(INDEX(Table_Process_Details[[Y Start]:[Y Intentionally NA]],INT((ROW()-ROW(Table_Arrow_Coords[[#Headers],[Arrow_Y]])-1)/4)+1,MOD(ROW()-ROW(Table_Arrow_Coords[[#Headers],[Arrow_Y]])-1,4)+1),NA())</f>
        <v>#N/A</v>
      </c>
      <c r="U45" s="1"/>
      <c r="V45" s="1"/>
      <c r="W45" s="1"/>
      <c r="X45" s="1"/>
      <c r="Y45" s="1"/>
      <c r="Z45" s="1"/>
    </row>
    <row r="46" spans="19:26" x14ac:dyDescent="0.25">
      <c r="S46" t="e">
        <f>IFERROR(INDEX(Table_Process_Details[[X Start]:[X Intentionally NA]],INT((ROW()-ROW(Table_Arrow_Coords[[#Headers],[Arrow_X]])-1)/4)+1,MOD(ROW()-ROW(Table_Arrow_Coords[[#Headers],[Arrow_X]])-1,4)+1),NA())</f>
        <v>#N/A</v>
      </c>
      <c r="T46" t="e">
        <f>IFERROR(INDEX(Table_Process_Details[[Y Start]:[Y Intentionally NA]],INT((ROW()-ROW(Table_Arrow_Coords[[#Headers],[Arrow_Y]])-1)/4)+1,MOD(ROW()-ROW(Table_Arrow_Coords[[#Headers],[Arrow_Y]])-1,4)+1),NA())</f>
        <v>#N/A</v>
      </c>
      <c r="U46" s="1"/>
      <c r="V46" s="1"/>
      <c r="W46" s="1"/>
      <c r="X46" s="1"/>
      <c r="Y46" s="1"/>
      <c r="Z46" s="1"/>
    </row>
    <row r="47" spans="19:26" x14ac:dyDescent="0.25">
      <c r="S47" t="e">
        <f>IFERROR(INDEX(Table_Process_Details[[X Start]:[X Intentionally NA]],INT((ROW()-ROW(Table_Arrow_Coords[[#Headers],[Arrow_X]])-1)/4)+1,MOD(ROW()-ROW(Table_Arrow_Coords[[#Headers],[Arrow_X]])-1,4)+1),NA())</f>
        <v>#N/A</v>
      </c>
      <c r="T47" t="e">
        <f>IFERROR(INDEX(Table_Process_Details[[Y Start]:[Y Intentionally NA]],INT((ROW()-ROW(Table_Arrow_Coords[[#Headers],[Arrow_Y]])-1)/4)+1,MOD(ROW()-ROW(Table_Arrow_Coords[[#Headers],[Arrow_Y]])-1,4)+1),NA())</f>
        <v>#N/A</v>
      </c>
      <c r="U47" s="1"/>
      <c r="V47" s="1"/>
      <c r="W47" s="1"/>
      <c r="X47" s="1"/>
      <c r="Y47" s="1"/>
      <c r="Z47" s="1"/>
    </row>
    <row r="48" spans="19:26" x14ac:dyDescent="0.25">
      <c r="S48" t="e">
        <f>IFERROR(INDEX(Table_Process_Details[[X Start]:[X Intentionally NA]],INT((ROW()-ROW(Table_Arrow_Coords[[#Headers],[Arrow_X]])-1)/4)+1,MOD(ROW()-ROW(Table_Arrow_Coords[[#Headers],[Arrow_X]])-1,4)+1),NA())</f>
        <v>#N/A</v>
      </c>
      <c r="T48" t="e">
        <f>IFERROR(INDEX(Table_Process_Details[[Y Start]:[Y Intentionally NA]],INT((ROW()-ROW(Table_Arrow_Coords[[#Headers],[Arrow_Y]])-1)/4)+1,MOD(ROW()-ROW(Table_Arrow_Coords[[#Headers],[Arrow_Y]])-1,4)+1),NA())</f>
        <v>#N/A</v>
      </c>
      <c r="U48" s="1"/>
      <c r="V48" s="1"/>
      <c r="W48" s="1"/>
      <c r="X48" s="1"/>
      <c r="Y48" s="1"/>
      <c r="Z48" s="1"/>
    </row>
    <row r="49" spans="19:26" x14ac:dyDescent="0.25">
      <c r="S49" t="e">
        <f>IFERROR(INDEX(Table_Process_Details[[X Start]:[X Intentionally NA]],INT((ROW()-ROW(Table_Arrow_Coords[[#Headers],[Arrow_X]])-1)/4)+1,MOD(ROW()-ROW(Table_Arrow_Coords[[#Headers],[Arrow_X]])-1,4)+1),NA())</f>
        <v>#N/A</v>
      </c>
      <c r="T49" t="e">
        <f>IFERROR(INDEX(Table_Process_Details[[Y Start]:[Y Intentionally NA]],INT((ROW()-ROW(Table_Arrow_Coords[[#Headers],[Arrow_Y]])-1)/4)+1,MOD(ROW()-ROW(Table_Arrow_Coords[[#Headers],[Arrow_Y]])-1,4)+1),NA())</f>
        <v>#N/A</v>
      </c>
      <c r="U49" s="1"/>
      <c r="V49" s="1"/>
      <c r="W49" s="1"/>
      <c r="X49" s="1"/>
      <c r="Y49" s="1"/>
      <c r="Z49" s="1"/>
    </row>
    <row r="50" spans="19:26" x14ac:dyDescent="0.25">
      <c r="S50" t="e">
        <f>IFERROR(INDEX(Table_Process_Details[[X Start]:[X Intentionally NA]],INT((ROW()-ROW(Table_Arrow_Coords[[#Headers],[Arrow_X]])-1)/4)+1,MOD(ROW()-ROW(Table_Arrow_Coords[[#Headers],[Arrow_X]])-1,4)+1),NA())</f>
        <v>#N/A</v>
      </c>
      <c r="T50" t="e">
        <f>IFERROR(INDEX(Table_Process_Details[[Y Start]:[Y Intentionally NA]],INT((ROW()-ROW(Table_Arrow_Coords[[#Headers],[Arrow_Y]])-1)/4)+1,MOD(ROW()-ROW(Table_Arrow_Coords[[#Headers],[Arrow_Y]])-1,4)+1),NA())</f>
        <v>#N/A</v>
      </c>
      <c r="U50" s="1"/>
      <c r="V50" s="1"/>
      <c r="W50" s="1"/>
      <c r="X50" s="1"/>
      <c r="Y50" s="1"/>
      <c r="Z50" s="1"/>
    </row>
    <row r="51" spans="19:26" x14ac:dyDescent="0.25">
      <c r="S51" t="e">
        <f>IFERROR(INDEX(Table_Process_Details[[X Start]:[X Intentionally NA]],INT((ROW()-ROW(Table_Arrow_Coords[[#Headers],[Arrow_X]])-1)/4)+1,MOD(ROW()-ROW(Table_Arrow_Coords[[#Headers],[Arrow_X]])-1,4)+1),NA())</f>
        <v>#N/A</v>
      </c>
      <c r="T51" t="e">
        <f>IFERROR(INDEX(Table_Process_Details[[Y Start]:[Y Intentionally NA]],INT((ROW()-ROW(Table_Arrow_Coords[[#Headers],[Arrow_Y]])-1)/4)+1,MOD(ROW()-ROW(Table_Arrow_Coords[[#Headers],[Arrow_Y]])-1,4)+1),NA())</f>
        <v>#N/A</v>
      </c>
      <c r="U51" s="1"/>
      <c r="V51" s="1"/>
      <c r="W51" s="1"/>
      <c r="X51" s="1"/>
      <c r="Y51" s="1"/>
      <c r="Z51" s="1"/>
    </row>
    <row r="52" spans="19:26" x14ac:dyDescent="0.25">
      <c r="S52" t="e">
        <f>IFERROR(INDEX(Table_Process_Details[[X Start]:[X Intentionally NA]],INT((ROW()-ROW(Table_Arrow_Coords[[#Headers],[Arrow_X]])-1)/4)+1,MOD(ROW()-ROW(Table_Arrow_Coords[[#Headers],[Arrow_X]])-1,4)+1),NA())</f>
        <v>#N/A</v>
      </c>
      <c r="T52" t="e">
        <f>IFERROR(INDEX(Table_Process_Details[[Y Start]:[Y Intentionally NA]],INT((ROW()-ROW(Table_Arrow_Coords[[#Headers],[Arrow_Y]])-1)/4)+1,MOD(ROW()-ROW(Table_Arrow_Coords[[#Headers],[Arrow_Y]])-1,4)+1),NA())</f>
        <v>#N/A</v>
      </c>
      <c r="U52" s="1"/>
      <c r="V52" s="1"/>
      <c r="W52" s="1"/>
      <c r="X52" s="1"/>
      <c r="Y52" s="1"/>
      <c r="Z52" s="1"/>
    </row>
    <row r="53" spans="19:26" x14ac:dyDescent="0.25">
      <c r="S53" t="e">
        <f>IFERROR(INDEX(Table_Process_Details[[X Start]:[X Intentionally NA]],INT((ROW()-ROW(Table_Arrow_Coords[[#Headers],[Arrow_X]])-1)/4)+1,MOD(ROW()-ROW(Table_Arrow_Coords[[#Headers],[Arrow_X]])-1,4)+1),NA())</f>
        <v>#N/A</v>
      </c>
      <c r="T53" t="e">
        <f>IFERROR(INDEX(Table_Process_Details[[Y Start]:[Y Intentionally NA]],INT((ROW()-ROW(Table_Arrow_Coords[[#Headers],[Arrow_Y]])-1)/4)+1,MOD(ROW()-ROW(Table_Arrow_Coords[[#Headers],[Arrow_Y]])-1,4)+1),NA())</f>
        <v>#N/A</v>
      </c>
      <c r="U53" s="1"/>
      <c r="V53" s="1"/>
      <c r="W53" s="1"/>
      <c r="X53" s="1"/>
      <c r="Y53" s="1"/>
      <c r="Z53" s="1"/>
    </row>
    <row r="54" spans="19:26" x14ac:dyDescent="0.25">
      <c r="S54" t="e">
        <f>IFERROR(INDEX(Table_Process_Details[[X Start]:[X Intentionally NA]],INT((ROW()-ROW(Table_Arrow_Coords[[#Headers],[Arrow_X]])-1)/4)+1,MOD(ROW()-ROW(Table_Arrow_Coords[[#Headers],[Arrow_X]])-1,4)+1),NA())</f>
        <v>#N/A</v>
      </c>
      <c r="T54" t="e">
        <f>IFERROR(INDEX(Table_Process_Details[[Y Start]:[Y Intentionally NA]],INT((ROW()-ROW(Table_Arrow_Coords[[#Headers],[Arrow_Y]])-1)/4)+1,MOD(ROW()-ROW(Table_Arrow_Coords[[#Headers],[Arrow_Y]])-1,4)+1),NA())</f>
        <v>#N/A</v>
      </c>
      <c r="U54" s="1"/>
      <c r="V54" s="1"/>
      <c r="W54" s="1"/>
      <c r="X54" s="1"/>
      <c r="Y54" s="1"/>
      <c r="Z54" s="1"/>
    </row>
    <row r="55" spans="19:26" x14ac:dyDescent="0.25">
      <c r="S55" t="e">
        <f>IFERROR(INDEX(Table_Process_Details[[X Start]:[X Intentionally NA]],INT((ROW()-ROW(Table_Arrow_Coords[[#Headers],[Arrow_X]])-1)/4)+1,MOD(ROW()-ROW(Table_Arrow_Coords[[#Headers],[Arrow_X]])-1,4)+1),NA())</f>
        <v>#N/A</v>
      </c>
      <c r="T55" t="e">
        <f>IFERROR(INDEX(Table_Process_Details[[Y Start]:[Y Intentionally NA]],INT((ROW()-ROW(Table_Arrow_Coords[[#Headers],[Arrow_Y]])-1)/4)+1,MOD(ROW()-ROW(Table_Arrow_Coords[[#Headers],[Arrow_Y]])-1,4)+1),NA())</f>
        <v>#N/A</v>
      </c>
      <c r="U55" s="1"/>
      <c r="V55" s="1"/>
      <c r="W55" s="1"/>
      <c r="X55" s="1"/>
      <c r="Y55" s="1"/>
      <c r="Z55" s="1"/>
    </row>
    <row r="56" spans="19:26" x14ac:dyDescent="0.25">
      <c r="S56" t="e">
        <f>IFERROR(INDEX(Table_Process_Details[[X Start]:[X Intentionally NA]],INT((ROW()-ROW(Table_Arrow_Coords[[#Headers],[Arrow_X]])-1)/4)+1,MOD(ROW()-ROW(Table_Arrow_Coords[[#Headers],[Arrow_X]])-1,4)+1),NA())</f>
        <v>#N/A</v>
      </c>
      <c r="T56" t="e">
        <f>IFERROR(INDEX(Table_Process_Details[[Y Start]:[Y Intentionally NA]],INT((ROW()-ROW(Table_Arrow_Coords[[#Headers],[Arrow_Y]])-1)/4)+1,MOD(ROW()-ROW(Table_Arrow_Coords[[#Headers],[Arrow_Y]])-1,4)+1),NA())</f>
        <v>#N/A</v>
      </c>
      <c r="U56" s="1"/>
      <c r="V56" s="1"/>
      <c r="W56" s="1"/>
      <c r="X56" s="1"/>
      <c r="Y56" s="1"/>
      <c r="Z56" s="1"/>
    </row>
    <row r="57" spans="19:26" x14ac:dyDescent="0.25">
      <c r="S57" t="e">
        <f>IFERROR(INDEX(Table_Process_Details[[X Start]:[X Intentionally NA]],INT((ROW()-ROW(Table_Arrow_Coords[[#Headers],[Arrow_X]])-1)/4)+1,MOD(ROW()-ROW(Table_Arrow_Coords[[#Headers],[Arrow_X]])-1,4)+1),NA())</f>
        <v>#N/A</v>
      </c>
      <c r="T57" t="e">
        <f>IFERROR(INDEX(Table_Process_Details[[Y Start]:[Y Intentionally NA]],INT((ROW()-ROW(Table_Arrow_Coords[[#Headers],[Arrow_Y]])-1)/4)+1,MOD(ROW()-ROW(Table_Arrow_Coords[[#Headers],[Arrow_Y]])-1,4)+1),NA())</f>
        <v>#N/A</v>
      </c>
      <c r="U57" s="1"/>
      <c r="V57" s="1"/>
      <c r="W57" s="1"/>
      <c r="X57" s="1"/>
      <c r="Y57" s="1"/>
      <c r="Z57" s="1"/>
    </row>
    <row r="58" spans="19:26" x14ac:dyDescent="0.25">
      <c r="S58" t="e">
        <f>IFERROR(INDEX(Table_Process_Details[[X Start]:[X Intentionally NA]],INT((ROW()-ROW(Table_Arrow_Coords[[#Headers],[Arrow_X]])-1)/4)+1,MOD(ROW()-ROW(Table_Arrow_Coords[[#Headers],[Arrow_X]])-1,4)+1),NA())</f>
        <v>#N/A</v>
      </c>
      <c r="T58" t="e">
        <f>IFERROR(INDEX(Table_Process_Details[[Y Start]:[Y Intentionally NA]],INT((ROW()-ROW(Table_Arrow_Coords[[#Headers],[Arrow_Y]])-1)/4)+1,MOD(ROW()-ROW(Table_Arrow_Coords[[#Headers],[Arrow_Y]])-1,4)+1),NA())</f>
        <v>#N/A</v>
      </c>
      <c r="U58" s="1"/>
      <c r="V58" s="1"/>
      <c r="W58" s="1"/>
      <c r="X58" s="1"/>
      <c r="Y58" s="1"/>
      <c r="Z58" s="1"/>
    </row>
    <row r="59" spans="19:26" x14ac:dyDescent="0.25">
      <c r="S59" t="e">
        <f>IFERROR(INDEX(Table_Process_Details[[X Start]:[X Intentionally NA]],INT((ROW()-ROW(Table_Arrow_Coords[[#Headers],[Arrow_X]])-1)/4)+1,MOD(ROW()-ROW(Table_Arrow_Coords[[#Headers],[Arrow_X]])-1,4)+1),NA())</f>
        <v>#N/A</v>
      </c>
      <c r="T59" t="e">
        <f>IFERROR(INDEX(Table_Process_Details[[Y Start]:[Y Intentionally NA]],INT((ROW()-ROW(Table_Arrow_Coords[[#Headers],[Arrow_Y]])-1)/4)+1,MOD(ROW()-ROW(Table_Arrow_Coords[[#Headers],[Arrow_Y]])-1,4)+1),NA())</f>
        <v>#N/A</v>
      </c>
      <c r="U59" s="1"/>
      <c r="V59" s="1"/>
      <c r="W59" s="1"/>
      <c r="X59" s="1"/>
      <c r="Y59" s="1"/>
      <c r="Z59" s="1"/>
    </row>
    <row r="60" spans="19:26" x14ac:dyDescent="0.25">
      <c r="S60" t="e">
        <f>IFERROR(INDEX(Table_Process_Details[[X Start]:[X Intentionally NA]],INT((ROW()-ROW(Table_Arrow_Coords[[#Headers],[Arrow_X]])-1)/4)+1,MOD(ROW()-ROW(Table_Arrow_Coords[[#Headers],[Arrow_X]])-1,4)+1),NA())</f>
        <v>#N/A</v>
      </c>
      <c r="T60" t="e">
        <f>IFERROR(INDEX(Table_Process_Details[[Y Start]:[Y Intentionally NA]],INT((ROW()-ROW(Table_Arrow_Coords[[#Headers],[Arrow_Y]])-1)/4)+1,MOD(ROW()-ROW(Table_Arrow_Coords[[#Headers],[Arrow_Y]])-1,4)+1),NA())</f>
        <v>#N/A</v>
      </c>
      <c r="U60" s="1"/>
      <c r="V60" s="1"/>
      <c r="W60" s="1"/>
      <c r="X60" s="1"/>
      <c r="Y60" s="1"/>
      <c r="Z60" s="1"/>
    </row>
    <row r="61" spans="19:26" x14ac:dyDescent="0.25">
      <c r="S61" t="e">
        <f>IFERROR(INDEX(Table_Process_Details[[X Start]:[X Intentionally NA]],INT((ROW()-ROW(Table_Arrow_Coords[[#Headers],[Arrow_X]])-1)/4)+1,MOD(ROW()-ROW(Table_Arrow_Coords[[#Headers],[Arrow_X]])-1,4)+1),NA())</f>
        <v>#N/A</v>
      </c>
      <c r="T61" t="e">
        <f>IFERROR(INDEX(Table_Process_Details[[Y Start]:[Y Intentionally NA]],INT((ROW()-ROW(Table_Arrow_Coords[[#Headers],[Arrow_Y]])-1)/4)+1,MOD(ROW()-ROW(Table_Arrow_Coords[[#Headers],[Arrow_Y]])-1,4)+1),NA())</f>
        <v>#N/A</v>
      </c>
      <c r="U61" s="1"/>
      <c r="V61" s="1"/>
      <c r="W61" s="1"/>
      <c r="X61" s="1"/>
      <c r="Y61" s="1"/>
      <c r="Z61" s="1"/>
    </row>
    <row r="62" spans="19:26" x14ac:dyDescent="0.25">
      <c r="S62" t="e">
        <f>IFERROR(INDEX(Table_Process_Details[[X Start]:[X Intentionally NA]],INT((ROW()-ROW(Table_Arrow_Coords[[#Headers],[Arrow_X]])-1)/4)+1,MOD(ROW()-ROW(Table_Arrow_Coords[[#Headers],[Arrow_X]])-1,4)+1),NA())</f>
        <v>#N/A</v>
      </c>
      <c r="T62" t="e">
        <f>IFERROR(INDEX(Table_Process_Details[[Y Start]:[Y Intentionally NA]],INT((ROW()-ROW(Table_Arrow_Coords[[#Headers],[Arrow_Y]])-1)/4)+1,MOD(ROW()-ROW(Table_Arrow_Coords[[#Headers],[Arrow_Y]])-1,4)+1),NA())</f>
        <v>#N/A</v>
      </c>
      <c r="U62" s="1"/>
      <c r="V62" s="1"/>
      <c r="W62" s="1"/>
      <c r="X62" s="1"/>
      <c r="Y62" s="1"/>
      <c r="Z62" s="1"/>
    </row>
    <row r="63" spans="19:26" x14ac:dyDescent="0.25">
      <c r="S63" t="e">
        <f>IFERROR(INDEX(Table_Process_Details[[X Start]:[X Intentionally NA]],INT((ROW()-ROW(Table_Arrow_Coords[[#Headers],[Arrow_X]])-1)/4)+1,MOD(ROW()-ROW(Table_Arrow_Coords[[#Headers],[Arrow_X]])-1,4)+1),NA())</f>
        <v>#N/A</v>
      </c>
      <c r="T63" t="e">
        <f>IFERROR(INDEX(Table_Process_Details[[Y Start]:[Y Intentionally NA]],INT((ROW()-ROW(Table_Arrow_Coords[[#Headers],[Arrow_Y]])-1)/4)+1,MOD(ROW()-ROW(Table_Arrow_Coords[[#Headers],[Arrow_Y]])-1,4)+1),NA())</f>
        <v>#N/A</v>
      </c>
      <c r="U63" s="1"/>
      <c r="V63" s="1"/>
      <c r="W63" s="1"/>
      <c r="X63" s="1"/>
      <c r="Y63" s="1"/>
      <c r="Z63" s="1"/>
    </row>
    <row r="64" spans="19:26" x14ac:dyDescent="0.25">
      <c r="S64" t="e">
        <f>IFERROR(INDEX(Table_Process_Details[[X Start]:[X Intentionally NA]],INT((ROW()-ROW(Table_Arrow_Coords[[#Headers],[Arrow_X]])-1)/4)+1,MOD(ROW()-ROW(Table_Arrow_Coords[[#Headers],[Arrow_X]])-1,4)+1),NA())</f>
        <v>#N/A</v>
      </c>
      <c r="T64" t="e">
        <f>IFERROR(INDEX(Table_Process_Details[[Y Start]:[Y Intentionally NA]],INT((ROW()-ROW(Table_Arrow_Coords[[#Headers],[Arrow_Y]])-1)/4)+1,MOD(ROW()-ROW(Table_Arrow_Coords[[#Headers],[Arrow_Y]])-1,4)+1),NA())</f>
        <v>#N/A</v>
      </c>
      <c r="U64" s="1"/>
      <c r="V64" s="1"/>
      <c r="W64" s="1"/>
      <c r="X64" s="1"/>
      <c r="Y64" s="1"/>
      <c r="Z64" s="1"/>
    </row>
    <row r="65" spans="19:26" x14ac:dyDescent="0.25">
      <c r="S65" t="e">
        <f>IFERROR(INDEX(Table_Process_Details[[X Start]:[X Intentionally NA]],INT((ROW()-ROW(Table_Arrow_Coords[[#Headers],[Arrow_X]])-1)/4)+1,MOD(ROW()-ROW(Table_Arrow_Coords[[#Headers],[Arrow_X]])-1,4)+1),NA())</f>
        <v>#N/A</v>
      </c>
      <c r="T65" t="e">
        <f>IFERROR(INDEX(Table_Process_Details[[Y Start]:[Y Intentionally NA]],INT((ROW()-ROW(Table_Arrow_Coords[[#Headers],[Arrow_Y]])-1)/4)+1,MOD(ROW()-ROW(Table_Arrow_Coords[[#Headers],[Arrow_Y]])-1,4)+1),NA())</f>
        <v>#N/A</v>
      </c>
      <c r="U65" s="1"/>
      <c r="V65" s="1"/>
      <c r="W65" s="1"/>
      <c r="X65" s="1"/>
      <c r="Y65" s="1"/>
      <c r="Z65" s="1"/>
    </row>
    <row r="66" spans="19:26" x14ac:dyDescent="0.25">
      <c r="S66" t="e">
        <f>IFERROR(INDEX(Table_Process_Details[[X Start]:[X Intentionally NA]],INT((ROW()-ROW(Table_Arrow_Coords[[#Headers],[Arrow_X]])-1)/4)+1,MOD(ROW()-ROW(Table_Arrow_Coords[[#Headers],[Arrow_X]])-1,4)+1),NA())</f>
        <v>#N/A</v>
      </c>
      <c r="T66" t="e">
        <f>IFERROR(INDEX(Table_Process_Details[[Y Start]:[Y Intentionally NA]],INT((ROW()-ROW(Table_Arrow_Coords[[#Headers],[Arrow_Y]])-1)/4)+1,MOD(ROW()-ROW(Table_Arrow_Coords[[#Headers],[Arrow_Y]])-1,4)+1),NA())</f>
        <v>#N/A</v>
      </c>
      <c r="U66" s="1"/>
      <c r="V66" s="1"/>
      <c r="W66" s="1"/>
      <c r="X66" s="1"/>
      <c r="Y66" s="1"/>
      <c r="Z66" s="1"/>
    </row>
    <row r="67" spans="19:26" x14ac:dyDescent="0.25">
      <c r="S67">
        <f ca="1">IFERROR(INDEX(Table_Process_Details[[X Start]:[X Intentionally NA]],INT((ROW()-ROW(Table_Arrow_Coords[[#Headers],[Arrow_X]])-1)/4)+1,MOD(ROW()-ROW(Table_Arrow_Coords[[#Headers],[Arrow_X]])-1,4)+1),NA())</f>
        <v>14.989868850382683</v>
      </c>
      <c r="T67">
        <f ca="1">IFERROR(INDEX(Table_Process_Details[[Y Start]:[Y Intentionally NA]],INT((ROW()-ROW(Table_Arrow_Coords[[#Headers],[Arrow_Y]])-1)/4)+1,MOD(ROW()-ROW(Table_Arrow_Coords[[#Headers],[Arrow_Y]])-1,4)+1),NA())</f>
        <v>23.62796102157942</v>
      </c>
      <c r="U67" s="1"/>
      <c r="V67" s="1"/>
      <c r="W67" s="1"/>
      <c r="X67" s="1"/>
      <c r="Y67" s="1"/>
      <c r="Z67" s="1"/>
    </row>
    <row r="68" spans="19:26" x14ac:dyDescent="0.25">
      <c r="S68">
        <f ca="1">IFERROR(INDEX(Table_Process_Details[[X Start]:[X Intentionally NA]],INT((ROW()-ROW(Table_Arrow_Coords[[#Headers],[Arrow_X]])-1)/4)+1,MOD(ROW()-ROW(Table_Arrow_Coords[[#Headers],[Arrow_X]])-1,4)+1),NA())</f>
        <v>13.394963464056561</v>
      </c>
      <c r="T68">
        <f ca="1">IFERROR(INDEX(Table_Process_Details[[Y Start]:[Y Intentionally NA]],INT((ROW()-ROW(Table_Arrow_Coords[[#Headers],[Arrow_Y]])-1)/4)+1,MOD(ROW()-ROW(Table_Arrow_Coords[[#Headers],[Arrow_Y]])-1,4)+1),NA())</f>
        <v>21.049369113675596</v>
      </c>
      <c r="U68" s="1"/>
      <c r="V68" s="1"/>
      <c r="W68" s="1"/>
      <c r="X68" s="1"/>
      <c r="Y68" s="1"/>
      <c r="Z68" s="1"/>
    </row>
    <row r="69" spans="19:26" x14ac:dyDescent="0.25">
      <c r="S69" t="e">
        <f>IFERROR(INDEX(Table_Process_Details[[X Start]:[X Intentionally NA]],INT((ROW()-ROW(Table_Arrow_Coords[[#Headers],[Arrow_X]])-1)/4)+1,MOD(ROW()-ROW(Table_Arrow_Coords[[#Headers],[Arrow_X]])-1,4)+1),NA())</f>
        <v>#N/A</v>
      </c>
      <c r="T69" t="e">
        <f>IFERROR(INDEX(Table_Process_Details[[Y Start]:[Y Intentionally NA]],INT((ROW()-ROW(Table_Arrow_Coords[[#Headers],[Arrow_Y]])-1)/4)+1,MOD(ROW()-ROW(Table_Arrow_Coords[[#Headers],[Arrow_Y]])-1,4)+1),NA())</f>
        <v>#N/A</v>
      </c>
      <c r="U69" s="1"/>
      <c r="V69" s="1"/>
      <c r="W69" s="1"/>
      <c r="X69" s="1"/>
      <c r="Y69" s="1"/>
      <c r="Z69" s="1"/>
    </row>
    <row r="70" spans="19:26" x14ac:dyDescent="0.25">
      <c r="S70" t="e">
        <f>IFERROR(INDEX(Table_Process_Details[[X Start]:[X Intentionally NA]],INT((ROW()-ROW(Table_Arrow_Coords[[#Headers],[Arrow_X]])-1)/4)+1,MOD(ROW()-ROW(Table_Arrow_Coords[[#Headers],[Arrow_X]])-1,4)+1),NA())</f>
        <v>#N/A</v>
      </c>
      <c r="T70" t="e">
        <f>IFERROR(INDEX(Table_Process_Details[[Y Start]:[Y Intentionally NA]],INT((ROW()-ROW(Table_Arrow_Coords[[#Headers],[Arrow_Y]])-1)/4)+1,MOD(ROW()-ROW(Table_Arrow_Coords[[#Headers],[Arrow_Y]])-1,4)+1),NA())</f>
        <v>#N/A</v>
      </c>
      <c r="U70" s="1"/>
      <c r="V70" s="1"/>
      <c r="W70" s="1"/>
      <c r="X70" s="1"/>
      <c r="Y70" s="1"/>
      <c r="Z70" s="1"/>
    </row>
    <row r="71" spans="19:26" x14ac:dyDescent="0.25">
      <c r="S71">
        <f ca="1">IFERROR(INDEX(Table_Process_Details[[X Start]:[X Intentionally NA]],INT((ROW()-ROW(Table_Arrow_Coords[[#Headers],[Arrow_X]])-1)/4)+1,MOD(ROW()-ROW(Table_Arrow_Coords[[#Headers],[Arrow_X]])-1,4)+1),NA())</f>
        <v>16.833467162144437</v>
      </c>
      <c r="T71">
        <f ca="1">IFERROR(INDEX(Table_Process_Details[[Y Start]:[Y Intentionally NA]],INT((ROW()-ROW(Table_Arrow_Coords[[#Headers],[Arrow_Y]])-1)/4)+1,MOD(ROW()-ROW(Table_Arrow_Coords[[#Headers],[Arrow_Y]])-1,4)+1),NA())</f>
        <v>21.182866096260693</v>
      </c>
      <c r="U71" s="1"/>
      <c r="V71" s="1"/>
      <c r="W71" s="1"/>
      <c r="X71" s="1"/>
      <c r="Y71" s="1"/>
      <c r="Z71" s="1"/>
    </row>
    <row r="72" spans="19:26" x14ac:dyDescent="0.25">
      <c r="S72">
        <f ca="1">IFERROR(INDEX(Table_Process_Details[[X Start]:[X Intentionally NA]],INT((ROW()-ROW(Table_Arrow_Coords[[#Headers],[Arrow_X]])-1)/4)+1,MOD(ROW()-ROW(Table_Arrow_Coords[[#Headers],[Arrow_X]])-1,4)+1),NA())</f>
        <v>13.756923670421255</v>
      </c>
      <c r="T72">
        <f ca="1">IFERROR(INDEX(Table_Process_Details[[Y Start]:[Y Intentionally NA]],INT((ROW()-ROW(Table_Arrow_Coords[[#Headers],[Arrow_Y]])-1)/4)+1,MOD(ROW()-ROW(Table_Arrow_Coords[[#Headers],[Arrow_Y]])-1,4)+1),NA())</f>
        <v>20.534072257021059</v>
      </c>
      <c r="U72" s="1"/>
      <c r="V72" s="1"/>
      <c r="W72" s="1"/>
      <c r="X72" s="1"/>
      <c r="Y72" s="1"/>
      <c r="Z72" s="1"/>
    </row>
    <row r="73" spans="19:26" x14ac:dyDescent="0.25">
      <c r="S73" t="e">
        <f>IFERROR(INDEX(Table_Process_Details[[X Start]:[X Intentionally NA]],INT((ROW()-ROW(Table_Arrow_Coords[[#Headers],[Arrow_X]])-1)/4)+1,MOD(ROW()-ROW(Table_Arrow_Coords[[#Headers],[Arrow_X]])-1,4)+1),NA())</f>
        <v>#N/A</v>
      </c>
      <c r="T73" t="e">
        <f>IFERROR(INDEX(Table_Process_Details[[Y Start]:[Y Intentionally NA]],INT((ROW()-ROW(Table_Arrow_Coords[[#Headers],[Arrow_Y]])-1)/4)+1,MOD(ROW()-ROW(Table_Arrow_Coords[[#Headers],[Arrow_Y]])-1,4)+1),NA())</f>
        <v>#N/A</v>
      </c>
      <c r="U73" s="1"/>
      <c r="V73" s="1"/>
      <c r="W73" s="1"/>
      <c r="X73" s="1"/>
      <c r="Y73" s="1"/>
      <c r="Z73" s="1"/>
    </row>
    <row r="74" spans="19:26" x14ac:dyDescent="0.25">
      <c r="S74" t="e">
        <f>IFERROR(INDEX(Table_Process_Details[[X Start]:[X Intentionally NA]],INT((ROW()-ROW(Table_Arrow_Coords[[#Headers],[Arrow_X]])-1)/4)+1,MOD(ROW()-ROW(Table_Arrow_Coords[[#Headers],[Arrow_X]])-1,4)+1),NA())</f>
        <v>#N/A</v>
      </c>
      <c r="T74" t="e">
        <f>IFERROR(INDEX(Table_Process_Details[[Y Start]:[Y Intentionally NA]],INT((ROW()-ROW(Table_Arrow_Coords[[#Headers],[Arrow_Y]])-1)/4)+1,MOD(ROW()-ROW(Table_Arrow_Coords[[#Headers],[Arrow_Y]])-1,4)+1),NA())</f>
        <v>#N/A</v>
      </c>
      <c r="U74" s="1"/>
      <c r="V74" s="1"/>
      <c r="W74" s="1"/>
      <c r="X74" s="1"/>
      <c r="Y74" s="1"/>
      <c r="Z74" s="1"/>
    </row>
    <row r="75" spans="19:26" x14ac:dyDescent="0.25">
      <c r="S75" t="e">
        <f>IFERROR(INDEX(Table_Process_Details[[X Start]:[X Intentionally NA]],INT((ROW()-ROW(Table_Arrow_Coords[[#Headers],[Arrow_X]])-1)/4)+1,MOD(ROW()-ROW(Table_Arrow_Coords[[#Headers],[Arrow_X]])-1,4)+1),NA())</f>
        <v>#N/A</v>
      </c>
      <c r="T75" t="e">
        <f>IFERROR(INDEX(Table_Process_Details[[Y Start]:[Y Intentionally NA]],INT((ROW()-ROW(Table_Arrow_Coords[[#Headers],[Arrow_Y]])-1)/4)+1,MOD(ROW()-ROW(Table_Arrow_Coords[[#Headers],[Arrow_Y]])-1,4)+1),NA())</f>
        <v>#N/A</v>
      </c>
      <c r="U75" s="1"/>
      <c r="V75" s="1"/>
      <c r="W75" s="1"/>
      <c r="X75" s="1"/>
      <c r="Y75" s="1"/>
      <c r="Z75" s="1"/>
    </row>
    <row r="76" spans="19:26" x14ac:dyDescent="0.25">
      <c r="S76" t="e">
        <f>IFERROR(INDEX(Table_Process_Details[[X Start]:[X Intentionally NA]],INT((ROW()-ROW(Table_Arrow_Coords[[#Headers],[Arrow_X]])-1)/4)+1,MOD(ROW()-ROW(Table_Arrow_Coords[[#Headers],[Arrow_X]])-1,4)+1),NA())</f>
        <v>#N/A</v>
      </c>
      <c r="T76" t="e">
        <f>IFERROR(INDEX(Table_Process_Details[[Y Start]:[Y Intentionally NA]],INT((ROW()-ROW(Table_Arrow_Coords[[#Headers],[Arrow_Y]])-1)/4)+1,MOD(ROW()-ROW(Table_Arrow_Coords[[#Headers],[Arrow_Y]])-1,4)+1),NA())</f>
        <v>#N/A</v>
      </c>
      <c r="U76" s="1"/>
      <c r="V76" s="1"/>
      <c r="W76" s="1"/>
      <c r="X76" s="1"/>
      <c r="Y76" s="1"/>
      <c r="Z76" s="1"/>
    </row>
    <row r="77" spans="19:26" x14ac:dyDescent="0.25">
      <c r="S77" t="e">
        <f>IFERROR(INDEX(Table_Process_Details[[X Start]:[X Intentionally NA]],INT((ROW()-ROW(Table_Arrow_Coords[[#Headers],[Arrow_X]])-1)/4)+1,MOD(ROW()-ROW(Table_Arrow_Coords[[#Headers],[Arrow_X]])-1,4)+1),NA())</f>
        <v>#N/A</v>
      </c>
      <c r="T77" t="e">
        <f>IFERROR(INDEX(Table_Process_Details[[Y Start]:[Y Intentionally NA]],INT((ROW()-ROW(Table_Arrow_Coords[[#Headers],[Arrow_Y]])-1)/4)+1,MOD(ROW()-ROW(Table_Arrow_Coords[[#Headers],[Arrow_Y]])-1,4)+1),NA())</f>
        <v>#N/A</v>
      </c>
      <c r="U77" s="1"/>
      <c r="V77" s="1"/>
      <c r="W77" s="1"/>
      <c r="X77" s="1"/>
      <c r="Y77" s="1"/>
      <c r="Z77" s="1"/>
    </row>
    <row r="78" spans="19:26" x14ac:dyDescent="0.25">
      <c r="S78" t="e">
        <f>IFERROR(INDEX(Table_Process_Details[[X Start]:[X Intentionally NA]],INT((ROW()-ROW(Table_Arrow_Coords[[#Headers],[Arrow_X]])-1)/4)+1,MOD(ROW()-ROW(Table_Arrow_Coords[[#Headers],[Arrow_X]])-1,4)+1),NA())</f>
        <v>#N/A</v>
      </c>
      <c r="T78" t="e">
        <f>IFERROR(INDEX(Table_Process_Details[[Y Start]:[Y Intentionally NA]],INT((ROW()-ROW(Table_Arrow_Coords[[#Headers],[Arrow_Y]])-1)/4)+1,MOD(ROW()-ROW(Table_Arrow_Coords[[#Headers],[Arrow_Y]])-1,4)+1),NA())</f>
        <v>#N/A</v>
      </c>
      <c r="U78" s="1"/>
      <c r="V78" s="1"/>
      <c r="W78" s="1"/>
      <c r="X78" s="1"/>
      <c r="Y78" s="1"/>
      <c r="Z78" s="1"/>
    </row>
    <row r="79" spans="19:26" x14ac:dyDescent="0.25">
      <c r="S79">
        <f ca="1">IFERROR(INDEX(Table_Process_Details[[X Start]:[X Intentionally NA]],INT((ROW()-ROW(Table_Arrow_Coords[[#Headers],[Arrow_X]])-1)/4)+1,MOD(ROW()-ROW(Table_Arrow_Coords[[#Headers],[Arrow_X]])-1,4)+1),NA())</f>
        <v>-3.0565257888541169</v>
      </c>
      <c r="T79">
        <f ca="1">IFERROR(INDEX(Table_Process_Details[[Y Start]:[Y Intentionally NA]],INT((ROW()-ROW(Table_Arrow_Coords[[#Headers],[Arrow_Y]])-1)/4)+1,MOD(ROW()-ROW(Table_Arrow_Coords[[#Headers],[Arrow_Y]])-1,4)+1),NA())</f>
        <v>20.515367174986299</v>
      </c>
      <c r="U79" s="1"/>
      <c r="V79" s="1"/>
      <c r="W79" s="1"/>
      <c r="X79" s="1"/>
      <c r="Y79" s="1"/>
      <c r="Z79" s="1"/>
    </row>
    <row r="80" spans="19:26" x14ac:dyDescent="0.25">
      <c r="S80">
        <f ca="1">IFERROR(INDEX(Table_Process_Details[[X Start]:[X Intentionally NA]],INT((ROW()-ROW(Table_Arrow_Coords[[#Headers],[Arrow_X]])-1)/4)+1,MOD(ROW()-ROW(Table_Arrow_Coords[[#Headers],[Arrow_X]])-1,4)+1),NA())</f>
        <v>1.666378669940773E-2</v>
      </c>
      <c r="T80">
        <f ca="1">IFERROR(INDEX(Table_Process_Details[[Y Start]:[Y Intentionally NA]],INT((ROW()-ROW(Table_Arrow_Coords[[#Headers],[Arrow_Y]])-1)/4)+1,MOD(ROW()-ROW(Table_Arrow_Coords[[#Headers],[Arrow_Y]])-1,4)+1),NA())</f>
        <v>21.346563164085183</v>
      </c>
      <c r="U80" s="1"/>
      <c r="V80" s="1"/>
      <c r="W80" s="1"/>
      <c r="X80" s="1"/>
      <c r="Y80" s="1"/>
      <c r="Z80" s="1"/>
    </row>
    <row r="81" spans="19:26" x14ac:dyDescent="0.25">
      <c r="S81" t="e">
        <f>IFERROR(INDEX(Table_Process_Details[[X Start]:[X Intentionally NA]],INT((ROW()-ROW(Table_Arrow_Coords[[#Headers],[Arrow_X]])-1)/4)+1,MOD(ROW()-ROW(Table_Arrow_Coords[[#Headers],[Arrow_X]])-1,4)+1),NA())</f>
        <v>#N/A</v>
      </c>
      <c r="T81" t="e">
        <f>IFERROR(INDEX(Table_Process_Details[[Y Start]:[Y Intentionally NA]],INT((ROW()-ROW(Table_Arrow_Coords[[#Headers],[Arrow_Y]])-1)/4)+1,MOD(ROW()-ROW(Table_Arrow_Coords[[#Headers],[Arrow_Y]])-1,4)+1),NA())</f>
        <v>#N/A</v>
      </c>
      <c r="U81" s="1"/>
      <c r="V81" s="1"/>
      <c r="W81" s="1"/>
      <c r="X81" s="1"/>
      <c r="Y81" s="1"/>
      <c r="Z81" s="1"/>
    </row>
    <row r="82" spans="19:26" x14ac:dyDescent="0.25">
      <c r="S82" t="e">
        <f>IFERROR(INDEX(Table_Process_Details[[X Start]:[X Intentionally NA]],INT((ROW()-ROW(Table_Arrow_Coords[[#Headers],[Arrow_X]])-1)/4)+1,MOD(ROW()-ROW(Table_Arrow_Coords[[#Headers],[Arrow_X]])-1,4)+1),NA())</f>
        <v>#N/A</v>
      </c>
      <c r="T82" t="e">
        <f>IFERROR(INDEX(Table_Process_Details[[Y Start]:[Y Intentionally NA]],INT((ROW()-ROW(Table_Arrow_Coords[[#Headers],[Arrow_Y]])-1)/4)+1,MOD(ROW()-ROW(Table_Arrow_Coords[[#Headers],[Arrow_Y]])-1,4)+1),NA())</f>
        <v>#N/A</v>
      </c>
      <c r="U82" s="1"/>
      <c r="V82" s="1"/>
      <c r="W82" s="1"/>
      <c r="X82" s="1"/>
      <c r="Y82" s="1"/>
      <c r="Z82" s="1"/>
    </row>
    <row r="83" spans="19:26" x14ac:dyDescent="0.25">
      <c r="S83">
        <f ca="1">IFERROR(INDEX(Table_Process_Details[[X Start]:[X Intentionally NA]],INT((ROW()-ROW(Table_Arrow_Coords[[#Headers],[Arrow_X]])-1)/4)+1,MOD(ROW()-ROW(Table_Arrow_Coords[[#Headers],[Arrow_X]])-1,4)+1),NA())</f>
        <v>0.52648873128632934</v>
      </c>
      <c r="T83">
        <f ca="1">IFERROR(INDEX(Table_Process_Details[[Y Start]:[Y Intentionally NA]],INT((ROW()-ROW(Table_Arrow_Coords[[#Headers],[Arrow_Y]])-1)/4)+1,MOD(ROW()-ROW(Table_Arrow_Coords[[#Headers],[Arrow_Y]])-1,4)+1),NA())</f>
        <v>17.628095706767041</v>
      </c>
      <c r="U83" s="1"/>
      <c r="V83" s="1"/>
      <c r="W83" s="1"/>
      <c r="X83" s="1"/>
      <c r="Y83" s="1"/>
      <c r="Z83" s="1"/>
    </row>
    <row r="84" spans="19:26" x14ac:dyDescent="0.25">
      <c r="S84">
        <f ca="1">IFERROR(INDEX(Table_Process_Details[[X Start]:[X Intentionally NA]],INT((ROW()-ROW(Table_Arrow_Coords[[#Headers],[Arrow_X]])-1)/4)+1,MOD(ROW()-ROW(Table_Arrow_Coords[[#Headers],[Arrow_X]])-1,4)+1),NA())</f>
        <v>0.73557859705521045</v>
      </c>
      <c r="T84">
        <f ca="1">IFERROR(INDEX(Table_Process_Details[[Y Start]:[Y Intentionally NA]],INT((ROW()-ROW(Table_Arrow_Coords[[#Headers],[Arrow_Y]])-1)/4)+1,MOD(ROW()-ROW(Table_Arrow_Coords[[#Headers],[Arrow_Y]])-1,4)+1),NA())</f>
        <v>20.757211921498374</v>
      </c>
      <c r="U84" s="1"/>
      <c r="V84" s="1"/>
      <c r="W84" s="1"/>
      <c r="X84" s="1"/>
      <c r="Y84" s="1"/>
      <c r="Z84" s="1"/>
    </row>
    <row r="85" spans="19:26" x14ac:dyDescent="0.25">
      <c r="S85" t="e">
        <f>IFERROR(INDEX(Table_Process_Details[[X Start]:[X Intentionally NA]],INT((ROW()-ROW(Table_Arrow_Coords[[#Headers],[Arrow_X]])-1)/4)+1,MOD(ROW()-ROW(Table_Arrow_Coords[[#Headers],[Arrow_X]])-1,4)+1),NA())</f>
        <v>#N/A</v>
      </c>
      <c r="T85" t="e">
        <f>IFERROR(INDEX(Table_Process_Details[[Y Start]:[Y Intentionally NA]],INT((ROW()-ROW(Table_Arrow_Coords[[#Headers],[Arrow_Y]])-1)/4)+1,MOD(ROW()-ROW(Table_Arrow_Coords[[#Headers],[Arrow_Y]])-1,4)+1),NA())</f>
        <v>#N/A</v>
      </c>
      <c r="U85" s="1"/>
      <c r="V85" s="1"/>
      <c r="W85" s="1"/>
      <c r="X85" s="1"/>
      <c r="Y85" s="1"/>
      <c r="Z85" s="1"/>
    </row>
    <row r="86" spans="19:26" x14ac:dyDescent="0.25">
      <c r="S86" t="e">
        <f>IFERROR(INDEX(Table_Process_Details[[X Start]:[X Intentionally NA]],INT((ROW()-ROW(Table_Arrow_Coords[[#Headers],[Arrow_X]])-1)/4)+1,MOD(ROW()-ROW(Table_Arrow_Coords[[#Headers],[Arrow_X]])-1,4)+1),NA())</f>
        <v>#N/A</v>
      </c>
      <c r="T86" t="e">
        <f>IFERROR(INDEX(Table_Process_Details[[Y Start]:[Y Intentionally NA]],INT((ROW()-ROW(Table_Arrow_Coords[[#Headers],[Arrow_Y]])-1)/4)+1,MOD(ROW()-ROW(Table_Arrow_Coords[[#Headers],[Arrow_Y]])-1,4)+1),NA())</f>
        <v>#N/A</v>
      </c>
      <c r="U86" s="1"/>
      <c r="V86" s="1"/>
      <c r="W86" s="1"/>
      <c r="X86" s="1"/>
      <c r="Y86" s="1"/>
      <c r="Z86" s="1"/>
    </row>
    <row r="87" spans="19:26" x14ac:dyDescent="0.25">
      <c r="S87">
        <f ca="1">IFERROR(INDEX(Table_Process_Details[[X Start]:[X Intentionally NA]],INT((ROW()-ROW(Table_Arrow_Coords[[#Headers],[Arrow_X]])-1)/4)+1,MOD(ROW()-ROW(Table_Arrow_Coords[[#Headers],[Arrow_X]])-1,4)+1),NA())</f>
        <v>-1.4972270301512913</v>
      </c>
      <c r="T87">
        <f ca="1">IFERROR(INDEX(Table_Process_Details[[Y Start]:[Y Intentionally NA]],INT((ROW()-ROW(Table_Arrow_Coords[[#Headers],[Arrow_Y]])-1)/4)+1,MOD(ROW()-ROW(Table_Arrow_Coords[[#Headers],[Arrow_Y]])-1,4)+1),NA())</f>
        <v>24.893184297510931</v>
      </c>
      <c r="U87" s="1"/>
      <c r="V87" s="1"/>
      <c r="W87" s="1"/>
      <c r="X87" s="1"/>
      <c r="Y87" s="1"/>
      <c r="Z87" s="1"/>
    </row>
    <row r="88" spans="19:26" x14ac:dyDescent="0.25">
      <c r="S88">
        <f ca="1">IFERROR(INDEX(Table_Process_Details[[X Start]:[X Intentionally NA]],INT((ROW()-ROW(Table_Arrow_Coords[[#Headers],[Arrow_X]])-1)/4)+1,MOD(ROW()-ROW(Table_Arrow_Coords[[#Headers],[Arrow_X]])-1,4)+1),NA())</f>
        <v>0.33684349643523437</v>
      </c>
      <c r="T88">
        <f ca="1">IFERROR(INDEX(Table_Process_Details[[Y Start]:[Y Intentionally NA]],INT((ROW()-ROW(Table_Arrow_Coords[[#Headers],[Arrow_Y]])-1)/4)+1,MOD(ROW()-ROW(Table_Arrow_Coords[[#Headers],[Arrow_Y]])-1,4)+1),NA())</f>
        <v>22.215454775871319</v>
      </c>
      <c r="U88" s="1"/>
      <c r="V88" s="1"/>
      <c r="W88" s="1"/>
      <c r="X88" s="1"/>
      <c r="Y88" s="1"/>
      <c r="Z88" s="1"/>
    </row>
    <row r="89" spans="19:26" x14ac:dyDescent="0.25">
      <c r="S89" t="e">
        <f>IFERROR(INDEX(Table_Process_Details[[X Start]:[X Intentionally NA]],INT((ROW()-ROW(Table_Arrow_Coords[[#Headers],[Arrow_X]])-1)/4)+1,MOD(ROW()-ROW(Table_Arrow_Coords[[#Headers],[Arrow_X]])-1,4)+1),NA())</f>
        <v>#N/A</v>
      </c>
      <c r="T89" t="e">
        <f>IFERROR(INDEX(Table_Process_Details[[Y Start]:[Y Intentionally NA]],INT((ROW()-ROW(Table_Arrow_Coords[[#Headers],[Arrow_Y]])-1)/4)+1,MOD(ROW()-ROW(Table_Arrow_Coords[[#Headers],[Arrow_Y]])-1,4)+1),NA())</f>
        <v>#N/A</v>
      </c>
      <c r="U89" s="1"/>
      <c r="V89" s="1"/>
      <c r="W89" s="1"/>
      <c r="X89" s="1"/>
      <c r="Y89" s="1"/>
      <c r="Z89" s="1"/>
    </row>
    <row r="90" spans="19:26" x14ac:dyDescent="0.25">
      <c r="S90" t="e">
        <f>IFERROR(INDEX(Table_Process_Details[[X Start]:[X Intentionally NA]],INT((ROW()-ROW(Table_Arrow_Coords[[#Headers],[Arrow_X]])-1)/4)+1,MOD(ROW()-ROW(Table_Arrow_Coords[[#Headers],[Arrow_X]])-1,4)+1),NA())</f>
        <v>#N/A</v>
      </c>
      <c r="T90" t="e">
        <f>IFERROR(INDEX(Table_Process_Details[[Y Start]:[Y Intentionally NA]],INT((ROW()-ROW(Table_Arrow_Coords[[#Headers],[Arrow_Y]])-1)/4)+1,MOD(ROW()-ROW(Table_Arrow_Coords[[#Headers],[Arrow_Y]])-1,4)+1),NA())</f>
        <v>#N/A</v>
      </c>
      <c r="U90" s="1"/>
      <c r="V90" s="1"/>
      <c r="W90" s="1"/>
      <c r="X90" s="1"/>
      <c r="Y90" s="1"/>
      <c r="Z90" s="1"/>
    </row>
    <row r="91" spans="19:26" x14ac:dyDescent="0.25">
      <c r="S91">
        <f ca="1">IFERROR(INDEX(Table_Process_Details[[X Start]:[X Intentionally NA]],INT((ROW()-ROW(Table_Arrow_Coords[[#Headers],[Arrow_X]])-1)/4)+1,MOD(ROW()-ROW(Table_Arrow_Coords[[#Headers],[Arrow_X]])-1,4)+1),NA())</f>
        <v>0.53132395721209646</v>
      </c>
      <c r="T91">
        <f ca="1">IFERROR(INDEX(Table_Process_Details[[Y Start]:[Y Intentionally NA]],INT((ROW()-ROW(Table_Arrow_Coords[[#Headers],[Arrow_Y]])-1)/4)+1,MOD(ROW()-ROW(Table_Arrow_Coords[[#Headers],[Arrow_Y]])-1,4)+1),NA())</f>
        <v>25.453402857169742</v>
      </c>
      <c r="U91" s="1"/>
      <c r="V91" s="1"/>
      <c r="W91" s="1"/>
      <c r="X91" s="1"/>
      <c r="Y91" s="1"/>
      <c r="Z91" s="1"/>
    </row>
    <row r="92" spans="19:26" x14ac:dyDescent="0.25">
      <c r="S92">
        <f ca="1">IFERROR(INDEX(Table_Process_Details[[X Start]:[X Intentionally NA]],INT((ROW()-ROW(Table_Arrow_Coords[[#Headers],[Arrow_X]])-1)/4)+1,MOD(ROW()-ROW(Table_Arrow_Coords[[#Headers],[Arrow_X]])-1,4)+1),NA())</f>
        <v>0.73616435743385589</v>
      </c>
      <c r="T92">
        <f ca="1">IFERROR(INDEX(Table_Process_Details[[Y Start]:[Y Intentionally NA]],INT((ROW()-ROW(Table_Arrow_Coords[[#Headers],[Arrow_Y]])-1)/4)+1,MOD(ROW()-ROW(Table_Arrow_Coords[[#Headers],[Arrow_Y]])-1,4)+1),NA())</f>
        <v>22.353690754830971</v>
      </c>
      <c r="U92" s="1"/>
      <c r="V92" s="1"/>
      <c r="W92" s="1"/>
      <c r="X92" s="1"/>
      <c r="Y92" s="1"/>
      <c r="Z92" s="1"/>
    </row>
    <row r="93" spans="19:26" x14ac:dyDescent="0.25">
      <c r="S93" t="e">
        <f>IFERROR(INDEX(Table_Process_Details[[X Start]:[X Intentionally NA]],INT((ROW()-ROW(Table_Arrow_Coords[[#Headers],[Arrow_X]])-1)/4)+1,MOD(ROW()-ROW(Table_Arrow_Coords[[#Headers],[Arrow_X]])-1,4)+1),NA())</f>
        <v>#N/A</v>
      </c>
      <c r="T93" t="e">
        <f>IFERROR(INDEX(Table_Process_Details[[Y Start]:[Y Intentionally NA]],INT((ROW()-ROW(Table_Arrow_Coords[[#Headers],[Arrow_Y]])-1)/4)+1,MOD(ROW()-ROW(Table_Arrow_Coords[[#Headers],[Arrow_Y]])-1,4)+1),NA())</f>
        <v>#N/A</v>
      </c>
      <c r="U93" s="1"/>
      <c r="V93" s="1"/>
      <c r="W93" s="1"/>
      <c r="X93" s="1"/>
      <c r="Y93" s="1"/>
      <c r="Z93" s="1"/>
    </row>
    <row r="94" spans="19:26" x14ac:dyDescent="0.25">
      <c r="S94" t="e">
        <f>IFERROR(INDEX(Table_Process_Details[[X Start]:[X Intentionally NA]],INT((ROW()-ROW(Table_Arrow_Coords[[#Headers],[Arrow_X]])-1)/4)+1,MOD(ROW()-ROW(Table_Arrow_Coords[[#Headers],[Arrow_X]])-1,4)+1),NA())</f>
        <v>#N/A</v>
      </c>
      <c r="T94" t="e">
        <f>IFERROR(INDEX(Table_Process_Details[[Y Start]:[Y Intentionally NA]],INT((ROW()-ROW(Table_Arrow_Coords[[#Headers],[Arrow_Y]])-1)/4)+1,MOD(ROW()-ROW(Table_Arrow_Coords[[#Headers],[Arrow_Y]])-1,4)+1),NA())</f>
        <v>#N/A</v>
      </c>
      <c r="U94" s="1"/>
      <c r="V94" s="1"/>
      <c r="W94" s="1"/>
      <c r="X94" s="1"/>
      <c r="Y94" s="1"/>
      <c r="Z94" s="1"/>
    </row>
    <row r="95" spans="19:26" x14ac:dyDescent="0.25">
      <c r="S95">
        <f ca="1">IFERROR(INDEX(Table_Process_Details[[X Start]:[X Intentionally NA]],INT((ROW()-ROW(Table_Arrow_Coords[[#Headers],[Arrow_X]])-1)/4)+1,MOD(ROW()-ROW(Table_Arrow_Coords[[#Headers],[Arrow_X]])-1,4)+1),NA())</f>
        <v>-1.571821032446342</v>
      </c>
      <c r="T95">
        <f ca="1">IFERROR(INDEX(Table_Process_Details[[Y Start]:[Y Intentionally NA]],INT((ROW()-ROW(Table_Arrow_Coords[[#Headers],[Arrow_Y]])-1)/4)+1,MOD(ROW()-ROW(Table_Arrow_Coords[[#Headers],[Arrow_Y]])-1,4)+1),NA())</f>
        <v>18.503500182255294</v>
      </c>
      <c r="U95" s="1"/>
      <c r="V95" s="1"/>
      <c r="W95" s="1"/>
      <c r="X95" s="1"/>
      <c r="Y95" s="1"/>
      <c r="Z95" s="1"/>
    </row>
    <row r="96" spans="19:26" x14ac:dyDescent="0.25">
      <c r="S96">
        <f ca="1">IFERROR(INDEX(Table_Process_Details[[X Start]:[X Intentionally NA]],INT((ROW()-ROW(Table_Arrow_Coords[[#Headers],[Arrow_X]])-1)/4)+1,MOD(ROW()-ROW(Table_Arrow_Coords[[#Headers],[Arrow_X]])-1,4)+1),NA())</f>
        <v>0.29944330368484878</v>
      </c>
      <c r="T96">
        <f ca="1">IFERROR(INDEX(Table_Process_Details[[Y Start]:[Y Intentionally NA]],INT((ROW()-ROW(Table_Arrow_Coords[[#Headers],[Arrow_Y]])-1)/4)+1,MOD(ROW()-ROW(Table_Arrow_Coords[[#Headers],[Arrow_Y]])-1,4)+1),NA())</f>
        <v>20.922647363761289</v>
      </c>
      <c r="U96" s="1"/>
      <c r="V96" s="1"/>
      <c r="W96" s="1"/>
      <c r="X96" s="1"/>
      <c r="Y96" s="1"/>
      <c r="Z96" s="1"/>
    </row>
    <row r="97" spans="19:26" x14ac:dyDescent="0.25">
      <c r="S97" t="e">
        <f>IFERROR(INDEX(Table_Process_Details[[X Start]:[X Intentionally NA]],INT((ROW()-ROW(Table_Arrow_Coords[[#Headers],[Arrow_X]])-1)/4)+1,MOD(ROW()-ROW(Table_Arrow_Coords[[#Headers],[Arrow_X]])-1,4)+1),NA())</f>
        <v>#N/A</v>
      </c>
      <c r="T97" t="e">
        <f>IFERROR(INDEX(Table_Process_Details[[Y Start]:[Y Intentionally NA]],INT((ROW()-ROW(Table_Arrow_Coords[[#Headers],[Arrow_Y]])-1)/4)+1,MOD(ROW()-ROW(Table_Arrow_Coords[[#Headers],[Arrow_Y]])-1,4)+1),NA())</f>
        <v>#N/A</v>
      </c>
      <c r="U97" s="1"/>
      <c r="V97" s="1"/>
      <c r="W97" s="1"/>
      <c r="X97" s="1"/>
      <c r="Y97" s="1"/>
      <c r="Z97" s="1"/>
    </row>
    <row r="98" spans="19:26" x14ac:dyDescent="0.25">
      <c r="S98">
        <f ca="1">IFERROR(INDEX(Table_Process_Details[[X Start]:[X Intentionally NA]],INT((ROW()-ROW(Table_Arrow_Coords[[#Headers],[Arrow_X]])-1)/4)+1,MOD(ROW()-ROW(Table_Arrow_Coords[[#Headers],[Arrow_X]])-1,4)+1),NA())</f>
        <v>2.3275130569467728</v>
      </c>
      <c r="T98">
        <f ca="1">IFERROR(INDEX(Table_Process_Details[[Y Start]:[Y Intentionally NA]],INT((ROW()-ROW(Table_Arrow_Coords[[#Headers],[Arrow_Y]])-1)/4)+1,MOD(ROW()-ROW(Table_Arrow_Coords[[#Headers],[Arrow_Y]])-1,4)+1),NA())</f>
        <v>33.401144815982704</v>
      </c>
      <c r="U98" s="1"/>
      <c r="V98" s="1"/>
      <c r="W98" s="1"/>
      <c r="X98" s="1"/>
      <c r="Y98" s="1"/>
      <c r="Z98" s="1"/>
    </row>
    <row r="99" spans="19:26" x14ac:dyDescent="0.25">
      <c r="S99">
        <f ca="1">IFERROR(INDEX(Table_Process_Details[[X Start]:[X Intentionally NA]],INT((ROW()-ROW(Table_Arrow_Coords[[#Headers],[Arrow_X]])-1)/4)+1,MOD(ROW()-ROW(Table_Arrow_Coords[[#Headers],[Arrow_X]])-1,4)+1),NA())</f>
        <v>1.6276396429526658</v>
      </c>
      <c r="T99">
        <f ca="1">IFERROR(INDEX(Table_Process_Details[[Y Start]:[Y Intentionally NA]],INT((ROW()-ROW(Table_Arrow_Coords[[#Headers],[Arrow_Y]])-1)/4)+1,MOD(ROW()-ROW(Table_Arrow_Coords[[#Headers],[Arrow_Y]])-1,4)+1),NA())</f>
        <v>28.489643278804142</v>
      </c>
      <c r="U99" s="1"/>
      <c r="V99" s="1"/>
      <c r="W99" s="1"/>
      <c r="X99" s="1"/>
      <c r="Y99" s="1"/>
      <c r="Z99" s="1"/>
    </row>
    <row r="100" spans="19:26" x14ac:dyDescent="0.25">
      <c r="S100">
        <f ca="1">IFERROR(INDEX(Table_Process_Details[[X Start]:[X Intentionally NA]],INT((ROW()-ROW(Table_Arrow_Coords[[#Headers],[Arrow_X]])-1)/4)+1,MOD(ROW()-ROW(Table_Arrow_Coords[[#Headers],[Arrow_X]])-1,4)+1),NA())</f>
        <v>0.88497961773521505</v>
      </c>
      <c r="T100">
        <f ca="1">IFERROR(INDEX(Table_Process_Details[[Y Start]:[Y Intentionally NA]],INT((ROW()-ROW(Table_Arrow_Coords[[#Headers],[Arrow_Y]])-1)/4)+1,MOD(ROW()-ROW(Table_Arrow_Coords[[#Headers],[Arrow_Y]])-1,4)+1),NA())</f>
        <v>22.349643326483257</v>
      </c>
      <c r="U100" s="1"/>
      <c r="V100" s="1"/>
      <c r="W100" s="1"/>
      <c r="X100" s="1"/>
      <c r="Y100" s="1"/>
      <c r="Z100" s="1"/>
    </row>
    <row r="101" spans="19:26" x14ac:dyDescent="0.25">
      <c r="S101" t="e">
        <f>IFERROR(INDEX(Table_Process_Details[[X Start]:[X Intentionally NA]],INT((ROW()-ROW(Table_Arrow_Coords[[#Headers],[Arrow_X]])-1)/4)+1,MOD(ROW()-ROW(Table_Arrow_Coords[[#Headers],[Arrow_X]])-1,4)+1),NA())</f>
        <v>#N/A</v>
      </c>
      <c r="T101" t="e">
        <f>IFERROR(INDEX(Table_Process_Details[[Y Start]:[Y Intentionally NA]],INT((ROW()-ROW(Table_Arrow_Coords[[#Headers],[Arrow_Y]])-1)/4)+1,MOD(ROW()-ROW(Table_Arrow_Coords[[#Headers],[Arrow_Y]])-1,4)+1),NA())</f>
        <v>#N/A</v>
      </c>
      <c r="U101" s="1"/>
      <c r="V101" s="1"/>
      <c r="W101" s="1"/>
      <c r="X101" s="1"/>
      <c r="Y101" s="1"/>
      <c r="Z101" s="1"/>
    </row>
    <row r="102" spans="19:26" x14ac:dyDescent="0.25">
      <c r="S102">
        <f ca="1">IFERROR(INDEX(Table_Process_Details[[X Start]:[X Intentionally NA]],INT((ROW()-ROW(Table_Arrow_Coords[[#Headers],[Arrow_X]])-1)/4)+1,MOD(ROW()-ROW(Table_Arrow_Coords[[#Headers],[Arrow_X]])-1,4)+1),NA())</f>
        <v>-11.161305606405291</v>
      </c>
      <c r="T102">
        <f ca="1">IFERROR(INDEX(Table_Process_Details[[Y Start]:[Y Intentionally NA]],INT((ROW()-ROW(Table_Arrow_Coords[[#Headers],[Arrow_Y]])-1)/4)+1,MOD(ROW()-ROW(Table_Arrow_Coords[[#Headers],[Arrow_Y]])-1,4)+1),NA())</f>
        <v>18.923675503501165</v>
      </c>
      <c r="U102" s="1"/>
      <c r="V102" s="1"/>
      <c r="W102" s="1"/>
      <c r="X102" s="1"/>
      <c r="Y102" s="1"/>
      <c r="Z102" s="1"/>
    </row>
    <row r="103" spans="19:26" x14ac:dyDescent="0.25">
      <c r="S103">
        <f ca="1">IFERROR(INDEX(Table_Process_Details[[X Start]:[X Intentionally NA]],INT((ROW()-ROW(Table_Arrow_Coords[[#Headers],[Arrow_X]])-1)/4)+1,MOD(ROW()-ROW(Table_Arrow_Coords[[#Headers],[Arrow_X]])-1,4)+1),NA())</f>
        <v>-6.1913643958266302</v>
      </c>
      <c r="T103">
        <f ca="1">IFERROR(INDEX(Table_Process_Details[[Y Start]:[Y Intentionally NA]],INT((ROW()-ROW(Table_Arrow_Coords[[#Headers],[Arrow_Y]])-1)/4)+1,MOD(ROW()-ROW(Table_Arrow_Coords[[#Headers],[Arrow_Y]])-1,4)+1),NA())</f>
        <v>20.015582634271116</v>
      </c>
      <c r="U103" s="1"/>
      <c r="V103" s="1"/>
      <c r="W103" s="1"/>
      <c r="X103" s="1"/>
      <c r="Y103" s="1"/>
      <c r="Z103" s="1"/>
    </row>
    <row r="104" spans="19:26" x14ac:dyDescent="0.25">
      <c r="S104">
        <f ca="1">IFERROR(INDEX(Table_Process_Details[[X Start]:[X Intentionally NA]],INT((ROW()-ROW(Table_Arrow_Coords[[#Headers],[Arrow_X]])-1)/4)+1,MOD(ROW()-ROW(Table_Arrow_Coords[[#Headers],[Arrow_X]])-1,4)+1),NA())</f>
        <v>7.6991451370390165E-3</v>
      </c>
      <c r="T104">
        <f ca="1">IFERROR(INDEX(Table_Process_Details[[Y Start]:[Y Intentionally NA]],INT((ROW()-ROW(Table_Arrow_Coords[[#Headers],[Arrow_Y]])-1)/4)+1,MOD(ROW()-ROW(Table_Arrow_Coords[[#Headers],[Arrow_Y]])-1,4)+1),NA())</f>
        <v>21.383095457910532</v>
      </c>
      <c r="U104" s="1"/>
      <c r="V104" s="1"/>
      <c r="W104" s="1"/>
      <c r="X104" s="1"/>
      <c r="Y104" s="1"/>
      <c r="Z104" s="1"/>
    </row>
    <row r="105" spans="19:26" x14ac:dyDescent="0.25">
      <c r="S105" t="e">
        <f>IFERROR(INDEX(Table_Process_Details[[X Start]:[X Intentionally NA]],INT((ROW()-ROW(Table_Arrow_Coords[[#Headers],[Arrow_X]])-1)/4)+1,MOD(ROW()-ROW(Table_Arrow_Coords[[#Headers],[Arrow_X]])-1,4)+1),NA())</f>
        <v>#N/A</v>
      </c>
      <c r="T105" t="e">
        <f>IFERROR(INDEX(Table_Process_Details[[Y Start]:[Y Intentionally NA]],INT((ROW()-ROW(Table_Arrow_Coords[[#Headers],[Arrow_Y]])-1)/4)+1,MOD(ROW()-ROW(Table_Arrow_Coords[[#Headers],[Arrow_Y]])-1,4)+1),NA())</f>
        <v>#N/A</v>
      </c>
      <c r="U105" s="1"/>
      <c r="V105" s="1"/>
      <c r="W105" s="1"/>
      <c r="X105" s="1"/>
      <c r="Y105" s="1"/>
      <c r="Z105" s="1"/>
    </row>
    <row r="106" spans="19:26" x14ac:dyDescent="0.25">
      <c r="S106">
        <f ca="1">IFERROR(INDEX(Table_Process_Details[[X Start]:[X Intentionally NA]],INT((ROW()-ROW(Table_Arrow_Coords[[#Headers],[Arrow_X]])-1)/4)+1,MOD(ROW()-ROW(Table_Arrow_Coords[[#Headers],[Arrow_X]])-1,4)+1),NA())</f>
        <v>-5.6286105276860896</v>
      </c>
      <c r="T106">
        <f ca="1">IFERROR(INDEX(Table_Process_Details[[Y Start]:[Y Intentionally NA]],INT((ROW()-ROW(Table_Arrow_Coords[[#Headers],[Arrow_Y]])-1)/4)+1,MOD(ROW()-ROW(Table_Arrow_Coords[[#Headers],[Arrow_Y]])-1,4)+1),NA())</f>
        <v>12.997984013490795</v>
      </c>
      <c r="U106" s="1"/>
      <c r="V106" s="1"/>
      <c r="W106" s="1"/>
      <c r="X106" s="1"/>
      <c r="Y106" s="1"/>
      <c r="Z106" s="1"/>
    </row>
    <row r="107" spans="19:26" x14ac:dyDescent="0.25">
      <c r="S107">
        <f ca="1">IFERROR(INDEX(Table_Process_Details[[X Start]:[X Intentionally NA]],INT((ROW()-ROW(Table_Arrow_Coords[[#Headers],[Arrow_X]])-1)/4)+1,MOD(ROW()-ROW(Table_Arrow_Coords[[#Headers],[Arrow_X]])-1,4)+1),NA())</f>
        <v>-2.7884620254029775</v>
      </c>
      <c r="T107">
        <f ca="1">IFERROR(INDEX(Table_Process_Details[[Y Start]:[Y Intentionally NA]],INT((ROW()-ROW(Table_Arrow_Coords[[#Headers],[Arrow_Y]])-1)/4)+1,MOD(ROW()-ROW(Table_Arrow_Coords[[#Headers],[Arrow_Y]])-1,4)+1),NA())</f>
        <v>16.274618745969242</v>
      </c>
      <c r="U107" s="1"/>
      <c r="V107" s="1"/>
      <c r="W107" s="1"/>
      <c r="X107" s="1"/>
      <c r="Y107" s="1"/>
      <c r="Z107" s="1"/>
    </row>
    <row r="108" spans="19:26" x14ac:dyDescent="0.25">
      <c r="S108">
        <f ca="1">IFERROR(INDEX(Table_Process_Details[[X Start]:[X Intentionally NA]],INT((ROW()-ROW(Table_Arrow_Coords[[#Headers],[Arrow_X]])-1)/4)+1,MOD(ROW()-ROW(Table_Arrow_Coords[[#Headers],[Arrow_X]])-1,4)+1),NA())</f>
        <v>0.34023315236400281</v>
      </c>
      <c r="T108">
        <f ca="1">IFERROR(INDEX(Table_Process_Details[[Y Start]:[Y Intentionally NA]],INT((ROW()-ROW(Table_Arrow_Coords[[#Headers],[Arrow_Y]])-1)/4)+1,MOD(ROW()-ROW(Table_Arrow_Coords[[#Headers],[Arrow_Y]])-1,4)+1),NA())</f>
        <v>20.893100024343873</v>
      </c>
      <c r="U108" s="1"/>
      <c r="V108" s="1"/>
      <c r="W108" s="1"/>
      <c r="X108" s="1"/>
      <c r="Y108" s="1"/>
      <c r="Z108" s="1"/>
    </row>
    <row r="109" spans="19:26" x14ac:dyDescent="0.25">
      <c r="S109" t="e">
        <f>IFERROR(INDEX(Table_Process_Details[[X Start]:[X Intentionally NA]],INT((ROW()-ROW(Table_Arrow_Coords[[#Headers],[Arrow_X]])-1)/4)+1,MOD(ROW()-ROW(Table_Arrow_Coords[[#Headers],[Arrow_X]])-1,4)+1),NA())</f>
        <v>#N/A</v>
      </c>
      <c r="T109" t="e">
        <f>IFERROR(INDEX(Table_Process_Details[[Y Start]:[Y Intentionally NA]],INT((ROW()-ROW(Table_Arrow_Coords[[#Headers],[Arrow_Y]])-1)/4)+1,MOD(ROW()-ROW(Table_Arrow_Coords[[#Headers],[Arrow_Y]])-1,4)+1),NA())</f>
        <v>#N/A</v>
      </c>
      <c r="U109" s="1"/>
      <c r="V109" s="1"/>
      <c r="W109" s="1"/>
      <c r="X109" s="1"/>
      <c r="Y109" s="1"/>
      <c r="Z109" s="1"/>
    </row>
    <row r="110" spans="19:26" x14ac:dyDescent="0.25">
      <c r="S110" t="e">
        <f>IFERROR(INDEX(Table_Process_Details[[X Start]:[X Intentionally NA]],INT((ROW()-ROW(Table_Arrow_Coords[[#Headers],[Arrow_X]])-1)/4)+1,MOD(ROW()-ROW(Table_Arrow_Coords[[#Headers],[Arrow_X]])-1,4)+1),NA())</f>
        <v>#N/A</v>
      </c>
      <c r="T110" t="e">
        <f>IFERROR(INDEX(Table_Process_Details[[Y Start]:[Y Intentionally NA]],INT((ROW()-ROW(Table_Arrow_Coords[[#Headers],[Arrow_Y]])-1)/4)+1,MOD(ROW()-ROW(Table_Arrow_Coords[[#Headers],[Arrow_Y]])-1,4)+1),NA())</f>
        <v>#N/A</v>
      </c>
      <c r="U110" s="1"/>
      <c r="V110" s="1"/>
      <c r="W110" s="1"/>
      <c r="X110" s="1"/>
      <c r="Y110" s="1"/>
      <c r="Z110" s="1"/>
    </row>
    <row r="111" spans="19:26" x14ac:dyDescent="0.25">
      <c r="S111">
        <f ca="1">IFERROR(INDEX(Table_Process_Details[[X Start]:[X Intentionally NA]],INT((ROW()-ROW(Table_Arrow_Coords[[#Headers],[Arrow_X]])-1)/4)+1,MOD(ROW()-ROW(Table_Arrow_Coords[[#Headers],[Arrow_X]])-1,4)+1),NA())</f>
        <v>2.3881874318286971</v>
      </c>
      <c r="T111">
        <f ca="1">IFERROR(INDEX(Table_Process_Details[[Y Start]:[Y Intentionally NA]],INT((ROW()-ROW(Table_Arrow_Coords[[#Headers],[Arrow_Y]])-1)/4)+1,MOD(ROW()-ROW(Table_Arrow_Coords[[#Headers],[Arrow_Y]])-1,4)+1),NA())</f>
        <v>17.908892311287456</v>
      </c>
      <c r="U111" s="1"/>
      <c r="V111" s="1"/>
      <c r="W111" s="1"/>
      <c r="X111" s="1"/>
      <c r="Y111" s="1"/>
      <c r="Z111" s="1"/>
    </row>
    <row r="112" spans="19:26" x14ac:dyDescent="0.25">
      <c r="S112">
        <f ca="1">IFERROR(INDEX(Table_Process_Details[[X Start]:[X Intentionally NA]],INT((ROW()-ROW(Table_Arrow_Coords[[#Headers],[Arrow_X]])-1)/4)+1,MOD(ROW()-ROW(Table_Arrow_Coords[[#Headers],[Arrow_X]])-1,4)+1),NA())</f>
        <v>1.1102305684340852</v>
      </c>
      <c r="T112">
        <f ca="1">IFERROR(INDEX(Table_Process_Details[[Y Start]:[Y Intentionally NA]],INT((ROW()-ROW(Table_Arrow_Coords[[#Headers],[Arrow_Y]])-1)/4)+1,MOD(ROW()-ROW(Table_Arrow_Coords[[#Headers],[Arrow_Y]])-1,4)+1),NA())</f>
        <v>20.822794785126195</v>
      </c>
      <c r="U112" s="1"/>
      <c r="V112" s="1"/>
      <c r="W112" s="1"/>
      <c r="X112" s="1"/>
      <c r="Y112" s="1"/>
      <c r="Z112" s="1"/>
    </row>
    <row r="113" spans="19:26" x14ac:dyDescent="0.25">
      <c r="S113" t="e">
        <f>IFERROR(INDEX(Table_Process_Details[[X Start]:[X Intentionally NA]],INT((ROW()-ROW(Table_Arrow_Coords[[#Headers],[Arrow_X]])-1)/4)+1,MOD(ROW()-ROW(Table_Arrow_Coords[[#Headers],[Arrow_X]])-1,4)+1),NA())</f>
        <v>#N/A</v>
      </c>
      <c r="T113" t="e">
        <f>IFERROR(INDEX(Table_Process_Details[[Y Start]:[Y Intentionally NA]],INT((ROW()-ROW(Table_Arrow_Coords[[#Headers],[Arrow_Y]])-1)/4)+1,MOD(ROW()-ROW(Table_Arrow_Coords[[#Headers],[Arrow_Y]])-1,4)+1),NA())</f>
        <v>#N/A</v>
      </c>
      <c r="U113" s="1"/>
      <c r="V113" s="1"/>
      <c r="W113" s="1"/>
      <c r="X113" s="1"/>
      <c r="Y113" s="1"/>
      <c r="Z113" s="1"/>
    </row>
    <row r="114" spans="19:26" x14ac:dyDescent="0.25">
      <c r="S114" t="e">
        <f>IFERROR(INDEX(Table_Process_Details[[X Start]:[X Intentionally NA]],INT((ROW()-ROW(Table_Arrow_Coords[[#Headers],[Arrow_X]])-1)/4)+1,MOD(ROW()-ROW(Table_Arrow_Coords[[#Headers],[Arrow_X]])-1,4)+1),NA())</f>
        <v>#N/A</v>
      </c>
      <c r="T114" t="e">
        <f>IFERROR(INDEX(Table_Process_Details[[Y Start]:[Y Intentionally NA]],INT((ROW()-ROW(Table_Arrow_Coords[[#Headers],[Arrow_Y]])-1)/4)+1,MOD(ROW()-ROW(Table_Arrow_Coords[[#Headers],[Arrow_Y]])-1,4)+1),NA())</f>
        <v>#N/A</v>
      </c>
      <c r="U114" s="1"/>
      <c r="V114" s="1"/>
      <c r="W114" s="1"/>
      <c r="X114" s="1"/>
      <c r="Y114" s="1"/>
      <c r="Z114" s="1"/>
    </row>
    <row r="115" spans="19:26" x14ac:dyDescent="0.25">
      <c r="S115">
        <f ca="1">IFERROR(INDEX(Table_Process_Details[[X Start]:[X Intentionally NA]],INT((ROW()-ROW(Table_Arrow_Coords[[#Headers],[Arrow_X]])-1)/4)+1,MOD(ROW()-ROW(Table_Arrow_Coords[[#Headers],[Arrow_X]])-1,4)+1),NA())</f>
        <v>3.1375306171127635</v>
      </c>
      <c r="T115">
        <f ca="1">IFERROR(INDEX(Table_Process_Details[[Y Start]:[Y Intentionally NA]],INT((ROW()-ROW(Table_Arrow_Coords[[#Headers],[Arrow_Y]])-1)/4)+1,MOD(ROW()-ROW(Table_Arrow_Coords[[#Headers],[Arrow_Y]])-1,4)+1),NA())</f>
        <v>24.94999038313842</v>
      </c>
      <c r="U115" s="1"/>
      <c r="V115" s="1"/>
      <c r="W115" s="1"/>
      <c r="X115" s="1"/>
      <c r="Y115" s="1"/>
      <c r="Z115" s="1"/>
    </row>
    <row r="116" spans="19:26" x14ac:dyDescent="0.25">
      <c r="S116">
        <f ca="1">IFERROR(INDEX(Table_Process_Details[[X Start]:[X Intentionally NA]],INT((ROW()-ROW(Table_Arrow_Coords[[#Headers],[Arrow_X]])-1)/4)+1,MOD(ROW()-ROW(Table_Arrow_Coords[[#Headers],[Arrow_X]])-1,4)+1),NA())</f>
        <v>1.2440923288592554</v>
      </c>
      <c r="T116">
        <f ca="1">IFERROR(INDEX(Table_Process_Details[[Y Start]:[Y Intentionally NA]],INT((ROW()-ROW(Table_Arrow_Coords[[#Headers],[Arrow_Y]])-1)/4)+1,MOD(ROW()-ROW(Table_Arrow_Coords[[#Headers],[Arrow_Y]])-1,4)+1),NA())</f>
        <v>22.213318441729157</v>
      </c>
      <c r="U116" s="1"/>
      <c r="V116" s="1"/>
      <c r="W116" s="1"/>
      <c r="X116" s="1"/>
      <c r="Y116" s="1"/>
      <c r="Z116" s="1"/>
    </row>
    <row r="117" spans="19:26" x14ac:dyDescent="0.25">
      <c r="S117" t="e">
        <f>IFERROR(INDEX(Table_Process_Details[[X Start]:[X Intentionally NA]],INT((ROW()-ROW(Table_Arrow_Coords[[#Headers],[Arrow_X]])-1)/4)+1,MOD(ROW()-ROW(Table_Arrow_Coords[[#Headers],[Arrow_X]])-1,4)+1),NA())</f>
        <v>#N/A</v>
      </c>
      <c r="T117" t="e">
        <f>IFERROR(INDEX(Table_Process_Details[[Y Start]:[Y Intentionally NA]],INT((ROW()-ROW(Table_Arrow_Coords[[#Headers],[Arrow_Y]])-1)/4)+1,MOD(ROW()-ROW(Table_Arrow_Coords[[#Headers],[Arrow_Y]])-1,4)+1),NA())</f>
        <v>#N/A</v>
      </c>
      <c r="U117" s="1"/>
      <c r="V117" s="1"/>
      <c r="W117" s="1"/>
      <c r="X117" s="1"/>
      <c r="Y117" s="1"/>
      <c r="Z117" s="1"/>
    </row>
    <row r="118" spans="19:26" x14ac:dyDescent="0.25">
      <c r="S118">
        <f ca="1">IFERROR(INDEX(Table_Process_Details[[X Start]:[X Intentionally NA]],INT((ROW()-ROW(Table_Arrow_Coords[[#Headers],[Arrow_X]])-1)/4)+1,MOD(ROW()-ROW(Table_Arrow_Coords[[#Headers],[Arrow_X]])-1,4)+1),NA())</f>
        <v>-8.5214632532720813</v>
      </c>
      <c r="T118">
        <f ca="1">IFERROR(INDEX(Table_Process_Details[[Y Start]:[Y Intentionally NA]],INT((ROW()-ROW(Table_Arrow_Coords[[#Headers],[Arrow_Y]])-1)/4)+1,MOD(ROW()-ROW(Table_Arrow_Coords[[#Headers],[Arrow_Y]])-1,4)+1),NA())</f>
        <v>28.553199270376069</v>
      </c>
      <c r="U118" s="1"/>
      <c r="V118" s="1"/>
      <c r="W118" s="1"/>
      <c r="X118" s="1"/>
      <c r="Y118" s="1"/>
      <c r="Z118" s="1"/>
    </row>
    <row r="119" spans="19:26" x14ac:dyDescent="0.25">
      <c r="S119">
        <f ca="1">IFERROR(INDEX(Table_Process_Details[[X Start]:[X Intentionally NA]],INT((ROW()-ROW(Table_Arrow_Coords[[#Headers],[Arrow_X]])-1)/4)+1,MOD(ROW()-ROW(Table_Arrow_Coords[[#Headers],[Arrow_X]])-1,4)+1),NA())</f>
        <v>-4.7197462987463323</v>
      </c>
      <c r="T119">
        <f ca="1">IFERROR(INDEX(Table_Process_Details[[Y Start]:[Y Intentionally NA]],INT((ROW()-ROW(Table_Arrow_Coords[[#Headers],[Arrow_Y]])-1)/4)+1,MOD(ROW()-ROW(Table_Arrow_Coords[[#Headers],[Arrow_Y]])-1,4)+1),NA())</f>
        <v>25.616152446318189</v>
      </c>
      <c r="U119" s="1"/>
      <c r="V119" s="1"/>
      <c r="W119" s="1"/>
      <c r="X119" s="1"/>
      <c r="Y119" s="1"/>
      <c r="Z119" s="1"/>
    </row>
    <row r="120" spans="19:26" x14ac:dyDescent="0.25">
      <c r="S120">
        <f ca="1">IFERROR(INDEX(Table_Process_Details[[X Start]:[X Intentionally NA]],INT((ROW()-ROW(Table_Arrow_Coords[[#Headers],[Arrow_X]])-1)/4)+1,MOD(ROW()-ROW(Table_Arrow_Coords[[#Headers],[Arrow_X]])-1,4)+1),NA())</f>
        <v>0.14496683110908271</v>
      </c>
      <c r="T120">
        <f ca="1">IFERROR(INDEX(Table_Process_Details[[Y Start]:[Y Intentionally NA]],INT((ROW()-ROW(Table_Arrow_Coords[[#Headers],[Arrow_Y]])-1)/4)+1,MOD(ROW()-ROW(Table_Arrow_Coords[[#Headers],[Arrow_Y]])-1,4)+1),NA())</f>
        <v>22.030120353153709</v>
      </c>
      <c r="U120" s="1"/>
      <c r="V120" s="1"/>
      <c r="W120" s="1"/>
      <c r="X120" s="1"/>
      <c r="Y120" s="1"/>
      <c r="Z120" s="1"/>
    </row>
    <row r="121" spans="19:26" x14ac:dyDescent="0.25">
      <c r="S121" t="e">
        <f>IFERROR(INDEX(Table_Process_Details[[X Start]:[X Intentionally NA]],INT((ROW()-ROW(Table_Arrow_Coords[[#Headers],[Arrow_X]])-1)/4)+1,MOD(ROW()-ROW(Table_Arrow_Coords[[#Headers],[Arrow_X]])-1,4)+1),NA())</f>
        <v>#N/A</v>
      </c>
      <c r="T121" t="e">
        <f>IFERROR(INDEX(Table_Process_Details[[Y Start]:[Y Intentionally NA]],INT((ROW()-ROW(Table_Arrow_Coords[[#Headers],[Arrow_Y]])-1)/4)+1,MOD(ROW()-ROW(Table_Arrow_Coords[[#Headers],[Arrow_Y]])-1,4)+1),NA())</f>
        <v>#N/A</v>
      </c>
      <c r="U121" s="1"/>
      <c r="V121" s="1"/>
      <c r="W121" s="1"/>
      <c r="X121" s="1"/>
      <c r="Y121" s="1"/>
      <c r="Z121" s="1"/>
    </row>
    <row r="122" spans="19:26" x14ac:dyDescent="0.25">
      <c r="S122">
        <f ca="1">IFERROR(INDEX(Table_Process_Details[[X Start]:[X Intentionally NA]],INT((ROW()-ROW(Table_Arrow_Coords[[#Headers],[Arrow_X]])-1)/4)+1,MOD(ROW()-ROW(Table_Arrow_Coords[[#Headers],[Arrow_X]])-1,4)+1),NA())</f>
        <v>12.974140333930144</v>
      </c>
      <c r="T122">
        <f ca="1">IFERROR(INDEX(Table_Process_Details[[Y Start]:[Y Intentionally NA]],INT((ROW()-ROW(Table_Arrow_Coords[[#Headers],[Arrow_Y]])-1)/4)+1,MOD(ROW()-ROW(Table_Arrow_Coords[[#Headers],[Arrow_Y]])-1,4)+1),NA())</f>
        <v>20.368995765321468</v>
      </c>
      <c r="U122" s="1"/>
      <c r="V122" s="1"/>
      <c r="W122" s="1"/>
      <c r="X122" s="1"/>
      <c r="Y122" s="1"/>
      <c r="Z122" s="1"/>
    </row>
    <row r="123" spans="19:26" x14ac:dyDescent="0.25">
      <c r="S123">
        <f ca="1">IFERROR(INDEX(Table_Process_Details[[X Start]:[X Intentionally NA]],INT((ROW()-ROW(Table_Arrow_Coords[[#Headers],[Arrow_X]])-1)/4)+1,MOD(ROW()-ROW(Table_Arrow_Coords[[#Headers],[Arrow_X]])-1,4)+1),NA())</f>
        <v>7.8387282032329271</v>
      </c>
      <c r="T123">
        <f ca="1">IFERROR(INDEX(Table_Process_Details[[Y Start]:[Y Intentionally NA]],INT((ROW()-ROW(Table_Arrow_Coords[[#Headers],[Arrow_Y]])-1)/4)+1,MOD(ROW()-ROW(Table_Arrow_Coords[[#Headers],[Arrow_Y]])-1,4)+1),NA())</f>
        <v>20.928809946958452</v>
      </c>
      <c r="U123" s="1"/>
      <c r="V123" s="1"/>
      <c r="W123" s="1"/>
      <c r="X123" s="1"/>
      <c r="Y123" s="1"/>
      <c r="Z123" s="1"/>
    </row>
    <row r="124" spans="19:26" x14ac:dyDescent="0.25">
      <c r="S124">
        <f ca="1">IFERROR(INDEX(Table_Process_Details[[X Start]:[X Intentionally NA]],INT((ROW()-ROW(Table_Arrow_Coords[[#Headers],[Arrow_X]])-1)/4)+1,MOD(ROW()-ROW(Table_Arrow_Coords[[#Headers],[Arrow_X]])-1,4)+1),NA())</f>
        <v>1.5857746381838522</v>
      </c>
      <c r="T124">
        <f ca="1">IFERROR(INDEX(Table_Process_Details[[Y Start]:[Y Intentionally NA]],INT((ROW()-ROW(Table_Arrow_Coords[[#Headers],[Arrow_Y]])-1)/4)+1,MOD(ROW()-ROW(Table_Arrow_Coords[[#Headers],[Arrow_Y]])-1,4)+1),NA())</f>
        <v>21.484603186091039</v>
      </c>
      <c r="U124" s="1"/>
      <c r="V124" s="1"/>
      <c r="W124" s="1"/>
      <c r="X124" s="1"/>
      <c r="Y124" s="1"/>
      <c r="Z124" s="1"/>
    </row>
    <row r="125" spans="19:26" x14ac:dyDescent="0.25">
      <c r="S125" t="e">
        <f>IFERROR(INDEX(Table_Process_Details[[X Start]:[X Intentionally NA]],INT((ROW()-ROW(Table_Arrow_Coords[[#Headers],[Arrow_X]])-1)/4)+1,MOD(ROW()-ROW(Table_Arrow_Coords[[#Headers],[Arrow_X]])-1,4)+1),NA())</f>
        <v>#N/A</v>
      </c>
      <c r="T125" t="e">
        <f>IFERROR(INDEX(Table_Process_Details[[Y Start]:[Y Intentionally NA]],INT((ROW()-ROW(Table_Arrow_Coords[[#Headers],[Arrow_Y]])-1)/4)+1,MOD(ROW()-ROW(Table_Arrow_Coords[[#Headers],[Arrow_Y]])-1,4)+1),NA())</f>
        <v>#N/A</v>
      </c>
      <c r="U125" s="1"/>
      <c r="V125" s="1"/>
      <c r="W125" s="1"/>
      <c r="X125" s="1"/>
      <c r="Y125" s="1"/>
      <c r="Z125" s="1"/>
    </row>
    <row r="126" spans="19:26" x14ac:dyDescent="0.25">
      <c r="S126">
        <f ca="1">IFERROR(INDEX(Table_Process_Details[[X Start]:[X Intentionally NA]],INT((ROW()-ROW(Table_Arrow_Coords[[#Headers],[Arrow_X]])-1)/4)+1,MOD(ROW()-ROW(Table_Arrow_Coords[[#Headers],[Arrow_X]])-1,4)+1),NA())</f>
        <v>10.21150408293698</v>
      </c>
      <c r="T126">
        <f ca="1">IFERROR(INDEX(Table_Process_Details[[Y Start]:[Y Intentionally NA]],INT((ROW()-ROW(Table_Arrow_Coords[[#Headers],[Arrow_Y]])-1)/4)+1,MOD(ROW()-ROW(Table_Arrow_Coords[[#Headers],[Arrow_Y]])-1,4)+1),NA())</f>
        <v>29.074212703146806</v>
      </c>
      <c r="U126" s="1"/>
      <c r="V126" s="1"/>
      <c r="W126" s="1"/>
      <c r="X126" s="1"/>
      <c r="Y126" s="1"/>
      <c r="Z126" s="1"/>
    </row>
    <row r="127" spans="19:26" x14ac:dyDescent="0.25">
      <c r="S127">
        <f ca="1">IFERROR(INDEX(Table_Process_Details[[X Start]:[X Intentionally NA]],INT((ROW()-ROW(Table_Arrow_Coords[[#Headers],[Arrow_X]])-1)/4)+1,MOD(ROW()-ROW(Table_Arrow_Coords[[#Headers],[Arrow_X]])-1,4)+1),NA())</f>
        <v>6.4645394019293203</v>
      </c>
      <c r="T127">
        <f ca="1">IFERROR(INDEX(Table_Process_Details[[Y Start]:[Y Intentionally NA]],INT((ROW()-ROW(Table_Arrow_Coords[[#Headers],[Arrow_Y]])-1)/4)+1,MOD(ROW()-ROW(Table_Arrow_Coords[[#Headers],[Arrow_Y]])-1,4)+1),NA())</f>
        <v>25.820552061494336</v>
      </c>
      <c r="U127" s="1"/>
      <c r="V127" s="1"/>
      <c r="W127" s="1"/>
      <c r="X127" s="1"/>
      <c r="Y127" s="1"/>
      <c r="Z127" s="1"/>
    </row>
    <row r="128" spans="19:26" x14ac:dyDescent="0.25">
      <c r="S128">
        <f ca="1">IFERROR(INDEX(Table_Process_Details[[X Start]:[X Intentionally NA]],INT((ROW()-ROW(Table_Arrow_Coords[[#Headers],[Arrow_X]])-1)/4)+1,MOD(ROW()-ROW(Table_Arrow_Coords[[#Headers],[Arrow_X]])-1,4)+1),NA())</f>
        <v>1.4284614697843805</v>
      </c>
      <c r="T128">
        <f ca="1">IFERROR(INDEX(Table_Process_Details[[Y Start]:[Y Intentionally NA]],INT((ROW()-ROW(Table_Arrow_Coords[[#Headers],[Arrow_Y]])-1)/4)+1,MOD(ROW()-ROW(Table_Arrow_Coords[[#Headers],[Arrow_Y]])-1,4)+1),NA())</f>
        <v>22.03603764661149</v>
      </c>
      <c r="U128" s="1"/>
      <c r="V128" s="1"/>
      <c r="W128" s="1"/>
      <c r="X128" s="1"/>
      <c r="Y128" s="1"/>
      <c r="Z128" s="1"/>
    </row>
    <row r="129" spans="19:26" x14ac:dyDescent="0.25">
      <c r="S129" t="e">
        <f>IFERROR(INDEX(Table_Process_Details[[X Start]:[X Intentionally NA]],INT((ROW()-ROW(Table_Arrow_Coords[[#Headers],[Arrow_X]])-1)/4)+1,MOD(ROW()-ROW(Table_Arrow_Coords[[#Headers],[Arrow_X]])-1,4)+1),NA())</f>
        <v>#N/A</v>
      </c>
      <c r="T129" t="e">
        <f>IFERROR(INDEX(Table_Process_Details[[Y Start]:[Y Intentionally NA]],INT((ROW()-ROW(Table_Arrow_Coords[[#Headers],[Arrow_Y]])-1)/4)+1,MOD(ROW()-ROW(Table_Arrow_Coords[[#Headers],[Arrow_Y]])-1,4)+1),NA())</f>
        <v>#N/A</v>
      </c>
      <c r="U129" s="1"/>
      <c r="V129" s="1"/>
      <c r="W129" s="1"/>
      <c r="X129" s="1"/>
      <c r="Y129" s="1"/>
      <c r="Z129" s="1"/>
    </row>
    <row r="130" spans="19:26" x14ac:dyDescent="0.25">
      <c r="S130" t="e">
        <f>IFERROR(INDEX(Table_Process_Details[[X Start]:[X Intentionally NA]],INT((ROW()-ROW(Table_Arrow_Coords[[#Headers],[Arrow_X]])-1)/4)+1,MOD(ROW()-ROW(Table_Arrow_Coords[[#Headers],[Arrow_X]])-1,4)+1),NA())</f>
        <v>#N/A</v>
      </c>
      <c r="T130" t="e">
        <f>IFERROR(INDEX(Table_Process_Details[[Y Start]:[Y Intentionally NA]],INT((ROW()-ROW(Table_Arrow_Coords[[#Headers],[Arrow_Y]])-1)/4)+1,MOD(ROW()-ROW(Table_Arrow_Coords[[#Headers],[Arrow_Y]])-1,4)+1),NA())</f>
        <v>#N/A</v>
      </c>
      <c r="U130" s="1"/>
      <c r="V130" s="1"/>
      <c r="W130" s="1"/>
      <c r="X130" s="1"/>
      <c r="Y130" s="1"/>
      <c r="Z130" s="1"/>
    </row>
    <row r="131" spans="19:26" x14ac:dyDescent="0.25">
      <c r="S131">
        <f ca="1">IFERROR(INDEX(Table_Process_Details[[X Start]:[X Intentionally NA]],INT((ROW()-ROW(Table_Arrow_Coords[[#Headers],[Arrow_X]])-1)/4)+1,MOD(ROW()-ROW(Table_Arrow_Coords[[#Headers],[Arrow_X]])-1,4)+1),NA())</f>
        <v>4.5915520595937629</v>
      </c>
      <c r="T131">
        <f ca="1">IFERROR(INDEX(Table_Process_Details[[Y Start]:[Y Intentionally NA]],INT((ROW()-ROW(Table_Arrow_Coords[[#Headers],[Arrow_Y]])-1)/4)+1,MOD(ROW()-ROW(Table_Arrow_Coords[[#Headers],[Arrow_Y]])-1,4)+1),NA())</f>
        <v>22.728136909564732</v>
      </c>
      <c r="U131" s="1"/>
      <c r="V131" s="1"/>
      <c r="W131" s="1"/>
      <c r="X131" s="1"/>
      <c r="Y131" s="1"/>
      <c r="Z131" s="1"/>
    </row>
    <row r="132" spans="19:26" x14ac:dyDescent="0.25">
      <c r="S132">
        <f ca="1">IFERROR(INDEX(Table_Process_Details[[X Start]:[X Intentionally NA]],INT((ROW()-ROW(Table_Arrow_Coords[[#Headers],[Arrow_X]])-1)/4)+1,MOD(ROW()-ROW(Table_Arrow_Coords[[#Headers],[Arrow_X]])-1,4)+1),NA())</f>
        <v>1.5533888025696601</v>
      </c>
      <c r="T132">
        <f ca="1">IFERROR(INDEX(Table_Process_Details[[Y Start]:[Y Intentionally NA]],INT((ROW()-ROW(Table_Arrow_Coords[[#Headers],[Arrow_Y]])-1)/4)+1,MOD(ROW()-ROW(Table_Arrow_Coords[[#Headers],[Arrow_Y]])-1,4)+1),NA())</f>
        <v>21.791189612913882</v>
      </c>
      <c r="U132" s="1"/>
      <c r="V132" s="1"/>
      <c r="W132" s="1"/>
      <c r="X132" s="1"/>
      <c r="Y132" s="1"/>
      <c r="Z132" s="1"/>
    </row>
    <row r="133" spans="19:26" x14ac:dyDescent="0.25">
      <c r="S133" t="e">
        <f>IFERROR(INDEX(Table_Process_Details[[X Start]:[X Intentionally NA]],INT((ROW()-ROW(Table_Arrow_Coords[[#Headers],[Arrow_X]])-1)/4)+1,MOD(ROW()-ROW(Table_Arrow_Coords[[#Headers],[Arrow_X]])-1,4)+1),NA())</f>
        <v>#N/A</v>
      </c>
      <c r="T133" t="e">
        <f>IFERROR(INDEX(Table_Process_Details[[Y Start]:[Y Intentionally NA]],INT((ROW()-ROW(Table_Arrow_Coords[[#Headers],[Arrow_Y]])-1)/4)+1,MOD(ROW()-ROW(Table_Arrow_Coords[[#Headers],[Arrow_Y]])-1,4)+1),NA())</f>
        <v>#N/A</v>
      </c>
      <c r="U133" s="1"/>
      <c r="V133" s="1"/>
      <c r="W133" s="1"/>
      <c r="X133" s="1"/>
      <c r="Y133" s="1"/>
      <c r="Z133" s="1"/>
    </row>
    <row r="134" spans="19:26" x14ac:dyDescent="0.25">
      <c r="S134" t="e">
        <f>IFERROR(INDEX(Table_Process_Details[[X Start]:[X Intentionally NA]],INT((ROW()-ROW(Table_Arrow_Coords[[#Headers],[Arrow_X]])-1)/4)+1,MOD(ROW()-ROW(Table_Arrow_Coords[[#Headers],[Arrow_X]])-1,4)+1),NA())</f>
        <v>#N/A</v>
      </c>
      <c r="T134" t="e">
        <f>IFERROR(INDEX(Table_Process_Details[[Y Start]:[Y Intentionally NA]],INT((ROW()-ROW(Table_Arrow_Coords[[#Headers],[Arrow_Y]])-1)/4)+1,MOD(ROW()-ROW(Table_Arrow_Coords[[#Headers],[Arrow_Y]])-1,4)+1),NA())</f>
        <v>#N/A</v>
      </c>
      <c r="U134" s="1"/>
      <c r="V134" s="1"/>
      <c r="W134" s="1"/>
      <c r="X134" s="1"/>
      <c r="Y134" s="1"/>
      <c r="Z134" s="1"/>
    </row>
    <row r="135" spans="19:26" x14ac:dyDescent="0.25">
      <c r="S135">
        <f ca="1">IFERROR(INDEX(Table_Process_Details[[X Start]:[X Intentionally NA]],INT((ROW()-ROW(Table_Arrow_Coords[[#Headers],[Arrow_X]])-1)/4)+1,MOD(ROW()-ROW(Table_Arrow_Coords[[#Headers],[Arrow_X]])-1,4)+1),NA())</f>
        <v>3.8644183118561051</v>
      </c>
      <c r="T135">
        <f ca="1">IFERROR(INDEX(Table_Process_Details[[Y Start]:[Y Intentionally NA]],INT((ROW()-ROW(Table_Arrow_Coords[[#Headers],[Arrow_Y]])-1)/4)+1,MOD(ROW()-ROW(Table_Arrow_Coords[[#Headers],[Arrow_Y]])-1,4)+1),NA())</f>
        <v>18.840226240506983</v>
      </c>
      <c r="U135" s="1"/>
      <c r="V135" s="1"/>
      <c r="W135" s="1"/>
      <c r="X135" s="1"/>
      <c r="Y135" s="1"/>
      <c r="Z135" s="1"/>
    </row>
    <row r="136" spans="19:26" x14ac:dyDescent="0.25">
      <c r="S136">
        <f ca="1">IFERROR(INDEX(Table_Process_Details[[X Start]:[X Intentionally NA]],INT((ROW()-ROW(Table_Arrow_Coords[[#Headers],[Arrow_X]])-1)/4)+1,MOD(ROW()-ROW(Table_Arrow_Coords[[#Headers],[Arrow_X]])-1,4)+1),NA())</f>
        <v>1.3886387503385258</v>
      </c>
      <c r="T136">
        <f ca="1">IFERROR(INDEX(Table_Process_Details[[Y Start]:[Y Intentionally NA]],INT((ROW()-ROW(Table_Arrow_Coords[[#Headers],[Arrow_Y]])-1)/4)+1,MOD(ROW()-ROW(Table_Arrow_Coords[[#Headers],[Arrow_Y]])-1,4)+1),NA())</f>
        <v>21.02596712880311</v>
      </c>
      <c r="U136" s="1"/>
      <c r="V136" s="1"/>
      <c r="W136" s="1"/>
      <c r="X136" s="1"/>
      <c r="Y136" s="1"/>
      <c r="Z136" s="1"/>
    </row>
    <row r="137" spans="19:26" x14ac:dyDescent="0.25">
      <c r="S137" t="e">
        <f>IFERROR(INDEX(Table_Process_Details[[X Start]:[X Intentionally NA]],INT((ROW()-ROW(Table_Arrow_Coords[[#Headers],[Arrow_X]])-1)/4)+1,MOD(ROW()-ROW(Table_Arrow_Coords[[#Headers],[Arrow_X]])-1,4)+1),NA())</f>
        <v>#N/A</v>
      </c>
      <c r="T137" t="e">
        <f>IFERROR(INDEX(Table_Process_Details[[Y Start]:[Y Intentionally NA]],INT((ROW()-ROW(Table_Arrow_Coords[[#Headers],[Arrow_Y]])-1)/4)+1,MOD(ROW()-ROW(Table_Arrow_Coords[[#Headers],[Arrow_Y]])-1,4)+1),NA())</f>
        <v>#N/A</v>
      </c>
      <c r="U137" s="1"/>
      <c r="V137" s="1"/>
      <c r="W137" s="1"/>
      <c r="X137" s="1"/>
      <c r="Y137" s="1"/>
      <c r="Z137" s="1"/>
    </row>
    <row r="138" spans="19:26" x14ac:dyDescent="0.25">
      <c r="S138" t="e">
        <f>IFERROR(INDEX(Table_Process_Details[[X Start]:[X Intentionally NA]],INT((ROW()-ROW(Table_Arrow_Coords[[#Headers],[Arrow_X]])-1)/4)+1,MOD(ROW()-ROW(Table_Arrow_Coords[[#Headers],[Arrow_X]])-1,4)+1),NA())</f>
        <v>#N/A</v>
      </c>
      <c r="T138" t="e">
        <f>IFERROR(INDEX(Table_Process_Details[[Y Start]:[Y Intentionally NA]],INT((ROW()-ROW(Table_Arrow_Coords[[#Headers],[Arrow_Y]])-1)/4)+1,MOD(ROW()-ROW(Table_Arrow_Coords[[#Headers],[Arrow_Y]])-1,4)+1),NA())</f>
        <v>#N/A</v>
      </c>
      <c r="U138" s="1"/>
      <c r="V138" s="1"/>
      <c r="W138" s="1"/>
      <c r="X138" s="1"/>
      <c r="Y138" s="1"/>
      <c r="Z138" s="1"/>
    </row>
    <row r="139" spans="19:26" x14ac:dyDescent="0.25">
      <c r="S139">
        <f ca="1">IFERROR(INDEX(Table_Process_Details[[X Start]:[X Intentionally NA]],INT((ROW()-ROW(Table_Arrow_Coords[[#Headers],[Arrow_X]])-1)/4)+1,MOD(ROW()-ROW(Table_Arrow_Coords[[#Headers],[Arrow_X]])-1,4)+1),NA())</f>
        <v>4.7092801648450253</v>
      </c>
      <c r="T139">
        <f ca="1">IFERROR(INDEX(Table_Process_Details[[Y Start]:[Y Intentionally NA]],INT((ROW()-ROW(Table_Arrow_Coords[[#Headers],[Arrow_Y]])-1)/4)+1,MOD(ROW()-ROW(Table_Arrow_Coords[[#Headers],[Arrow_Y]])-1,4)+1),NA())</f>
        <v>20.57489267147923</v>
      </c>
      <c r="U139" s="1"/>
      <c r="V139" s="1"/>
      <c r="W139" s="1"/>
      <c r="X139" s="1"/>
      <c r="Y139" s="1"/>
      <c r="Z139" s="1"/>
    </row>
    <row r="140" spans="19:26" x14ac:dyDescent="0.25">
      <c r="S140">
        <f ca="1">IFERROR(INDEX(Table_Process_Details[[X Start]:[X Intentionally NA]],INT((ROW()-ROW(Table_Arrow_Coords[[#Headers],[Arrow_X]])-1)/4)+1,MOD(ROW()-ROW(Table_Arrow_Coords[[#Headers],[Arrow_X]])-1,4)+1),NA())</f>
        <v>1.5650093636577158</v>
      </c>
      <c r="T140">
        <f ca="1">IFERROR(INDEX(Table_Process_Details[[Y Start]:[Y Intentionally NA]],INT((ROW()-ROW(Table_Arrow_Coords[[#Headers],[Arrow_Y]])-1)/4)+1,MOD(ROW()-ROW(Table_Arrow_Coords[[#Headers],[Arrow_Y]])-1,4)+1),NA())</f>
        <v>21.36131986371937</v>
      </c>
      <c r="U140" s="1"/>
      <c r="V140" s="1"/>
      <c r="W140" s="1"/>
      <c r="X140" s="1"/>
      <c r="Y140" s="1"/>
      <c r="Z140" s="1"/>
    </row>
    <row r="141" spans="19:26" x14ac:dyDescent="0.25">
      <c r="S141" t="e">
        <f>IFERROR(INDEX(Table_Process_Details[[X Start]:[X Intentionally NA]],INT((ROW()-ROW(Table_Arrow_Coords[[#Headers],[Arrow_X]])-1)/4)+1,MOD(ROW()-ROW(Table_Arrow_Coords[[#Headers],[Arrow_X]])-1,4)+1),NA())</f>
        <v>#N/A</v>
      </c>
      <c r="T141" t="e">
        <f>IFERROR(INDEX(Table_Process_Details[[Y Start]:[Y Intentionally NA]],INT((ROW()-ROW(Table_Arrow_Coords[[#Headers],[Arrow_Y]])-1)/4)+1,MOD(ROW()-ROW(Table_Arrow_Coords[[#Headers],[Arrow_Y]])-1,4)+1),NA())</f>
        <v>#N/A</v>
      </c>
      <c r="U141" s="1"/>
      <c r="V141" s="1"/>
      <c r="W141" s="1"/>
      <c r="X141" s="1"/>
      <c r="Y141" s="1"/>
      <c r="Z141" s="1"/>
    </row>
    <row r="142" spans="19:26" x14ac:dyDescent="0.25">
      <c r="S142" t="e">
        <f>IFERROR(INDEX(Table_Process_Details[[X Start]:[X Intentionally NA]],INT((ROW()-ROW(Table_Arrow_Coords[[#Headers],[Arrow_X]])-1)/4)+1,MOD(ROW()-ROW(Table_Arrow_Coords[[#Headers],[Arrow_X]])-1,4)+1),NA())</f>
        <v>#N/A</v>
      </c>
      <c r="T142" t="e">
        <f>IFERROR(INDEX(Table_Process_Details[[Y Start]:[Y Intentionally NA]],INT((ROW()-ROW(Table_Arrow_Coords[[#Headers],[Arrow_Y]])-1)/4)+1,MOD(ROW()-ROW(Table_Arrow_Coords[[#Headers],[Arrow_Y]])-1,4)+1),NA())</f>
        <v>#N/A</v>
      </c>
      <c r="U142" s="1"/>
      <c r="V142" s="1"/>
      <c r="W142" s="1"/>
      <c r="X142" s="1"/>
      <c r="Y142" s="1"/>
      <c r="Z142" s="1"/>
    </row>
    <row r="143" spans="19:26" x14ac:dyDescent="0.25">
      <c r="S143">
        <f ca="1">IFERROR(INDEX(Table_Process_Details[[X Start]:[X Intentionally NA]],INT((ROW()-ROW(Table_Arrow_Coords[[#Headers],[Arrow_X]])-1)/4)+1,MOD(ROW()-ROW(Table_Arrow_Coords[[#Headers],[Arrow_X]])-1,4)+1),NA())</f>
        <v>-3.0948110474900283</v>
      </c>
      <c r="T143">
        <f ca="1">IFERROR(INDEX(Table_Process_Details[[Y Start]:[Y Intentionally NA]],INT((ROW()-ROW(Table_Arrow_Coords[[#Headers],[Arrow_Y]])-1)/4)+1,MOD(ROW()-ROW(Table_Arrow_Coords[[#Headers],[Arrow_Y]])-1,4)+1),NA())</f>
        <v>22.708378752413747</v>
      </c>
      <c r="U143" s="1"/>
      <c r="V143" s="1"/>
      <c r="W143" s="1"/>
      <c r="X143" s="1"/>
      <c r="Y143" s="1"/>
      <c r="Z143" s="1"/>
    </row>
    <row r="144" spans="19:26" x14ac:dyDescent="0.25">
      <c r="S144">
        <f ca="1">IFERROR(INDEX(Table_Process_Details[[X Start]:[X Intentionally NA]],INT((ROW()-ROW(Table_Arrow_Coords[[#Headers],[Arrow_X]])-1)/4)+1,MOD(ROW()-ROW(Table_Arrow_Coords[[#Headers],[Arrow_X]])-1,4)+1),NA())</f>
        <v>2.1996885770236809E-2</v>
      </c>
      <c r="T144">
        <f ca="1">IFERROR(INDEX(Table_Process_Details[[Y Start]:[Y Intentionally NA]],INT((ROW()-ROW(Table_Arrow_Coords[[#Headers],[Arrow_Y]])-1)/4)+1,MOD(ROW()-ROW(Table_Arrow_Coords[[#Headers],[Arrow_Y]])-1,4)+1),NA())</f>
        <v>21.783104215773413</v>
      </c>
      <c r="U144" s="1"/>
      <c r="V144" s="1"/>
      <c r="W144" s="1"/>
      <c r="X144" s="1"/>
      <c r="Y144" s="1"/>
      <c r="Z144" s="1"/>
    </row>
    <row r="145" spans="19:26" x14ac:dyDescent="0.25">
      <c r="S145" t="e">
        <f>IFERROR(INDEX(Table_Process_Details[[X Start]:[X Intentionally NA]],INT((ROW()-ROW(Table_Arrow_Coords[[#Headers],[Arrow_X]])-1)/4)+1,MOD(ROW()-ROW(Table_Arrow_Coords[[#Headers],[Arrow_X]])-1,4)+1),NA())</f>
        <v>#N/A</v>
      </c>
      <c r="T145" t="e">
        <f>IFERROR(INDEX(Table_Process_Details[[Y Start]:[Y Intentionally NA]],INT((ROW()-ROW(Table_Arrow_Coords[[#Headers],[Arrow_Y]])-1)/4)+1,MOD(ROW()-ROW(Table_Arrow_Coords[[#Headers],[Arrow_Y]])-1,4)+1),NA())</f>
        <v>#N/A</v>
      </c>
      <c r="U145" s="1"/>
      <c r="V145" s="1"/>
      <c r="W145" s="1"/>
      <c r="X145" s="1"/>
      <c r="Y145" s="1"/>
      <c r="Z145" s="1"/>
    </row>
    <row r="146" spans="19:26" x14ac:dyDescent="0.25">
      <c r="S146" t="e">
        <f>IFERROR(INDEX(Table_Process_Details[[X Start]:[X Intentionally NA]],INT((ROW()-ROW(Table_Arrow_Coords[[#Headers],[Arrow_X]])-1)/4)+1,MOD(ROW()-ROW(Table_Arrow_Coords[[#Headers],[Arrow_X]])-1,4)+1),NA())</f>
        <v>#N/A</v>
      </c>
      <c r="T146" t="e">
        <f>IFERROR(INDEX(Table_Process_Details[[Y Start]:[Y Intentionally NA]],INT((ROW()-ROW(Table_Arrow_Coords[[#Headers],[Arrow_Y]])-1)/4)+1,MOD(ROW()-ROW(Table_Arrow_Coords[[#Headers],[Arrow_Y]])-1,4)+1),NA())</f>
        <v>#N/A</v>
      </c>
      <c r="U146" s="1"/>
      <c r="V146" s="1"/>
      <c r="W146" s="1"/>
      <c r="X146" s="1"/>
      <c r="Y146" s="1"/>
      <c r="Z146" s="1"/>
    </row>
    <row r="147" spans="19:26" x14ac:dyDescent="0.25">
      <c r="S147" t="e">
        <f>IFERROR(INDEX(Table_Process_Details[[X Start]:[X Intentionally NA]],INT((ROW()-ROW(Table_Arrow_Coords[[#Headers],[Arrow_X]])-1)/4)+1,MOD(ROW()-ROW(Table_Arrow_Coords[[#Headers],[Arrow_X]])-1,4)+1),NA())</f>
        <v>#N/A</v>
      </c>
      <c r="T147" t="e">
        <f>IFERROR(INDEX(Table_Process_Details[[Y Start]:[Y Intentionally NA]],INT((ROW()-ROW(Table_Arrow_Coords[[#Headers],[Arrow_Y]])-1)/4)+1,MOD(ROW()-ROW(Table_Arrow_Coords[[#Headers],[Arrow_Y]])-1,4)+1),NA())</f>
        <v>#N/A</v>
      </c>
      <c r="U147" s="1"/>
      <c r="V147" s="1"/>
      <c r="W147" s="1"/>
      <c r="X147" s="1"/>
      <c r="Y147" s="1"/>
      <c r="Z147" s="1"/>
    </row>
    <row r="148" spans="19:26" x14ac:dyDescent="0.25">
      <c r="S148" t="e">
        <f>IFERROR(INDEX(Table_Process_Details[[X Start]:[X Intentionally NA]],INT((ROW()-ROW(Table_Arrow_Coords[[#Headers],[Arrow_X]])-1)/4)+1,MOD(ROW()-ROW(Table_Arrow_Coords[[#Headers],[Arrow_X]])-1,4)+1),NA())</f>
        <v>#N/A</v>
      </c>
      <c r="T148" t="e">
        <f>IFERROR(INDEX(Table_Process_Details[[Y Start]:[Y Intentionally NA]],INT((ROW()-ROW(Table_Arrow_Coords[[#Headers],[Arrow_Y]])-1)/4)+1,MOD(ROW()-ROW(Table_Arrow_Coords[[#Headers],[Arrow_Y]])-1,4)+1),NA())</f>
        <v>#N/A</v>
      </c>
      <c r="U148" s="1"/>
      <c r="V148" s="1"/>
      <c r="W148" s="1"/>
      <c r="X148" s="1"/>
      <c r="Y148" s="1"/>
      <c r="Z148" s="1"/>
    </row>
    <row r="149" spans="19:26" x14ac:dyDescent="0.25">
      <c r="S149" t="e">
        <f>IFERROR(INDEX(Table_Process_Details[[X Start]:[X Intentionally NA]],INT((ROW()-ROW(Table_Arrow_Coords[[#Headers],[Arrow_X]])-1)/4)+1,MOD(ROW()-ROW(Table_Arrow_Coords[[#Headers],[Arrow_X]])-1,4)+1),NA())</f>
        <v>#N/A</v>
      </c>
      <c r="T149" t="e">
        <f>IFERROR(INDEX(Table_Process_Details[[Y Start]:[Y Intentionally NA]],INT((ROW()-ROW(Table_Arrow_Coords[[#Headers],[Arrow_Y]])-1)/4)+1,MOD(ROW()-ROW(Table_Arrow_Coords[[#Headers],[Arrow_Y]])-1,4)+1),NA())</f>
        <v>#N/A</v>
      </c>
      <c r="U149" s="1"/>
      <c r="V149" s="1"/>
      <c r="W149" s="1"/>
      <c r="X149" s="1"/>
      <c r="Y149" s="1"/>
      <c r="Z149" s="1"/>
    </row>
    <row r="150" spans="19:26" x14ac:dyDescent="0.25">
      <c r="S150" t="e">
        <f>IFERROR(INDEX(Table_Process_Details[[X Start]:[X Intentionally NA]],INT((ROW()-ROW(Table_Arrow_Coords[[#Headers],[Arrow_X]])-1)/4)+1,MOD(ROW()-ROW(Table_Arrow_Coords[[#Headers],[Arrow_X]])-1,4)+1),NA())</f>
        <v>#N/A</v>
      </c>
      <c r="T150" t="e">
        <f>IFERROR(INDEX(Table_Process_Details[[Y Start]:[Y Intentionally NA]],INT((ROW()-ROW(Table_Arrow_Coords[[#Headers],[Arrow_Y]])-1)/4)+1,MOD(ROW()-ROW(Table_Arrow_Coords[[#Headers],[Arrow_Y]])-1,4)+1),NA())</f>
        <v>#N/A</v>
      </c>
      <c r="U150" s="1"/>
      <c r="V150" s="1"/>
      <c r="W150" s="1"/>
      <c r="X150" s="1"/>
      <c r="Y150" s="1"/>
      <c r="Z150" s="1"/>
    </row>
    <row r="151" spans="19:26" x14ac:dyDescent="0.25">
      <c r="S151" t="e">
        <f>IFERROR(INDEX(Table_Process_Details[[X Start]:[X Intentionally NA]],INT((ROW()-ROW(Table_Arrow_Coords[[#Headers],[Arrow_X]])-1)/4)+1,MOD(ROW()-ROW(Table_Arrow_Coords[[#Headers],[Arrow_X]])-1,4)+1),NA())</f>
        <v>#N/A</v>
      </c>
      <c r="T151" t="e">
        <f>IFERROR(INDEX(Table_Process_Details[[Y Start]:[Y Intentionally NA]],INT((ROW()-ROW(Table_Arrow_Coords[[#Headers],[Arrow_Y]])-1)/4)+1,MOD(ROW()-ROW(Table_Arrow_Coords[[#Headers],[Arrow_Y]])-1,4)+1),NA())</f>
        <v>#N/A</v>
      </c>
      <c r="U151" s="1"/>
      <c r="V151" s="1"/>
      <c r="W151" s="1"/>
      <c r="X151" s="1"/>
      <c r="Y151" s="1"/>
      <c r="Z151" s="1"/>
    </row>
    <row r="152" spans="19:26" x14ac:dyDescent="0.25">
      <c r="S152" t="e">
        <f>IFERROR(INDEX(Table_Process_Details[[X Start]:[X Intentionally NA]],INT((ROW()-ROW(Table_Arrow_Coords[[#Headers],[Arrow_X]])-1)/4)+1,MOD(ROW()-ROW(Table_Arrow_Coords[[#Headers],[Arrow_X]])-1,4)+1),NA())</f>
        <v>#N/A</v>
      </c>
      <c r="T152" t="e">
        <f>IFERROR(INDEX(Table_Process_Details[[Y Start]:[Y Intentionally NA]],INT((ROW()-ROW(Table_Arrow_Coords[[#Headers],[Arrow_Y]])-1)/4)+1,MOD(ROW()-ROW(Table_Arrow_Coords[[#Headers],[Arrow_Y]])-1,4)+1),NA())</f>
        <v>#N/A</v>
      </c>
      <c r="U152" s="1"/>
      <c r="V152" s="1"/>
      <c r="W152" s="1"/>
      <c r="X152" s="1"/>
      <c r="Y152" s="1"/>
      <c r="Z152" s="1"/>
    </row>
    <row r="153" spans="19:26" x14ac:dyDescent="0.25">
      <c r="S153" t="e">
        <f>IFERROR(INDEX(Table_Process_Details[[X Start]:[X Intentionally NA]],INT((ROW()-ROW(Table_Arrow_Coords[[#Headers],[Arrow_X]])-1)/4)+1,MOD(ROW()-ROW(Table_Arrow_Coords[[#Headers],[Arrow_X]])-1,4)+1),NA())</f>
        <v>#N/A</v>
      </c>
      <c r="T153" t="e">
        <f>IFERROR(INDEX(Table_Process_Details[[Y Start]:[Y Intentionally NA]],INT((ROW()-ROW(Table_Arrow_Coords[[#Headers],[Arrow_Y]])-1)/4)+1,MOD(ROW()-ROW(Table_Arrow_Coords[[#Headers],[Arrow_Y]])-1,4)+1),NA())</f>
        <v>#N/A</v>
      </c>
      <c r="U153" s="1"/>
      <c r="V153" s="1"/>
      <c r="W153" s="1"/>
      <c r="X153" s="1"/>
      <c r="Y153" s="1"/>
      <c r="Z153" s="1"/>
    </row>
    <row r="154" spans="19:26" x14ac:dyDescent="0.25">
      <c r="S154" t="e">
        <f>IFERROR(INDEX(Table_Process_Details[[X Start]:[X Intentionally NA]],INT((ROW()-ROW(Table_Arrow_Coords[[#Headers],[Arrow_X]])-1)/4)+1,MOD(ROW()-ROW(Table_Arrow_Coords[[#Headers],[Arrow_X]])-1,4)+1),NA())</f>
        <v>#N/A</v>
      </c>
      <c r="T154" t="e">
        <f>IFERROR(INDEX(Table_Process_Details[[Y Start]:[Y Intentionally NA]],INT((ROW()-ROW(Table_Arrow_Coords[[#Headers],[Arrow_Y]])-1)/4)+1,MOD(ROW()-ROW(Table_Arrow_Coords[[#Headers],[Arrow_Y]])-1,4)+1),NA())</f>
        <v>#N/A</v>
      </c>
      <c r="U154" s="1"/>
      <c r="V154" s="1"/>
      <c r="W154" s="1"/>
      <c r="X154" s="1"/>
      <c r="Y154" s="1"/>
      <c r="Z154" s="1"/>
    </row>
    <row r="155" spans="19:26" x14ac:dyDescent="0.25">
      <c r="S155" t="e">
        <f>IFERROR(INDEX(Table_Process_Details[[X Start]:[X Intentionally NA]],INT((ROW()-ROW(Table_Arrow_Coords[[#Headers],[Arrow_X]])-1)/4)+1,MOD(ROW()-ROW(Table_Arrow_Coords[[#Headers],[Arrow_X]])-1,4)+1),NA())</f>
        <v>#N/A</v>
      </c>
      <c r="T155" t="e">
        <f>IFERROR(INDEX(Table_Process_Details[[Y Start]:[Y Intentionally NA]],INT((ROW()-ROW(Table_Arrow_Coords[[#Headers],[Arrow_Y]])-1)/4)+1,MOD(ROW()-ROW(Table_Arrow_Coords[[#Headers],[Arrow_Y]])-1,4)+1),NA())</f>
        <v>#N/A</v>
      </c>
      <c r="U155" s="1"/>
      <c r="V155" s="1"/>
      <c r="W155" s="1"/>
      <c r="X155" s="1"/>
      <c r="Y155" s="1"/>
      <c r="Z155" s="1"/>
    </row>
    <row r="156" spans="19:26" x14ac:dyDescent="0.25">
      <c r="S156" t="e">
        <f>IFERROR(INDEX(Table_Process_Details[[X Start]:[X Intentionally NA]],INT((ROW()-ROW(Table_Arrow_Coords[[#Headers],[Arrow_X]])-1)/4)+1,MOD(ROW()-ROW(Table_Arrow_Coords[[#Headers],[Arrow_X]])-1,4)+1),NA())</f>
        <v>#N/A</v>
      </c>
      <c r="T156" t="e">
        <f>IFERROR(INDEX(Table_Process_Details[[Y Start]:[Y Intentionally NA]],INT((ROW()-ROW(Table_Arrow_Coords[[#Headers],[Arrow_Y]])-1)/4)+1,MOD(ROW()-ROW(Table_Arrow_Coords[[#Headers],[Arrow_Y]])-1,4)+1),NA())</f>
        <v>#N/A</v>
      </c>
      <c r="U156" s="1"/>
      <c r="V156" s="1"/>
      <c r="W156" s="1"/>
      <c r="X156" s="1"/>
      <c r="Y156" s="1"/>
      <c r="Z156" s="1"/>
    </row>
    <row r="157" spans="19:26" x14ac:dyDescent="0.25">
      <c r="S157" t="e">
        <f>IFERROR(INDEX(Table_Process_Details[[X Start]:[X Intentionally NA]],INT((ROW()-ROW(Table_Arrow_Coords[[#Headers],[Arrow_X]])-1)/4)+1,MOD(ROW()-ROW(Table_Arrow_Coords[[#Headers],[Arrow_X]])-1,4)+1),NA())</f>
        <v>#N/A</v>
      </c>
      <c r="T157" t="e">
        <f>IFERROR(INDEX(Table_Process_Details[[Y Start]:[Y Intentionally NA]],INT((ROW()-ROW(Table_Arrow_Coords[[#Headers],[Arrow_Y]])-1)/4)+1,MOD(ROW()-ROW(Table_Arrow_Coords[[#Headers],[Arrow_Y]])-1,4)+1),NA())</f>
        <v>#N/A</v>
      </c>
      <c r="U157" s="1"/>
      <c r="V157" s="1"/>
      <c r="W157" s="1"/>
      <c r="X157" s="1"/>
      <c r="Y157" s="1"/>
      <c r="Z157" s="1"/>
    </row>
    <row r="158" spans="19:26" x14ac:dyDescent="0.25">
      <c r="S158" t="e">
        <f>IFERROR(INDEX(Table_Process_Details[[X Start]:[X Intentionally NA]],INT((ROW()-ROW(Table_Arrow_Coords[[#Headers],[Arrow_X]])-1)/4)+1,MOD(ROW()-ROW(Table_Arrow_Coords[[#Headers],[Arrow_X]])-1,4)+1),NA())</f>
        <v>#N/A</v>
      </c>
      <c r="T158" t="e">
        <f>IFERROR(INDEX(Table_Process_Details[[Y Start]:[Y Intentionally NA]],INT((ROW()-ROW(Table_Arrow_Coords[[#Headers],[Arrow_Y]])-1)/4)+1,MOD(ROW()-ROW(Table_Arrow_Coords[[#Headers],[Arrow_Y]])-1,4)+1),NA())</f>
        <v>#N/A</v>
      </c>
      <c r="U158" s="1"/>
      <c r="V158" s="1"/>
      <c r="W158" s="1"/>
      <c r="X158" s="1"/>
      <c r="Y158" s="1"/>
      <c r="Z158" s="1"/>
    </row>
    <row r="159" spans="19:26" x14ac:dyDescent="0.25">
      <c r="S159" t="e">
        <f>IFERROR(INDEX(Table_Process_Details[[X Start]:[X Intentionally NA]],INT((ROW()-ROW(Table_Arrow_Coords[[#Headers],[Arrow_X]])-1)/4)+1,MOD(ROW()-ROW(Table_Arrow_Coords[[#Headers],[Arrow_X]])-1,4)+1),NA())</f>
        <v>#N/A</v>
      </c>
      <c r="T159" t="e">
        <f>IFERROR(INDEX(Table_Process_Details[[Y Start]:[Y Intentionally NA]],INT((ROW()-ROW(Table_Arrow_Coords[[#Headers],[Arrow_Y]])-1)/4)+1,MOD(ROW()-ROW(Table_Arrow_Coords[[#Headers],[Arrow_Y]])-1,4)+1),NA())</f>
        <v>#N/A</v>
      </c>
      <c r="U159" s="1"/>
      <c r="V159" s="1"/>
      <c r="W159" s="1"/>
      <c r="X159" s="1"/>
      <c r="Y159" s="1"/>
      <c r="Z159" s="1"/>
    </row>
    <row r="160" spans="19:26" x14ac:dyDescent="0.25">
      <c r="S160" t="e">
        <f>IFERROR(INDEX(Table_Process_Details[[X Start]:[X Intentionally NA]],INT((ROW()-ROW(Table_Arrow_Coords[[#Headers],[Arrow_X]])-1)/4)+1,MOD(ROW()-ROW(Table_Arrow_Coords[[#Headers],[Arrow_X]])-1,4)+1),NA())</f>
        <v>#N/A</v>
      </c>
      <c r="T160" t="e">
        <f>IFERROR(INDEX(Table_Process_Details[[Y Start]:[Y Intentionally NA]],INT((ROW()-ROW(Table_Arrow_Coords[[#Headers],[Arrow_Y]])-1)/4)+1,MOD(ROW()-ROW(Table_Arrow_Coords[[#Headers],[Arrow_Y]])-1,4)+1),NA())</f>
        <v>#N/A</v>
      </c>
      <c r="U160" s="1"/>
      <c r="V160" s="1"/>
      <c r="W160" s="1"/>
      <c r="X160" s="1"/>
      <c r="Y160" s="1"/>
      <c r="Z160" s="1"/>
    </row>
    <row r="161" spans="19:26" x14ac:dyDescent="0.25">
      <c r="S161" t="e">
        <f>IFERROR(INDEX(Table_Process_Details[[X Start]:[X Intentionally NA]],INT((ROW()-ROW(Table_Arrow_Coords[[#Headers],[Arrow_X]])-1)/4)+1,MOD(ROW()-ROW(Table_Arrow_Coords[[#Headers],[Arrow_X]])-1,4)+1),NA())</f>
        <v>#N/A</v>
      </c>
      <c r="T161" t="e">
        <f>IFERROR(INDEX(Table_Process_Details[[Y Start]:[Y Intentionally NA]],INT((ROW()-ROW(Table_Arrow_Coords[[#Headers],[Arrow_Y]])-1)/4)+1,MOD(ROW()-ROW(Table_Arrow_Coords[[#Headers],[Arrow_Y]])-1,4)+1),NA())</f>
        <v>#N/A</v>
      </c>
      <c r="U161" s="1"/>
      <c r="V161" s="1"/>
      <c r="W161" s="1"/>
      <c r="X161" s="1"/>
      <c r="Y161" s="1"/>
      <c r="Z161" s="1"/>
    </row>
    <row r="162" spans="19:26" x14ac:dyDescent="0.25">
      <c r="S162" t="e">
        <f>IFERROR(INDEX(Table_Process_Details[[X Start]:[X Intentionally NA]],INT((ROW()-ROW(Table_Arrow_Coords[[#Headers],[Arrow_X]])-1)/4)+1,MOD(ROW()-ROW(Table_Arrow_Coords[[#Headers],[Arrow_X]])-1,4)+1),NA())</f>
        <v>#N/A</v>
      </c>
      <c r="T162" t="e">
        <f>IFERROR(INDEX(Table_Process_Details[[Y Start]:[Y Intentionally NA]],INT((ROW()-ROW(Table_Arrow_Coords[[#Headers],[Arrow_Y]])-1)/4)+1,MOD(ROW()-ROW(Table_Arrow_Coords[[#Headers],[Arrow_Y]])-1,4)+1),NA())</f>
        <v>#N/A</v>
      </c>
      <c r="U162" s="1"/>
      <c r="V162" s="1"/>
      <c r="W162" s="1"/>
      <c r="X162" s="1"/>
      <c r="Y162" s="1"/>
      <c r="Z162" s="1"/>
    </row>
    <row r="163" spans="19:26" x14ac:dyDescent="0.25">
      <c r="S163" t="e">
        <f>IFERROR(INDEX(Table_Process_Details[[X Start]:[X Intentionally NA]],INT((ROW()-ROW(Table_Arrow_Coords[[#Headers],[Arrow_X]])-1)/4)+1,MOD(ROW()-ROW(Table_Arrow_Coords[[#Headers],[Arrow_X]])-1,4)+1),NA())</f>
        <v>#N/A</v>
      </c>
      <c r="T163" t="e">
        <f>IFERROR(INDEX(Table_Process_Details[[Y Start]:[Y Intentionally NA]],INT((ROW()-ROW(Table_Arrow_Coords[[#Headers],[Arrow_Y]])-1)/4)+1,MOD(ROW()-ROW(Table_Arrow_Coords[[#Headers],[Arrow_Y]])-1,4)+1),NA())</f>
        <v>#N/A</v>
      </c>
      <c r="U163" s="1"/>
      <c r="V163" s="1"/>
      <c r="W163" s="1"/>
      <c r="X163" s="1"/>
      <c r="Y163" s="1"/>
      <c r="Z163" s="1"/>
    </row>
    <row r="164" spans="19:26" x14ac:dyDescent="0.25">
      <c r="S164" t="e">
        <f>IFERROR(INDEX(Table_Process_Details[[X Start]:[X Intentionally NA]],INT((ROW()-ROW(Table_Arrow_Coords[[#Headers],[Arrow_X]])-1)/4)+1,MOD(ROW()-ROW(Table_Arrow_Coords[[#Headers],[Arrow_X]])-1,4)+1),NA())</f>
        <v>#N/A</v>
      </c>
      <c r="T164" t="e">
        <f>IFERROR(INDEX(Table_Process_Details[[Y Start]:[Y Intentionally NA]],INT((ROW()-ROW(Table_Arrow_Coords[[#Headers],[Arrow_Y]])-1)/4)+1,MOD(ROW()-ROW(Table_Arrow_Coords[[#Headers],[Arrow_Y]])-1,4)+1),NA())</f>
        <v>#N/A</v>
      </c>
      <c r="U164" s="1"/>
      <c r="V164" s="1"/>
      <c r="W164" s="1"/>
      <c r="X164" s="1"/>
      <c r="Y164" s="1"/>
      <c r="Z164" s="1"/>
    </row>
    <row r="165" spans="19:26" x14ac:dyDescent="0.25">
      <c r="S165" t="e">
        <f>IFERROR(INDEX(Table_Process_Details[[X Start]:[X Intentionally NA]],INT((ROW()-ROW(Table_Arrow_Coords[[#Headers],[Arrow_X]])-1)/4)+1,MOD(ROW()-ROW(Table_Arrow_Coords[[#Headers],[Arrow_X]])-1,4)+1),NA())</f>
        <v>#N/A</v>
      </c>
      <c r="T165" t="e">
        <f>IFERROR(INDEX(Table_Process_Details[[Y Start]:[Y Intentionally NA]],INT((ROW()-ROW(Table_Arrow_Coords[[#Headers],[Arrow_Y]])-1)/4)+1,MOD(ROW()-ROW(Table_Arrow_Coords[[#Headers],[Arrow_Y]])-1,4)+1),NA())</f>
        <v>#N/A</v>
      </c>
      <c r="U165" s="1"/>
      <c r="V165" s="1"/>
      <c r="W165" s="1"/>
      <c r="X165" s="1"/>
      <c r="Y165" s="1"/>
      <c r="Z165" s="1"/>
    </row>
    <row r="166" spans="19:26" x14ac:dyDescent="0.25">
      <c r="S166" t="e">
        <f>IFERROR(INDEX(Table_Process_Details[[X Start]:[X Intentionally NA]],INT((ROW()-ROW(Table_Arrow_Coords[[#Headers],[Arrow_X]])-1)/4)+1,MOD(ROW()-ROW(Table_Arrow_Coords[[#Headers],[Arrow_X]])-1,4)+1),NA())</f>
        <v>#N/A</v>
      </c>
      <c r="T166" t="e">
        <f>IFERROR(INDEX(Table_Process_Details[[Y Start]:[Y Intentionally NA]],INT((ROW()-ROW(Table_Arrow_Coords[[#Headers],[Arrow_Y]])-1)/4)+1,MOD(ROW()-ROW(Table_Arrow_Coords[[#Headers],[Arrow_Y]])-1,4)+1),NA())</f>
        <v>#N/A</v>
      </c>
      <c r="U166" s="1"/>
      <c r="V166" s="1"/>
      <c r="W166" s="1"/>
      <c r="X166" s="1"/>
      <c r="Y166" s="1"/>
      <c r="Z166" s="1"/>
    </row>
    <row r="167" spans="19:26" x14ac:dyDescent="0.25">
      <c r="S167" t="e">
        <f>IFERROR(INDEX(Table_Process_Details[[X Start]:[X Intentionally NA]],INT((ROW()-ROW(Table_Arrow_Coords[[#Headers],[Arrow_X]])-1)/4)+1,MOD(ROW()-ROW(Table_Arrow_Coords[[#Headers],[Arrow_X]])-1,4)+1),NA())</f>
        <v>#N/A</v>
      </c>
      <c r="T167" t="e">
        <f>IFERROR(INDEX(Table_Process_Details[[Y Start]:[Y Intentionally NA]],INT((ROW()-ROW(Table_Arrow_Coords[[#Headers],[Arrow_Y]])-1)/4)+1,MOD(ROW()-ROW(Table_Arrow_Coords[[#Headers],[Arrow_Y]])-1,4)+1),NA())</f>
        <v>#N/A</v>
      </c>
      <c r="U167" s="1"/>
      <c r="V167" s="1"/>
      <c r="W167" s="1"/>
      <c r="X167" s="1"/>
      <c r="Y167" s="1"/>
      <c r="Z167" s="1"/>
    </row>
    <row r="168" spans="19:26" x14ac:dyDescent="0.25">
      <c r="S168" t="e">
        <f>IFERROR(INDEX(Table_Process_Details[[X Start]:[X Intentionally NA]],INT((ROW()-ROW(Table_Arrow_Coords[[#Headers],[Arrow_X]])-1)/4)+1,MOD(ROW()-ROW(Table_Arrow_Coords[[#Headers],[Arrow_X]])-1,4)+1),NA())</f>
        <v>#N/A</v>
      </c>
      <c r="T168" t="e">
        <f>IFERROR(INDEX(Table_Process_Details[[Y Start]:[Y Intentionally NA]],INT((ROW()-ROW(Table_Arrow_Coords[[#Headers],[Arrow_Y]])-1)/4)+1,MOD(ROW()-ROW(Table_Arrow_Coords[[#Headers],[Arrow_Y]])-1,4)+1),NA())</f>
        <v>#N/A</v>
      </c>
      <c r="U168" s="1"/>
      <c r="V168" s="1"/>
      <c r="W168" s="1"/>
      <c r="X168" s="1"/>
      <c r="Y168" s="1"/>
      <c r="Z168" s="1"/>
    </row>
    <row r="169" spans="19:26" x14ac:dyDescent="0.25">
      <c r="S169" t="e">
        <f>IFERROR(INDEX(Table_Process_Details[[X Start]:[X Intentionally NA]],INT((ROW()-ROW(Table_Arrow_Coords[[#Headers],[Arrow_X]])-1)/4)+1,MOD(ROW()-ROW(Table_Arrow_Coords[[#Headers],[Arrow_X]])-1,4)+1),NA())</f>
        <v>#N/A</v>
      </c>
      <c r="T169" t="e">
        <f>IFERROR(INDEX(Table_Process_Details[[Y Start]:[Y Intentionally NA]],INT((ROW()-ROW(Table_Arrow_Coords[[#Headers],[Arrow_Y]])-1)/4)+1,MOD(ROW()-ROW(Table_Arrow_Coords[[#Headers],[Arrow_Y]])-1,4)+1),NA())</f>
        <v>#N/A</v>
      </c>
      <c r="U169" s="1"/>
      <c r="V169" s="1"/>
      <c r="W169" s="1"/>
      <c r="X169" s="1"/>
      <c r="Y169" s="1"/>
      <c r="Z169" s="1"/>
    </row>
    <row r="170" spans="19:26" x14ac:dyDescent="0.25">
      <c r="S170" t="e">
        <f>IFERROR(INDEX(Table_Process_Details[[X Start]:[X Intentionally NA]],INT((ROW()-ROW(Table_Arrow_Coords[[#Headers],[Arrow_X]])-1)/4)+1,MOD(ROW()-ROW(Table_Arrow_Coords[[#Headers],[Arrow_X]])-1,4)+1),NA())</f>
        <v>#N/A</v>
      </c>
      <c r="T170" t="e">
        <f>IFERROR(INDEX(Table_Process_Details[[Y Start]:[Y Intentionally NA]],INT((ROW()-ROW(Table_Arrow_Coords[[#Headers],[Arrow_Y]])-1)/4)+1,MOD(ROW()-ROW(Table_Arrow_Coords[[#Headers],[Arrow_Y]])-1,4)+1),NA())</f>
        <v>#N/A</v>
      </c>
      <c r="U170" s="1"/>
      <c r="V170" s="1"/>
      <c r="W170" s="1"/>
      <c r="X170" s="1"/>
      <c r="Y170" s="1"/>
      <c r="Z170" s="1"/>
    </row>
    <row r="171" spans="19:26" x14ac:dyDescent="0.25">
      <c r="S171" t="e">
        <f>IFERROR(INDEX(Table_Process_Details[[X Start]:[X Intentionally NA]],INT((ROW()-ROW(Table_Arrow_Coords[[#Headers],[Arrow_X]])-1)/4)+1,MOD(ROW()-ROW(Table_Arrow_Coords[[#Headers],[Arrow_X]])-1,4)+1),NA())</f>
        <v>#N/A</v>
      </c>
      <c r="T171" t="e">
        <f>IFERROR(INDEX(Table_Process_Details[[Y Start]:[Y Intentionally NA]],INT((ROW()-ROW(Table_Arrow_Coords[[#Headers],[Arrow_Y]])-1)/4)+1,MOD(ROW()-ROW(Table_Arrow_Coords[[#Headers],[Arrow_Y]])-1,4)+1),NA())</f>
        <v>#N/A</v>
      </c>
      <c r="U171" s="1"/>
      <c r="V171" s="1"/>
      <c r="W171" s="1"/>
      <c r="X171" s="1"/>
      <c r="Y171" s="1"/>
      <c r="Z171" s="1"/>
    </row>
    <row r="172" spans="19:26" x14ac:dyDescent="0.25">
      <c r="S172" t="e">
        <f>IFERROR(INDEX(Table_Process_Details[[X Start]:[X Intentionally NA]],INT((ROW()-ROW(Table_Arrow_Coords[[#Headers],[Arrow_X]])-1)/4)+1,MOD(ROW()-ROW(Table_Arrow_Coords[[#Headers],[Arrow_X]])-1,4)+1),NA())</f>
        <v>#N/A</v>
      </c>
      <c r="T172" t="e">
        <f>IFERROR(INDEX(Table_Process_Details[[Y Start]:[Y Intentionally NA]],INT((ROW()-ROW(Table_Arrow_Coords[[#Headers],[Arrow_Y]])-1)/4)+1,MOD(ROW()-ROW(Table_Arrow_Coords[[#Headers],[Arrow_Y]])-1,4)+1),NA())</f>
        <v>#N/A</v>
      </c>
      <c r="U172" s="1"/>
      <c r="V172" s="1"/>
      <c r="W172" s="1"/>
      <c r="X172" s="1"/>
      <c r="Y172" s="1"/>
      <c r="Z172" s="1"/>
    </row>
    <row r="173" spans="19:26" x14ac:dyDescent="0.25">
      <c r="S173" t="e">
        <f>IFERROR(INDEX(Table_Process_Details[[X Start]:[X Intentionally NA]],INT((ROW()-ROW(Table_Arrow_Coords[[#Headers],[Arrow_X]])-1)/4)+1,MOD(ROW()-ROW(Table_Arrow_Coords[[#Headers],[Arrow_X]])-1,4)+1),NA())</f>
        <v>#N/A</v>
      </c>
      <c r="T173" t="e">
        <f>IFERROR(INDEX(Table_Process_Details[[Y Start]:[Y Intentionally NA]],INT((ROW()-ROW(Table_Arrow_Coords[[#Headers],[Arrow_Y]])-1)/4)+1,MOD(ROW()-ROW(Table_Arrow_Coords[[#Headers],[Arrow_Y]])-1,4)+1),NA())</f>
        <v>#N/A</v>
      </c>
      <c r="U173" s="1"/>
      <c r="V173" s="1"/>
      <c r="W173" s="1"/>
      <c r="X173" s="1"/>
      <c r="Y173" s="1"/>
      <c r="Z173" s="1"/>
    </row>
    <row r="174" spans="19:26" x14ac:dyDescent="0.25">
      <c r="S174" t="e">
        <f>IFERROR(INDEX(Table_Process_Details[[X Start]:[X Intentionally NA]],INT((ROW()-ROW(Table_Arrow_Coords[[#Headers],[Arrow_X]])-1)/4)+1,MOD(ROW()-ROW(Table_Arrow_Coords[[#Headers],[Arrow_X]])-1,4)+1),NA())</f>
        <v>#N/A</v>
      </c>
      <c r="T174" t="e">
        <f>IFERROR(INDEX(Table_Process_Details[[Y Start]:[Y Intentionally NA]],INT((ROW()-ROW(Table_Arrow_Coords[[#Headers],[Arrow_Y]])-1)/4)+1,MOD(ROW()-ROW(Table_Arrow_Coords[[#Headers],[Arrow_Y]])-1,4)+1),NA())</f>
        <v>#N/A</v>
      </c>
      <c r="U174" s="1"/>
      <c r="V174" s="1"/>
      <c r="W174" s="1"/>
      <c r="X174" s="1"/>
      <c r="Y174" s="1"/>
      <c r="Z174" s="1"/>
    </row>
    <row r="175" spans="19:26" x14ac:dyDescent="0.25">
      <c r="S175" t="e">
        <f>IFERROR(INDEX(Table_Process_Details[[X Start]:[X Intentionally NA]],INT((ROW()-ROW(Table_Arrow_Coords[[#Headers],[Arrow_X]])-1)/4)+1,MOD(ROW()-ROW(Table_Arrow_Coords[[#Headers],[Arrow_X]])-1,4)+1),NA())</f>
        <v>#N/A</v>
      </c>
      <c r="T175" t="e">
        <f>IFERROR(INDEX(Table_Process_Details[[Y Start]:[Y Intentionally NA]],INT((ROW()-ROW(Table_Arrow_Coords[[#Headers],[Arrow_Y]])-1)/4)+1,MOD(ROW()-ROW(Table_Arrow_Coords[[#Headers],[Arrow_Y]])-1,4)+1),NA())</f>
        <v>#N/A</v>
      </c>
      <c r="U175" s="1"/>
      <c r="V175" s="1"/>
      <c r="W175" s="1"/>
      <c r="X175" s="1"/>
      <c r="Y175" s="1"/>
      <c r="Z175" s="1"/>
    </row>
    <row r="176" spans="19:26" x14ac:dyDescent="0.25">
      <c r="S176" t="e">
        <f>IFERROR(INDEX(Table_Process_Details[[X Start]:[X Intentionally NA]],INT((ROW()-ROW(Table_Arrow_Coords[[#Headers],[Arrow_X]])-1)/4)+1,MOD(ROW()-ROW(Table_Arrow_Coords[[#Headers],[Arrow_X]])-1,4)+1),NA())</f>
        <v>#N/A</v>
      </c>
      <c r="T176" t="e">
        <f>IFERROR(INDEX(Table_Process_Details[[Y Start]:[Y Intentionally NA]],INT((ROW()-ROW(Table_Arrow_Coords[[#Headers],[Arrow_Y]])-1)/4)+1,MOD(ROW()-ROW(Table_Arrow_Coords[[#Headers],[Arrow_Y]])-1,4)+1),NA())</f>
        <v>#N/A</v>
      </c>
      <c r="U176" s="1"/>
      <c r="V176" s="1"/>
      <c r="W176" s="1"/>
      <c r="X176" s="1"/>
      <c r="Y176" s="1"/>
      <c r="Z176" s="1"/>
    </row>
    <row r="177" spans="19:26" x14ac:dyDescent="0.25">
      <c r="S177" t="e">
        <f>IFERROR(INDEX(Table_Process_Details[[X Start]:[X Intentionally NA]],INT((ROW()-ROW(Table_Arrow_Coords[[#Headers],[Arrow_X]])-1)/4)+1,MOD(ROW()-ROW(Table_Arrow_Coords[[#Headers],[Arrow_X]])-1,4)+1),NA())</f>
        <v>#N/A</v>
      </c>
      <c r="T177" t="e">
        <f>IFERROR(INDEX(Table_Process_Details[[Y Start]:[Y Intentionally NA]],INT((ROW()-ROW(Table_Arrow_Coords[[#Headers],[Arrow_Y]])-1)/4)+1,MOD(ROW()-ROW(Table_Arrow_Coords[[#Headers],[Arrow_Y]])-1,4)+1),NA())</f>
        <v>#N/A</v>
      </c>
      <c r="U177" s="1"/>
      <c r="V177" s="1"/>
      <c r="W177" s="1"/>
      <c r="X177" s="1"/>
      <c r="Y177" s="1"/>
      <c r="Z177" s="1"/>
    </row>
    <row r="178" spans="19:26" x14ac:dyDescent="0.25">
      <c r="S178" t="e">
        <f>IFERROR(INDEX(Table_Process_Details[[X Start]:[X Intentionally NA]],INT((ROW()-ROW(Table_Arrow_Coords[[#Headers],[Arrow_X]])-1)/4)+1,MOD(ROW()-ROW(Table_Arrow_Coords[[#Headers],[Arrow_X]])-1,4)+1),NA())</f>
        <v>#N/A</v>
      </c>
      <c r="T178" t="e">
        <f>IFERROR(INDEX(Table_Process_Details[[Y Start]:[Y Intentionally NA]],INT((ROW()-ROW(Table_Arrow_Coords[[#Headers],[Arrow_Y]])-1)/4)+1,MOD(ROW()-ROW(Table_Arrow_Coords[[#Headers],[Arrow_Y]])-1,4)+1),NA())</f>
        <v>#N/A</v>
      </c>
      <c r="U178" s="1"/>
      <c r="V178" s="1"/>
      <c r="W178" s="1"/>
      <c r="X178" s="1"/>
      <c r="Y178" s="1"/>
      <c r="Z178" s="1"/>
    </row>
    <row r="179" spans="19:26" x14ac:dyDescent="0.25">
      <c r="S179" t="e">
        <f>IFERROR(INDEX(Table_Process_Details[[X Start]:[X Intentionally NA]],INT((ROW()-ROW(Table_Arrow_Coords[[#Headers],[Arrow_X]])-1)/4)+1,MOD(ROW()-ROW(Table_Arrow_Coords[[#Headers],[Arrow_X]])-1,4)+1),NA())</f>
        <v>#N/A</v>
      </c>
      <c r="T179" t="e">
        <f>IFERROR(INDEX(Table_Process_Details[[Y Start]:[Y Intentionally NA]],INT((ROW()-ROW(Table_Arrow_Coords[[#Headers],[Arrow_Y]])-1)/4)+1,MOD(ROW()-ROW(Table_Arrow_Coords[[#Headers],[Arrow_Y]])-1,4)+1),NA())</f>
        <v>#N/A</v>
      </c>
      <c r="U179" s="1"/>
      <c r="V179" s="1"/>
      <c r="W179" s="1"/>
      <c r="X179" s="1"/>
      <c r="Y179" s="1"/>
      <c r="Z179" s="1"/>
    </row>
    <row r="180" spans="19:26" x14ac:dyDescent="0.25">
      <c r="S180" t="e">
        <f>IFERROR(INDEX(Table_Process_Details[[X Start]:[X Intentionally NA]],INT((ROW()-ROW(Table_Arrow_Coords[[#Headers],[Arrow_X]])-1)/4)+1,MOD(ROW()-ROW(Table_Arrow_Coords[[#Headers],[Arrow_X]])-1,4)+1),NA())</f>
        <v>#N/A</v>
      </c>
      <c r="T180" t="e">
        <f>IFERROR(INDEX(Table_Process_Details[[Y Start]:[Y Intentionally NA]],INT((ROW()-ROW(Table_Arrow_Coords[[#Headers],[Arrow_Y]])-1)/4)+1,MOD(ROW()-ROW(Table_Arrow_Coords[[#Headers],[Arrow_Y]])-1,4)+1),NA())</f>
        <v>#N/A</v>
      </c>
      <c r="U180" s="1"/>
      <c r="V180" s="1"/>
      <c r="W180" s="1"/>
      <c r="X180" s="1"/>
      <c r="Y180" s="1"/>
      <c r="Z180" s="1"/>
    </row>
    <row r="181" spans="19:26" x14ac:dyDescent="0.25">
      <c r="S181" t="e">
        <f>IFERROR(INDEX(Table_Process_Details[[X Start]:[X Intentionally NA]],INT((ROW()-ROW(Table_Arrow_Coords[[#Headers],[Arrow_X]])-1)/4)+1,MOD(ROW()-ROW(Table_Arrow_Coords[[#Headers],[Arrow_X]])-1,4)+1),NA())</f>
        <v>#N/A</v>
      </c>
      <c r="T181" t="e">
        <f>IFERROR(INDEX(Table_Process_Details[[Y Start]:[Y Intentionally NA]],INT((ROW()-ROW(Table_Arrow_Coords[[#Headers],[Arrow_Y]])-1)/4)+1,MOD(ROW()-ROW(Table_Arrow_Coords[[#Headers],[Arrow_Y]])-1,4)+1),NA())</f>
        <v>#N/A</v>
      </c>
      <c r="U181" s="1"/>
      <c r="V181" s="1"/>
      <c r="W181" s="1"/>
      <c r="X181" s="1"/>
      <c r="Y181" s="1"/>
      <c r="Z181" s="1"/>
    </row>
    <row r="182" spans="19:26" x14ac:dyDescent="0.25">
      <c r="S182" t="e">
        <f>IFERROR(INDEX(Table_Process_Details[[X Start]:[X Intentionally NA]],INT((ROW()-ROW(Table_Arrow_Coords[[#Headers],[Arrow_X]])-1)/4)+1,MOD(ROW()-ROW(Table_Arrow_Coords[[#Headers],[Arrow_X]])-1,4)+1),NA())</f>
        <v>#N/A</v>
      </c>
      <c r="T182" t="e">
        <f>IFERROR(INDEX(Table_Process_Details[[Y Start]:[Y Intentionally NA]],INT((ROW()-ROW(Table_Arrow_Coords[[#Headers],[Arrow_Y]])-1)/4)+1,MOD(ROW()-ROW(Table_Arrow_Coords[[#Headers],[Arrow_Y]])-1,4)+1),NA())</f>
        <v>#N/A</v>
      </c>
      <c r="U182" s="1"/>
      <c r="V182" s="1"/>
      <c r="W182" s="1"/>
      <c r="X182" s="1"/>
      <c r="Y182" s="1"/>
      <c r="Z182" s="1"/>
    </row>
    <row r="183" spans="19:26" x14ac:dyDescent="0.25">
      <c r="S183" t="e">
        <f>IFERROR(INDEX(Table_Process_Details[[X Start]:[X Intentionally NA]],INT((ROW()-ROW(Table_Arrow_Coords[[#Headers],[Arrow_X]])-1)/4)+1,MOD(ROW()-ROW(Table_Arrow_Coords[[#Headers],[Arrow_X]])-1,4)+1),NA())</f>
        <v>#N/A</v>
      </c>
      <c r="T183" t="e">
        <f>IFERROR(INDEX(Table_Process_Details[[Y Start]:[Y Intentionally NA]],INT((ROW()-ROW(Table_Arrow_Coords[[#Headers],[Arrow_Y]])-1)/4)+1,MOD(ROW()-ROW(Table_Arrow_Coords[[#Headers],[Arrow_Y]])-1,4)+1),NA())</f>
        <v>#N/A</v>
      </c>
      <c r="U183" s="1"/>
      <c r="V183" s="1"/>
      <c r="W183" s="1"/>
      <c r="X183" s="1"/>
      <c r="Y183" s="1"/>
      <c r="Z183" s="1"/>
    </row>
    <row r="184" spans="19:26" x14ac:dyDescent="0.25">
      <c r="S184" t="e">
        <f>IFERROR(INDEX(Table_Process_Details[[X Start]:[X Intentionally NA]],INT((ROW()-ROW(Table_Arrow_Coords[[#Headers],[Arrow_X]])-1)/4)+1,MOD(ROW()-ROW(Table_Arrow_Coords[[#Headers],[Arrow_X]])-1,4)+1),NA())</f>
        <v>#N/A</v>
      </c>
      <c r="T184" t="e">
        <f>IFERROR(INDEX(Table_Process_Details[[Y Start]:[Y Intentionally NA]],INT((ROW()-ROW(Table_Arrow_Coords[[#Headers],[Arrow_Y]])-1)/4)+1,MOD(ROW()-ROW(Table_Arrow_Coords[[#Headers],[Arrow_Y]])-1,4)+1),NA())</f>
        <v>#N/A</v>
      </c>
      <c r="U184" s="1"/>
      <c r="V184" s="1"/>
      <c r="W184" s="1"/>
      <c r="X184" s="1"/>
      <c r="Y184" s="1"/>
      <c r="Z184" s="1"/>
    </row>
    <row r="185" spans="19:26" x14ac:dyDescent="0.25">
      <c r="S185" t="e">
        <f>IFERROR(INDEX(Table_Process_Details[[X Start]:[X Intentionally NA]],INT((ROW()-ROW(Table_Arrow_Coords[[#Headers],[Arrow_X]])-1)/4)+1,MOD(ROW()-ROW(Table_Arrow_Coords[[#Headers],[Arrow_X]])-1,4)+1),NA())</f>
        <v>#N/A</v>
      </c>
      <c r="T185" t="e">
        <f>IFERROR(INDEX(Table_Process_Details[[Y Start]:[Y Intentionally NA]],INT((ROW()-ROW(Table_Arrow_Coords[[#Headers],[Arrow_Y]])-1)/4)+1,MOD(ROW()-ROW(Table_Arrow_Coords[[#Headers],[Arrow_Y]])-1,4)+1),NA())</f>
        <v>#N/A</v>
      </c>
      <c r="U185" s="1"/>
      <c r="V185" s="1"/>
      <c r="W185" s="1"/>
      <c r="X185" s="1"/>
      <c r="Y185" s="1"/>
      <c r="Z185" s="1"/>
    </row>
    <row r="186" spans="19:26" x14ac:dyDescent="0.25">
      <c r="S186" t="e">
        <f>IFERROR(INDEX(Table_Process_Details[[X Start]:[X Intentionally NA]],INT((ROW()-ROW(Table_Arrow_Coords[[#Headers],[Arrow_X]])-1)/4)+1,MOD(ROW()-ROW(Table_Arrow_Coords[[#Headers],[Arrow_X]])-1,4)+1),NA())</f>
        <v>#N/A</v>
      </c>
      <c r="T186" t="e">
        <f>IFERROR(INDEX(Table_Process_Details[[Y Start]:[Y Intentionally NA]],INT((ROW()-ROW(Table_Arrow_Coords[[#Headers],[Arrow_Y]])-1)/4)+1,MOD(ROW()-ROW(Table_Arrow_Coords[[#Headers],[Arrow_Y]])-1,4)+1),NA())</f>
        <v>#N/A</v>
      </c>
      <c r="U186" s="1"/>
      <c r="V186" s="1"/>
      <c r="W186" s="1"/>
      <c r="X186" s="1"/>
      <c r="Y186" s="1"/>
      <c r="Z186" s="1"/>
    </row>
    <row r="187" spans="19:26" x14ac:dyDescent="0.25">
      <c r="S187" t="e">
        <f>IFERROR(INDEX(Table_Process_Details[[X Start]:[X Intentionally NA]],INT((ROW()-ROW(Table_Arrow_Coords[[#Headers],[Arrow_X]])-1)/4)+1,MOD(ROW()-ROW(Table_Arrow_Coords[[#Headers],[Arrow_X]])-1,4)+1),NA())</f>
        <v>#N/A</v>
      </c>
      <c r="T187" t="e">
        <f>IFERROR(INDEX(Table_Process_Details[[Y Start]:[Y Intentionally NA]],INT((ROW()-ROW(Table_Arrow_Coords[[#Headers],[Arrow_Y]])-1)/4)+1,MOD(ROW()-ROW(Table_Arrow_Coords[[#Headers],[Arrow_Y]])-1,4)+1),NA())</f>
        <v>#N/A</v>
      </c>
      <c r="U187" s="1"/>
      <c r="V187" s="1"/>
      <c r="W187" s="1"/>
      <c r="X187" s="1"/>
      <c r="Y187" s="1"/>
      <c r="Z187" s="1"/>
    </row>
    <row r="188" spans="19:26" x14ac:dyDescent="0.25">
      <c r="S188" t="e">
        <f>IFERROR(INDEX(Table_Process_Details[[X Start]:[X Intentionally NA]],INT((ROW()-ROW(Table_Arrow_Coords[[#Headers],[Arrow_X]])-1)/4)+1,MOD(ROW()-ROW(Table_Arrow_Coords[[#Headers],[Arrow_X]])-1,4)+1),NA())</f>
        <v>#N/A</v>
      </c>
      <c r="T188" t="e">
        <f>IFERROR(INDEX(Table_Process_Details[[Y Start]:[Y Intentionally NA]],INT((ROW()-ROW(Table_Arrow_Coords[[#Headers],[Arrow_Y]])-1)/4)+1,MOD(ROW()-ROW(Table_Arrow_Coords[[#Headers],[Arrow_Y]])-1,4)+1),NA())</f>
        <v>#N/A</v>
      </c>
      <c r="U188" s="1"/>
      <c r="V188" s="1"/>
      <c r="W188" s="1"/>
      <c r="X188" s="1"/>
      <c r="Y188" s="1"/>
      <c r="Z188" s="1"/>
    </row>
    <row r="189" spans="19:26" x14ac:dyDescent="0.25">
      <c r="S189" t="e">
        <f>IFERROR(INDEX(Table_Process_Details[[X Start]:[X Intentionally NA]],INT((ROW()-ROW(Table_Arrow_Coords[[#Headers],[Arrow_X]])-1)/4)+1,MOD(ROW()-ROW(Table_Arrow_Coords[[#Headers],[Arrow_X]])-1,4)+1),NA())</f>
        <v>#N/A</v>
      </c>
      <c r="T189" t="e">
        <f>IFERROR(INDEX(Table_Process_Details[[Y Start]:[Y Intentionally NA]],INT((ROW()-ROW(Table_Arrow_Coords[[#Headers],[Arrow_Y]])-1)/4)+1,MOD(ROW()-ROW(Table_Arrow_Coords[[#Headers],[Arrow_Y]])-1,4)+1),NA())</f>
        <v>#N/A</v>
      </c>
      <c r="U189" s="1"/>
      <c r="V189" s="1"/>
      <c r="W189" s="1"/>
      <c r="X189" s="1"/>
      <c r="Y189" s="1"/>
      <c r="Z189" s="1"/>
    </row>
    <row r="190" spans="19:26" x14ac:dyDescent="0.25">
      <c r="S190" t="e">
        <f>IFERROR(INDEX(Table_Process_Details[[X Start]:[X Intentionally NA]],INT((ROW()-ROW(Table_Arrow_Coords[[#Headers],[Arrow_X]])-1)/4)+1,MOD(ROW()-ROW(Table_Arrow_Coords[[#Headers],[Arrow_X]])-1,4)+1),NA())</f>
        <v>#N/A</v>
      </c>
      <c r="T190" t="e">
        <f>IFERROR(INDEX(Table_Process_Details[[Y Start]:[Y Intentionally NA]],INT((ROW()-ROW(Table_Arrow_Coords[[#Headers],[Arrow_Y]])-1)/4)+1,MOD(ROW()-ROW(Table_Arrow_Coords[[#Headers],[Arrow_Y]])-1,4)+1),NA())</f>
        <v>#N/A</v>
      </c>
      <c r="U190" s="1"/>
      <c r="V190" s="1"/>
      <c r="W190" s="1"/>
      <c r="X190" s="1"/>
      <c r="Y190" s="1"/>
      <c r="Z190" s="1"/>
    </row>
    <row r="191" spans="19:26" x14ac:dyDescent="0.25">
      <c r="S191" t="e">
        <f>IFERROR(INDEX(Table_Process_Details[[X Start]:[X Intentionally NA]],INT((ROW()-ROW(Table_Arrow_Coords[[#Headers],[Arrow_X]])-1)/4)+1,MOD(ROW()-ROW(Table_Arrow_Coords[[#Headers],[Arrow_X]])-1,4)+1),NA())</f>
        <v>#N/A</v>
      </c>
      <c r="T191" t="e">
        <f>IFERROR(INDEX(Table_Process_Details[[Y Start]:[Y Intentionally NA]],INT((ROW()-ROW(Table_Arrow_Coords[[#Headers],[Arrow_Y]])-1)/4)+1,MOD(ROW()-ROW(Table_Arrow_Coords[[#Headers],[Arrow_Y]])-1,4)+1),NA())</f>
        <v>#N/A</v>
      </c>
      <c r="U191" s="1"/>
      <c r="V191" s="1"/>
      <c r="W191" s="1"/>
      <c r="X191" s="1"/>
      <c r="Y191" s="1"/>
      <c r="Z191" s="1"/>
    </row>
    <row r="192" spans="19:26" x14ac:dyDescent="0.25">
      <c r="S192" t="e">
        <f>IFERROR(INDEX(Table_Process_Details[[X Start]:[X Intentionally NA]],INT((ROW()-ROW(Table_Arrow_Coords[[#Headers],[Arrow_X]])-1)/4)+1,MOD(ROW()-ROW(Table_Arrow_Coords[[#Headers],[Arrow_X]])-1,4)+1),NA())</f>
        <v>#N/A</v>
      </c>
      <c r="T192" t="e">
        <f>IFERROR(INDEX(Table_Process_Details[[Y Start]:[Y Intentionally NA]],INT((ROW()-ROW(Table_Arrow_Coords[[#Headers],[Arrow_Y]])-1)/4)+1,MOD(ROW()-ROW(Table_Arrow_Coords[[#Headers],[Arrow_Y]])-1,4)+1),NA())</f>
        <v>#N/A</v>
      </c>
      <c r="U192" s="1"/>
      <c r="V192" s="1"/>
      <c r="W192" s="1"/>
      <c r="X192" s="1"/>
      <c r="Y192" s="1"/>
      <c r="Z192" s="1"/>
    </row>
    <row r="193" spans="19:26" x14ac:dyDescent="0.25">
      <c r="S193" t="e">
        <f>IFERROR(INDEX(Table_Process_Details[[X Start]:[X Intentionally NA]],INT((ROW()-ROW(Table_Arrow_Coords[[#Headers],[Arrow_X]])-1)/4)+1,MOD(ROW()-ROW(Table_Arrow_Coords[[#Headers],[Arrow_X]])-1,4)+1),NA())</f>
        <v>#N/A</v>
      </c>
      <c r="T193" t="e">
        <f>IFERROR(INDEX(Table_Process_Details[[Y Start]:[Y Intentionally NA]],INT((ROW()-ROW(Table_Arrow_Coords[[#Headers],[Arrow_Y]])-1)/4)+1,MOD(ROW()-ROW(Table_Arrow_Coords[[#Headers],[Arrow_Y]])-1,4)+1),NA())</f>
        <v>#N/A</v>
      </c>
      <c r="U193" s="1"/>
      <c r="V193" s="1"/>
      <c r="W193" s="1"/>
      <c r="X193" s="1"/>
      <c r="Y193" s="1"/>
      <c r="Z193" s="1"/>
    </row>
    <row r="194" spans="19:26" x14ac:dyDescent="0.25">
      <c r="S194" t="e">
        <f>IFERROR(INDEX(Table_Process_Details[[X Start]:[X Intentionally NA]],INT((ROW()-ROW(Table_Arrow_Coords[[#Headers],[Arrow_X]])-1)/4)+1,MOD(ROW()-ROW(Table_Arrow_Coords[[#Headers],[Arrow_X]])-1,4)+1),NA())</f>
        <v>#N/A</v>
      </c>
      <c r="T194" t="e">
        <f>IFERROR(INDEX(Table_Process_Details[[Y Start]:[Y Intentionally NA]],INT((ROW()-ROW(Table_Arrow_Coords[[#Headers],[Arrow_Y]])-1)/4)+1,MOD(ROW()-ROW(Table_Arrow_Coords[[#Headers],[Arrow_Y]])-1,4)+1),NA())</f>
        <v>#N/A</v>
      </c>
      <c r="U194" s="1"/>
      <c r="V194" s="1"/>
      <c r="W194" s="1"/>
      <c r="X194" s="1"/>
      <c r="Y194" s="1"/>
      <c r="Z194" s="1"/>
    </row>
    <row r="195" spans="19:26" x14ac:dyDescent="0.25">
      <c r="S195" t="e">
        <f>IFERROR(INDEX(Table_Process_Details[[X Start]:[X Intentionally NA]],INT((ROW()-ROW(Table_Arrow_Coords[[#Headers],[Arrow_X]])-1)/4)+1,MOD(ROW()-ROW(Table_Arrow_Coords[[#Headers],[Arrow_X]])-1,4)+1),NA())</f>
        <v>#N/A</v>
      </c>
      <c r="T195" t="e">
        <f>IFERROR(INDEX(Table_Process_Details[[Y Start]:[Y Intentionally NA]],INT((ROW()-ROW(Table_Arrow_Coords[[#Headers],[Arrow_Y]])-1)/4)+1,MOD(ROW()-ROW(Table_Arrow_Coords[[#Headers],[Arrow_Y]])-1,4)+1),NA())</f>
        <v>#N/A</v>
      </c>
      <c r="U195" s="1"/>
      <c r="V195" s="1"/>
      <c r="W195" s="1"/>
      <c r="X195" s="1"/>
      <c r="Y195" s="1"/>
      <c r="Z195" s="1"/>
    </row>
    <row r="196" spans="19:26" x14ac:dyDescent="0.25">
      <c r="S196" t="e">
        <f>IFERROR(INDEX(Table_Process_Details[[X Start]:[X Intentionally NA]],INT((ROW()-ROW(Table_Arrow_Coords[[#Headers],[Arrow_X]])-1)/4)+1,MOD(ROW()-ROW(Table_Arrow_Coords[[#Headers],[Arrow_X]])-1,4)+1),NA())</f>
        <v>#N/A</v>
      </c>
      <c r="T196" t="e">
        <f>IFERROR(INDEX(Table_Process_Details[[Y Start]:[Y Intentionally NA]],INT((ROW()-ROW(Table_Arrow_Coords[[#Headers],[Arrow_Y]])-1)/4)+1,MOD(ROW()-ROW(Table_Arrow_Coords[[#Headers],[Arrow_Y]])-1,4)+1),NA())</f>
        <v>#N/A</v>
      </c>
      <c r="U196" s="1"/>
      <c r="V196" s="1"/>
      <c r="W196" s="1"/>
      <c r="X196" s="1"/>
      <c r="Y196" s="1"/>
      <c r="Z196" s="1"/>
    </row>
    <row r="197" spans="19:26" x14ac:dyDescent="0.25">
      <c r="S197" t="e">
        <f>IFERROR(INDEX(Table_Process_Details[[X Start]:[X Intentionally NA]],INT((ROW()-ROW(Table_Arrow_Coords[[#Headers],[Arrow_X]])-1)/4)+1,MOD(ROW()-ROW(Table_Arrow_Coords[[#Headers],[Arrow_X]])-1,4)+1),NA())</f>
        <v>#N/A</v>
      </c>
      <c r="T197" t="e">
        <f>IFERROR(INDEX(Table_Process_Details[[Y Start]:[Y Intentionally NA]],INT((ROW()-ROW(Table_Arrow_Coords[[#Headers],[Arrow_Y]])-1)/4)+1,MOD(ROW()-ROW(Table_Arrow_Coords[[#Headers],[Arrow_Y]])-1,4)+1),NA())</f>
        <v>#N/A</v>
      </c>
      <c r="U197" s="1"/>
      <c r="V197" s="1"/>
      <c r="W197" s="1"/>
      <c r="X197" s="1"/>
      <c r="Y197" s="1"/>
      <c r="Z197" s="1"/>
    </row>
    <row r="198" spans="19:26" x14ac:dyDescent="0.25">
      <c r="S198">
        <f ca="1">IFERROR(INDEX(Table_Process_Details[[X Start]:[X Intentionally NA]],INT((ROW()-ROW(Table_Arrow_Coords[[#Headers],[Arrow_X]])-1)/4)+1,MOD(ROW()-ROW(Table_Arrow_Coords[[#Headers],[Arrow_X]])-1,4)+1),NA())</f>
        <v>0.78891624628593393</v>
      </c>
      <c r="T198">
        <f ca="1">IFERROR(INDEX(Table_Process_Details[[Y Start]:[Y Intentionally NA]],INT((ROW()-ROW(Table_Arrow_Coords[[#Headers],[Arrow_Y]])-1)/4)+1,MOD(ROW()-ROW(Table_Arrow_Coords[[#Headers],[Arrow_Y]])-1,4)+1),NA())</f>
        <v>21.555431875630404</v>
      </c>
      <c r="U198" s="1"/>
      <c r="V198" s="1"/>
      <c r="W198" s="1"/>
      <c r="X198" s="1"/>
      <c r="Y198" s="1"/>
      <c r="Z198" s="1"/>
    </row>
    <row r="199" spans="19:26" x14ac:dyDescent="0.25">
      <c r="S199">
        <f ca="1">IFERROR(INDEX(Table_Process_Details[[X Start]:[X Intentionally NA]],INT((ROW()-ROW(Table_Arrow_Coords[[#Headers],[Arrow_X]])-1)/4)+1,MOD(ROW()-ROW(Table_Arrow_Coords[[#Headers],[Arrow_X]])-1,4)+1),NA())</f>
        <v>1.3922056955228961</v>
      </c>
      <c r="T199">
        <f ca="1">IFERROR(INDEX(Table_Process_Details[[Y Start]:[Y Intentionally NA]],INT((ROW()-ROW(Table_Arrow_Coords[[#Headers],[Arrow_Y]])-1)/4)+1,MOD(ROW()-ROW(Table_Arrow_Coords[[#Headers],[Arrow_Y]])-1,4)+1),NA())</f>
        <v>14.090296470094351</v>
      </c>
      <c r="U199" s="1"/>
      <c r="V199" s="1"/>
      <c r="W199" s="1"/>
      <c r="X199" s="1"/>
      <c r="Y199" s="1"/>
      <c r="Z199" s="1"/>
    </row>
    <row r="200" spans="19:26" x14ac:dyDescent="0.25">
      <c r="S200">
        <f ca="1">IFERROR(INDEX(Table_Process_Details[[X Start]:[X Intentionally NA]],INT((ROW()-ROW(Table_Arrow_Coords[[#Headers],[Arrow_X]])-1)/4)+1,MOD(ROW()-ROW(Table_Arrow_Coords[[#Headers],[Arrow_X]])-1,4)+1),NA())</f>
        <v>1.8611536147537968</v>
      </c>
      <c r="T200">
        <f ca="1">IFERROR(INDEX(Table_Process_Details[[Y Start]:[Y Intentionally NA]],INT((ROW()-ROW(Table_Arrow_Coords[[#Headers],[Arrow_Y]])-1)/4)+1,MOD(ROW()-ROW(Table_Arrow_Coords[[#Headers],[Arrow_Y]])-1,4)+1),NA())</f>
        <v>8.7358386595786062</v>
      </c>
      <c r="U200" s="1"/>
      <c r="V200" s="1"/>
      <c r="W200" s="1"/>
      <c r="X200" s="1"/>
      <c r="Y200" s="1"/>
      <c r="Z200" s="1"/>
    </row>
    <row r="201" spans="19:26" x14ac:dyDescent="0.25">
      <c r="S201" t="e">
        <f>IFERROR(INDEX(Table_Process_Details[[X Start]:[X Intentionally NA]],INT((ROW()-ROW(Table_Arrow_Coords[[#Headers],[Arrow_X]])-1)/4)+1,MOD(ROW()-ROW(Table_Arrow_Coords[[#Headers],[Arrow_X]])-1,4)+1),NA())</f>
        <v>#N/A</v>
      </c>
      <c r="T201" t="e">
        <f>IFERROR(INDEX(Table_Process_Details[[Y Start]:[Y Intentionally NA]],INT((ROW()-ROW(Table_Arrow_Coords[[#Headers],[Arrow_Y]])-1)/4)+1,MOD(ROW()-ROW(Table_Arrow_Coords[[#Headers],[Arrow_Y]])-1,4)+1),NA())</f>
        <v>#N/A</v>
      </c>
      <c r="U201" s="1"/>
      <c r="V201" s="1"/>
      <c r="W201" s="1"/>
      <c r="X201" s="1"/>
      <c r="Y201" s="1"/>
      <c r="Z201" s="1"/>
    </row>
    <row r="202" spans="19:26" x14ac:dyDescent="0.25">
      <c r="S202" t="e">
        <f>IFERROR(INDEX(Table_Process_Details[[X Start]:[X Intentionally NA]],INT((ROW()-ROW(Table_Arrow_Coords[[#Headers],[Arrow_X]])-1)/4)+1,MOD(ROW()-ROW(Table_Arrow_Coords[[#Headers],[Arrow_X]])-1,4)+1),NA())</f>
        <v>#N/A</v>
      </c>
      <c r="T202" t="e">
        <f>IFERROR(INDEX(Table_Process_Details[[Y Start]:[Y Intentionally NA]],INT((ROW()-ROW(Table_Arrow_Coords[[#Headers],[Arrow_Y]])-1)/4)+1,MOD(ROW()-ROW(Table_Arrow_Coords[[#Headers],[Arrow_Y]])-1,4)+1),NA())</f>
        <v>#N/A</v>
      </c>
      <c r="U202" s="1"/>
      <c r="V202" s="1"/>
      <c r="W202" s="1"/>
      <c r="X202" s="1"/>
      <c r="Y202" s="1"/>
      <c r="Z202" s="1"/>
    </row>
    <row r="203" spans="19:26" x14ac:dyDescent="0.25">
      <c r="S203">
        <f ca="1">IFERROR(INDEX(Table_Process_Details[[X Start]:[X Intentionally NA]],INT((ROW()-ROW(Table_Arrow_Coords[[#Headers],[Arrow_X]])-1)/4)+1,MOD(ROW()-ROW(Table_Arrow_Coords[[#Headers],[Arrow_X]])-1,4)+1),NA())</f>
        <v>4.1043248148070122</v>
      </c>
      <c r="T203">
        <f ca="1">IFERROR(INDEX(Table_Process_Details[[Y Start]:[Y Intentionally NA]],INT((ROW()-ROW(Table_Arrow_Coords[[#Headers],[Arrow_Y]])-1)/4)+1,MOD(ROW()-ROW(Table_Arrow_Coords[[#Headers],[Arrow_Y]])-1,4)+1),NA())</f>
        <v>5.1932905357454375</v>
      </c>
      <c r="U203" s="1"/>
      <c r="V203" s="1"/>
      <c r="W203" s="1"/>
      <c r="X203" s="1"/>
      <c r="Y203" s="1"/>
      <c r="Z203" s="1"/>
    </row>
    <row r="204" spans="19:26" x14ac:dyDescent="0.25">
      <c r="S204">
        <f ca="1">IFERROR(INDEX(Table_Process_Details[[X Start]:[X Intentionally NA]],INT((ROW()-ROW(Table_Arrow_Coords[[#Headers],[Arrow_X]])-1)/4)+1,MOD(ROW()-ROW(Table_Arrow_Coords[[#Headers],[Arrow_X]])-1,4)+1),NA())</f>
        <v>2.427481824374575</v>
      </c>
      <c r="T204">
        <f ca="1">IFERROR(INDEX(Table_Process_Details[[Y Start]:[Y Intentionally NA]],INT((ROW()-ROW(Table_Arrow_Coords[[#Headers],[Arrow_Y]])-1)/4)+1,MOD(ROW()-ROW(Table_Arrow_Coords[[#Headers],[Arrow_Y]])-1,4)+1),NA())</f>
        <v>7.3116275738755663</v>
      </c>
      <c r="U204" s="1"/>
      <c r="V204" s="1"/>
      <c r="W204" s="1"/>
      <c r="X204" s="1"/>
      <c r="Y204" s="1"/>
      <c r="Z204" s="1"/>
    </row>
    <row r="205" spans="19:26" x14ac:dyDescent="0.25">
      <c r="S205" t="e">
        <f>IFERROR(INDEX(Table_Process_Details[[X Start]:[X Intentionally NA]],INT((ROW()-ROW(Table_Arrow_Coords[[#Headers],[Arrow_X]])-1)/4)+1,MOD(ROW()-ROW(Table_Arrow_Coords[[#Headers],[Arrow_X]])-1,4)+1),NA())</f>
        <v>#N/A</v>
      </c>
      <c r="T205" t="e">
        <f>IFERROR(INDEX(Table_Process_Details[[Y Start]:[Y Intentionally NA]],INT((ROW()-ROW(Table_Arrow_Coords[[#Headers],[Arrow_Y]])-1)/4)+1,MOD(ROW()-ROW(Table_Arrow_Coords[[#Headers],[Arrow_Y]])-1,4)+1),NA())</f>
        <v>#N/A</v>
      </c>
      <c r="U205" s="1"/>
      <c r="V205" s="1"/>
      <c r="W205" s="1"/>
      <c r="X205" s="1"/>
      <c r="Y205" s="1"/>
      <c r="Z205" s="1"/>
    </row>
    <row r="206" spans="19:26" x14ac:dyDescent="0.25">
      <c r="S206">
        <f ca="1">IFERROR(INDEX(Table_Process_Details[[X Start]:[X Intentionally NA]],INT((ROW()-ROW(Table_Arrow_Coords[[#Headers],[Arrow_X]])-1)/4)+1,MOD(ROW()-ROW(Table_Arrow_Coords[[#Headers],[Arrow_X]])-1,4)+1),NA())</f>
        <v>-8.2138992091278542</v>
      </c>
      <c r="T206">
        <f ca="1">IFERROR(INDEX(Table_Process_Details[[Y Start]:[Y Intentionally NA]],INT((ROW()-ROW(Table_Arrow_Coords[[#Headers],[Arrow_Y]])-1)/4)+1,MOD(ROW()-ROW(Table_Arrow_Coords[[#Headers],[Arrow_Y]])-1,4)+1),NA())</f>
        <v>4.4543084341448207</v>
      </c>
      <c r="U206" s="1"/>
      <c r="V206" s="1"/>
      <c r="W206" s="1"/>
      <c r="X206" s="1"/>
      <c r="Y206" s="1"/>
      <c r="Z206" s="1"/>
    </row>
    <row r="207" spans="19:26" x14ac:dyDescent="0.25">
      <c r="S207">
        <f ca="1">IFERROR(INDEX(Table_Process_Details[[X Start]:[X Intentionally NA]],INT((ROW()-ROW(Table_Arrow_Coords[[#Headers],[Arrow_X]])-1)/4)+1,MOD(ROW()-ROW(Table_Arrow_Coords[[#Headers],[Arrow_X]])-1,4)+1),NA())</f>
        <v>-3.4192439202003326</v>
      </c>
      <c r="T207">
        <f ca="1">IFERROR(INDEX(Table_Process_Details[[Y Start]:[Y Intentionally NA]],INT((ROW()-ROW(Table_Arrow_Coords[[#Headers],[Arrow_Y]])-1)/4)+1,MOD(ROW()-ROW(Table_Arrow_Coords[[#Headers],[Arrow_Y]])-1,4)+1),NA())</f>
        <v>6.2166926735102397</v>
      </c>
      <c r="U207" s="1"/>
      <c r="V207" s="1"/>
      <c r="W207" s="1"/>
      <c r="X207" s="1"/>
      <c r="Y207" s="1"/>
      <c r="Z207" s="1"/>
    </row>
    <row r="208" spans="19:26" x14ac:dyDescent="0.25">
      <c r="S208">
        <f ca="1">IFERROR(INDEX(Table_Process_Details[[X Start]:[X Intentionally NA]],INT((ROW()-ROW(Table_Arrow_Coords[[#Headers],[Arrow_X]])-1)/4)+1,MOD(ROW()-ROW(Table_Arrow_Coords[[#Headers],[Arrow_X]])-1,4)+1),NA())</f>
        <v>1.1694316256597679</v>
      </c>
      <c r="T208">
        <f ca="1">IFERROR(INDEX(Table_Process_Details[[Y Start]:[Y Intentionally NA]],INT((ROW()-ROW(Table_Arrow_Coords[[#Headers],[Arrow_Y]])-1)/4)+1,MOD(ROW()-ROW(Table_Arrow_Coords[[#Headers],[Arrow_Y]])-1,4)+1),NA())</f>
        <v>7.693760596909855</v>
      </c>
      <c r="U208" s="1"/>
      <c r="V208" s="1"/>
      <c r="W208" s="1"/>
      <c r="X208" s="1"/>
      <c r="Y208" s="1"/>
      <c r="Z208" s="1"/>
    </row>
    <row r="209" spans="19:26" x14ac:dyDescent="0.25">
      <c r="S209" t="e">
        <f>IFERROR(INDEX(Table_Process_Details[[X Start]:[X Intentionally NA]],INT((ROW()-ROW(Table_Arrow_Coords[[#Headers],[Arrow_X]])-1)/4)+1,MOD(ROW()-ROW(Table_Arrow_Coords[[#Headers],[Arrow_X]])-1,4)+1),NA())</f>
        <v>#N/A</v>
      </c>
      <c r="T209" t="e">
        <f>IFERROR(INDEX(Table_Process_Details[[Y Start]:[Y Intentionally NA]],INT((ROW()-ROW(Table_Arrow_Coords[[#Headers],[Arrow_Y]])-1)/4)+1,MOD(ROW()-ROW(Table_Arrow_Coords[[#Headers],[Arrow_Y]])-1,4)+1),NA())</f>
        <v>#N/A</v>
      </c>
      <c r="U209" s="1"/>
      <c r="V209" s="1"/>
      <c r="W209" s="1"/>
      <c r="X209" s="1"/>
      <c r="Y209" s="1"/>
      <c r="Z209" s="1"/>
    </row>
    <row r="210" spans="19:26" x14ac:dyDescent="0.25">
      <c r="S210" t="e">
        <f>IFERROR(INDEX(Table_Process_Details[[X Start]:[X Intentionally NA]],INT((ROW()-ROW(Table_Arrow_Coords[[#Headers],[Arrow_X]])-1)/4)+1,MOD(ROW()-ROW(Table_Arrow_Coords[[#Headers],[Arrow_X]])-1,4)+1),NA())</f>
        <v>#N/A</v>
      </c>
      <c r="T210" t="e">
        <f>IFERROR(INDEX(Table_Process_Details[[Y Start]:[Y Intentionally NA]],INT((ROW()-ROW(Table_Arrow_Coords[[#Headers],[Arrow_Y]])-1)/4)+1,MOD(ROW()-ROW(Table_Arrow_Coords[[#Headers],[Arrow_Y]])-1,4)+1),NA())</f>
        <v>#N/A</v>
      </c>
      <c r="U210" s="1"/>
      <c r="V210" s="1"/>
      <c r="W210" s="1"/>
      <c r="X210" s="1"/>
      <c r="Y210" s="1"/>
      <c r="Z210" s="1"/>
    </row>
    <row r="211" spans="19:26" x14ac:dyDescent="0.25">
      <c r="S211">
        <f ca="1">IFERROR(INDEX(Table_Process_Details[[X Start]:[X Intentionally NA]],INT((ROW()-ROW(Table_Arrow_Coords[[#Headers],[Arrow_X]])-1)/4)+1,MOD(ROW()-ROW(Table_Arrow_Coords[[#Headers],[Arrow_X]])-1,4)+1),NA())</f>
        <v>-0.97795169655054348</v>
      </c>
      <c r="T211">
        <f ca="1">IFERROR(INDEX(Table_Process_Details[[Y Start]:[Y Intentionally NA]],INT((ROW()-ROW(Table_Arrow_Coords[[#Headers],[Arrow_Y]])-1)/4)+1,MOD(ROW()-ROW(Table_Arrow_Coords[[#Headers],[Arrow_Y]])-1,4)+1),NA())</f>
        <v>9.3860076454015413</v>
      </c>
      <c r="U211" s="1"/>
      <c r="V211" s="1"/>
      <c r="W211" s="1"/>
      <c r="X211" s="1"/>
      <c r="Y211" s="1"/>
      <c r="Z211" s="1"/>
    </row>
    <row r="212" spans="19:26" x14ac:dyDescent="0.25">
      <c r="S212">
        <f ca="1">IFERROR(INDEX(Table_Process_Details[[X Start]:[X Intentionally NA]],INT((ROW()-ROW(Table_Arrow_Coords[[#Headers],[Arrow_X]])-1)/4)+1,MOD(ROW()-ROW(Table_Arrow_Coords[[#Headers],[Arrow_X]])-1,4)+1),NA())</f>
        <v>1.2146885674889225</v>
      </c>
      <c r="T212">
        <f ca="1">IFERROR(INDEX(Table_Process_Details[[Y Start]:[Y Intentionally NA]],INT((ROW()-ROW(Table_Arrow_Coords[[#Headers],[Arrow_Y]])-1)/4)+1,MOD(ROW()-ROW(Table_Arrow_Coords[[#Headers],[Arrow_Y]])-1,4)+1),NA())</f>
        <v>8.2952149313257966</v>
      </c>
      <c r="U212" s="1"/>
      <c r="V212" s="1"/>
      <c r="W212" s="1"/>
      <c r="X212" s="1"/>
      <c r="Y212" s="1"/>
      <c r="Z212" s="1"/>
    </row>
    <row r="213" spans="19:26" x14ac:dyDescent="0.25">
      <c r="S213" t="e">
        <f>IFERROR(INDEX(Table_Process_Details[[X Start]:[X Intentionally NA]],INT((ROW()-ROW(Table_Arrow_Coords[[#Headers],[Arrow_X]])-1)/4)+1,MOD(ROW()-ROW(Table_Arrow_Coords[[#Headers],[Arrow_X]])-1,4)+1),NA())</f>
        <v>#N/A</v>
      </c>
      <c r="T213" t="e">
        <f>IFERROR(INDEX(Table_Process_Details[[Y Start]:[Y Intentionally NA]],INT((ROW()-ROW(Table_Arrow_Coords[[#Headers],[Arrow_Y]])-1)/4)+1,MOD(ROW()-ROW(Table_Arrow_Coords[[#Headers],[Arrow_Y]])-1,4)+1),NA())</f>
        <v>#N/A</v>
      </c>
      <c r="U213" s="1"/>
      <c r="V213" s="1"/>
      <c r="W213" s="1"/>
      <c r="X213" s="1"/>
      <c r="Y213" s="1"/>
      <c r="Z213" s="1"/>
    </row>
    <row r="214" spans="19:26" x14ac:dyDescent="0.25">
      <c r="S214" t="e">
        <f>IFERROR(INDEX(Table_Process_Details[[X Start]:[X Intentionally NA]],INT((ROW()-ROW(Table_Arrow_Coords[[#Headers],[Arrow_X]])-1)/4)+1,MOD(ROW()-ROW(Table_Arrow_Coords[[#Headers],[Arrow_X]])-1,4)+1),NA())</f>
        <v>#N/A</v>
      </c>
      <c r="T214" t="e">
        <f>IFERROR(INDEX(Table_Process_Details[[Y Start]:[Y Intentionally NA]],INT((ROW()-ROW(Table_Arrow_Coords[[#Headers],[Arrow_Y]])-1)/4)+1,MOD(ROW()-ROW(Table_Arrow_Coords[[#Headers],[Arrow_Y]])-1,4)+1),NA())</f>
        <v>#N/A</v>
      </c>
      <c r="U214" s="1"/>
      <c r="V214" s="1"/>
      <c r="W214" s="1"/>
      <c r="X214" s="1"/>
      <c r="Y214" s="1"/>
      <c r="Z214" s="1"/>
    </row>
    <row r="215" spans="19:26" x14ac:dyDescent="0.25">
      <c r="S215">
        <f ca="1">IFERROR(INDEX(Table_Process_Details[[X Start]:[X Intentionally NA]],INT((ROW()-ROW(Table_Arrow_Coords[[#Headers],[Arrow_X]])-1)/4)+1,MOD(ROW()-ROW(Table_Arrow_Coords[[#Headers],[Arrow_X]])-1,4)+1),NA())</f>
        <v>5.3645226847833563</v>
      </c>
      <c r="T215">
        <f ca="1">IFERROR(INDEX(Table_Process_Details[[Y Start]:[Y Intentionally NA]],INT((ROW()-ROW(Table_Arrow_Coords[[#Headers],[Arrow_Y]])-1)/4)+1,MOD(ROW()-ROW(Table_Arrow_Coords[[#Headers],[Arrow_Y]])-1,4)+1),NA())</f>
        <v>7.1674456721073909</v>
      </c>
      <c r="U215" s="1"/>
      <c r="V215" s="1"/>
      <c r="W215" s="1"/>
      <c r="X215" s="1"/>
      <c r="Y215" s="1"/>
      <c r="Z215" s="1"/>
    </row>
    <row r="216" spans="19:26" x14ac:dyDescent="0.25">
      <c r="S216">
        <f ca="1">IFERROR(INDEX(Table_Process_Details[[X Start]:[X Intentionally NA]],INT((ROW()-ROW(Table_Arrow_Coords[[#Headers],[Arrow_X]])-1)/4)+1,MOD(ROW()-ROW(Table_Arrow_Coords[[#Headers],[Arrow_X]])-1,4)+1),NA())</f>
        <v>2.7114929182562748</v>
      </c>
      <c r="T216">
        <f ca="1">IFERROR(INDEX(Table_Process_Details[[Y Start]:[Y Intentionally NA]],INT((ROW()-ROW(Table_Arrow_Coords[[#Headers],[Arrow_Y]])-1)/4)+1,MOD(ROW()-ROW(Table_Arrow_Coords[[#Headers],[Arrow_Y]])-1,4)+1),NA())</f>
        <v>7.7635197070451785</v>
      </c>
      <c r="U216" s="1"/>
      <c r="V216" s="1"/>
      <c r="W216" s="1"/>
      <c r="X216" s="1"/>
      <c r="Y216" s="1"/>
      <c r="Z216" s="1"/>
    </row>
    <row r="217" spans="19:26" x14ac:dyDescent="0.25">
      <c r="S217" t="e">
        <f>IFERROR(INDEX(Table_Process_Details[[X Start]:[X Intentionally NA]],INT((ROW()-ROW(Table_Arrow_Coords[[#Headers],[Arrow_X]])-1)/4)+1,MOD(ROW()-ROW(Table_Arrow_Coords[[#Headers],[Arrow_X]])-1,4)+1),NA())</f>
        <v>#N/A</v>
      </c>
      <c r="T217" t="e">
        <f>IFERROR(INDEX(Table_Process_Details[[Y Start]:[Y Intentionally NA]],INT((ROW()-ROW(Table_Arrow_Coords[[#Headers],[Arrow_Y]])-1)/4)+1,MOD(ROW()-ROW(Table_Arrow_Coords[[#Headers],[Arrow_Y]])-1,4)+1),NA())</f>
        <v>#N/A</v>
      </c>
      <c r="U217" s="1"/>
      <c r="V217" s="1"/>
      <c r="W217" s="1"/>
      <c r="X217" s="1"/>
      <c r="Y217" s="1"/>
      <c r="Z217" s="1"/>
    </row>
    <row r="218" spans="19:26" x14ac:dyDescent="0.25">
      <c r="S218">
        <f ca="1">IFERROR(INDEX(Table_Process_Details[[X Start]:[X Intentionally NA]],INT((ROW()-ROW(Table_Arrow_Coords[[#Headers],[Arrow_X]])-1)/4)+1,MOD(ROW()-ROW(Table_Arrow_Coords[[#Headers],[Arrow_X]])-1,4)+1),NA())</f>
        <v>-3.6823126540307705</v>
      </c>
      <c r="T218">
        <f ca="1">IFERROR(INDEX(Table_Process_Details[[Y Start]:[Y Intentionally NA]],INT((ROW()-ROW(Table_Arrow_Coords[[#Headers],[Arrow_Y]])-1)/4)+1,MOD(ROW()-ROW(Table_Arrow_Coords[[#Headers],[Arrow_Y]])-1,4)+1),NA())</f>
        <v>-0.26288531328701153</v>
      </c>
      <c r="U218" s="1"/>
      <c r="V218" s="1"/>
      <c r="W218" s="1"/>
      <c r="X218" s="1"/>
      <c r="Y218" s="1"/>
      <c r="Z218" s="1"/>
    </row>
    <row r="219" spans="19:26" x14ac:dyDescent="0.25">
      <c r="S219">
        <f ca="1">IFERROR(INDEX(Table_Process_Details[[X Start]:[X Intentionally NA]],INT((ROW()-ROW(Table_Arrow_Coords[[#Headers],[Arrow_X]])-1)/4)+1,MOD(ROW()-ROW(Table_Arrow_Coords[[#Headers],[Arrow_X]])-1,4)+1),NA())</f>
        <v>-1.2088001923033329</v>
      </c>
      <c r="T219">
        <f ca="1">IFERROR(INDEX(Table_Process_Details[[Y Start]:[Y Intentionally NA]],INT((ROW()-ROW(Table_Arrow_Coords[[#Headers],[Arrow_Y]])-1)/4)+1,MOD(ROW()-ROW(Table_Arrow_Coords[[#Headers],[Arrow_Y]])-1,4)+1),NA())</f>
        <v>3.6744950109734074</v>
      </c>
      <c r="U219" s="1"/>
      <c r="V219" s="1"/>
      <c r="W219" s="1"/>
      <c r="X219" s="1"/>
      <c r="Y219" s="1"/>
      <c r="Z219" s="1"/>
    </row>
    <row r="220" spans="19:26" x14ac:dyDescent="0.25">
      <c r="S220">
        <f ca="1">IFERROR(INDEX(Table_Process_Details[[X Start]:[X Intentionally NA]],INT((ROW()-ROW(Table_Arrow_Coords[[#Headers],[Arrow_X]])-1)/4)+1,MOD(ROW()-ROW(Table_Arrow_Coords[[#Headers],[Arrow_X]])-1,4)+1),NA())</f>
        <v>1.4566302226428014</v>
      </c>
      <c r="T220">
        <f ca="1">IFERROR(INDEX(Table_Process_Details[[Y Start]:[Y Intentionally NA]],INT((ROW()-ROW(Table_Arrow_Coords[[#Headers],[Arrow_Y]])-1)/4)+1,MOD(ROW()-ROW(Table_Arrow_Coords[[#Headers],[Arrow_Y]])-1,4)+1),NA())</f>
        <v>7.2946690607120379</v>
      </c>
      <c r="U220" s="1"/>
      <c r="V220" s="1"/>
      <c r="W220" s="1"/>
      <c r="X220" s="1"/>
      <c r="Y220" s="1"/>
      <c r="Z220" s="1"/>
    </row>
    <row r="221" spans="19:26" x14ac:dyDescent="0.25">
      <c r="S221" t="e">
        <f>IFERROR(INDEX(Table_Process_Details[[X Start]:[X Intentionally NA]],INT((ROW()-ROW(Table_Arrow_Coords[[#Headers],[Arrow_X]])-1)/4)+1,MOD(ROW()-ROW(Table_Arrow_Coords[[#Headers],[Arrow_X]])-1,4)+1),NA())</f>
        <v>#N/A</v>
      </c>
      <c r="T221" t="e">
        <f>IFERROR(INDEX(Table_Process_Details[[Y Start]:[Y Intentionally NA]],INT((ROW()-ROW(Table_Arrow_Coords[[#Headers],[Arrow_Y]])-1)/4)+1,MOD(ROW()-ROW(Table_Arrow_Coords[[#Headers],[Arrow_Y]])-1,4)+1),NA())</f>
        <v>#N/A</v>
      </c>
      <c r="U221" s="1"/>
      <c r="V221" s="1"/>
      <c r="W221" s="1"/>
      <c r="X221" s="1"/>
      <c r="Y221" s="1"/>
      <c r="Z221" s="1"/>
    </row>
    <row r="222" spans="19:26" x14ac:dyDescent="0.25">
      <c r="S222">
        <f ca="1">IFERROR(INDEX(Table_Process_Details[[X Start]:[X Intentionally NA]],INT((ROW()-ROW(Table_Arrow_Coords[[#Headers],[Arrow_X]])-1)/4)+1,MOD(ROW()-ROW(Table_Arrow_Coords[[#Headers],[Arrow_X]])-1,4)+1),NA())</f>
        <v>7.4720348390499867</v>
      </c>
      <c r="T222">
        <f ca="1">IFERROR(INDEX(Table_Process_Details[[Y Start]:[Y Intentionally NA]],INT((ROW()-ROW(Table_Arrow_Coords[[#Headers],[Arrow_Y]])-1)/4)+1,MOD(ROW()-ROW(Table_Arrow_Coords[[#Headers],[Arrow_Y]])-1,4)+1),NA())</f>
        <v>13.041884212556132</v>
      </c>
      <c r="U222" s="1"/>
      <c r="V222" s="1"/>
      <c r="W222" s="1"/>
      <c r="X222" s="1"/>
      <c r="Y222" s="1"/>
      <c r="Z222" s="1"/>
    </row>
    <row r="223" spans="19:26" x14ac:dyDescent="0.25">
      <c r="S223">
        <f ca="1">IFERROR(INDEX(Table_Process_Details[[X Start]:[X Intentionally NA]],INT((ROW()-ROW(Table_Arrow_Coords[[#Headers],[Arrow_X]])-1)/4)+1,MOD(ROW()-ROW(Table_Arrow_Coords[[#Headers],[Arrow_X]])-1,4)+1),NA())</f>
        <v>4.5650884323214136</v>
      </c>
      <c r="T223">
        <f ca="1">IFERROR(INDEX(Table_Process_Details[[Y Start]:[Y Intentionally NA]],INT((ROW()-ROW(Table_Arrow_Coords[[#Headers],[Arrow_Y]])-1)/4)+1,MOD(ROW()-ROW(Table_Arrow_Coords[[#Headers],[Arrow_Y]])-1,4)+1),NA())</f>
        <v>10.836382638227876</v>
      </c>
      <c r="U223" s="1"/>
      <c r="V223" s="1"/>
      <c r="W223" s="1"/>
      <c r="X223" s="1"/>
      <c r="Y223" s="1"/>
      <c r="Z223" s="1"/>
    </row>
    <row r="224" spans="19:26" x14ac:dyDescent="0.25">
      <c r="S224">
        <f ca="1">IFERROR(INDEX(Table_Process_Details[[X Start]:[X Intentionally NA]],INT((ROW()-ROW(Table_Arrow_Coords[[#Headers],[Arrow_X]])-1)/4)+1,MOD(ROW()-ROW(Table_Arrow_Coords[[#Headers],[Arrow_X]])-1,4)+1),NA())</f>
        <v>2.4690952137446143</v>
      </c>
      <c r="T224">
        <f ca="1">IFERROR(INDEX(Table_Process_Details[[Y Start]:[Y Intentionally NA]],INT((ROW()-ROW(Table_Arrow_Coords[[#Headers],[Arrow_Y]])-1)/4)+1,MOD(ROW()-ROW(Table_Arrow_Coords[[#Headers],[Arrow_Y]])-1,4)+1),NA())</f>
        <v>8.5308360076795662</v>
      </c>
      <c r="U224" s="1"/>
      <c r="V224" s="1"/>
      <c r="W224" s="1"/>
      <c r="X224" s="1"/>
      <c r="Y224" s="1"/>
      <c r="Z224" s="1"/>
    </row>
    <row r="225" spans="19:26" x14ac:dyDescent="0.25">
      <c r="S225" t="e">
        <f>IFERROR(INDEX(Table_Process_Details[[X Start]:[X Intentionally NA]],INT((ROW()-ROW(Table_Arrow_Coords[[#Headers],[Arrow_X]])-1)/4)+1,MOD(ROW()-ROW(Table_Arrow_Coords[[#Headers],[Arrow_X]])-1,4)+1),NA())</f>
        <v>#N/A</v>
      </c>
      <c r="T225" t="e">
        <f>IFERROR(INDEX(Table_Process_Details[[Y Start]:[Y Intentionally NA]],INT((ROW()-ROW(Table_Arrow_Coords[[#Headers],[Arrow_Y]])-1)/4)+1,MOD(ROW()-ROW(Table_Arrow_Coords[[#Headers],[Arrow_Y]])-1,4)+1),NA())</f>
        <v>#N/A</v>
      </c>
      <c r="U225" s="1"/>
      <c r="V225" s="1"/>
      <c r="W225" s="1"/>
      <c r="X225" s="1"/>
      <c r="Y225" s="1"/>
      <c r="Z225" s="1"/>
    </row>
    <row r="226" spans="19:26" x14ac:dyDescent="0.25">
      <c r="S226">
        <f ca="1">IFERROR(INDEX(Table_Process_Details[[X Start]:[X Intentionally NA]],INT((ROW()-ROW(Table_Arrow_Coords[[#Headers],[Arrow_X]])-1)/4)+1,MOD(ROW()-ROW(Table_Arrow_Coords[[#Headers],[Arrow_X]])-1,4)+1),NA())</f>
        <v>2.5140487336853532</v>
      </c>
      <c r="T226">
        <f ca="1">IFERROR(INDEX(Table_Process_Details[[Y Start]:[Y Intentionally NA]],INT((ROW()-ROW(Table_Arrow_Coords[[#Headers],[Arrow_Y]])-1)/4)+1,MOD(ROW()-ROW(Table_Arrow_Coords[[#Headers],[Arrow_Y]])-1,4)+1),NA())</f>
        <v>-1.5931382791618636</v>
      </c>
      <c r="U226" s="1"/>
      <c r="V226" s="1"/>
      <c r="W226" s="1"/>
      <c r="X226" s="1"/>
      <c r="Y226" s="1"/>
      <c r="Z226" s="1"/>
    </row>
    <row r="227" spans="19:26" x14ac:dyDescent="0.25">
      <c r="S227">
        <f ca="1">IFERROR(INDEX(Table_Process_Details[[X Start]:[X Intentionally NA]],INT((ROW()-ROW(Table_Arrow_Coords[[#Headers],[Arrow_X]])-1)/4)+1,MOD(ROW()-ROW(Table_Arrow_Coords[[#Headers],[Arrow_X]])-1,4)+1),NA())</f>
        <v>2.4760936112858034</v>
      </c>
      <c r="T227">
        <f ca="1">IFERROR(INDEX(Table_Process_Details[[Y Start]:[Y Intentionally NA]],INT((ROW()-ROW(Table_Arrow_Coords[[#Headers],[Arrow_Y]])-1)/4)+1,MOD(ROW()-ROW(Table_Arrow_Coords[[#Headers],[Arrow_Y]])-1,4)+1),NA())</f>
        <v>2.682603164909243</v>
      </c>
      <c r="U227" s="1"/>
      <c r="V227" s="1"/>
      <c r="W227" s="1"/>
      <c r="X227" s="1"/>
      <c r="Y227" s="1"/>
      <c r="Z227" s="1"/>
    </row>
    <row r="228" spans="19:26" x14ac:dyDescent="0.25">
      <c r="S228">
        <f ca="1">IFERROR(INDEX(Table_Process_Details[[X Start]:[X Intentionally NA]],INT((ROW()-ROW(Table_Arrow_Coords[[#Headers],[Arrow_X]])-1)/4)+1,MOD(ROW()-ROW(Table_Arrow_Coords[[#Headers],[Arrow_X]])-1,4)+1),NA())</f>
        <v>2.0134784438931481</v>
      </c>
      <c r="T228">
        <f ca="1">IFERROR(INDEX(Table_Process_Details[[Y Start]:[Y Intentionally NA]],INT((ROW()-ROW(Table_Arrow_Coords[[#Headers],[Arrow_Y]])-1)/4)+1,MOD(ROW()-ROW(Table_Arrow_Coords[[#Headers],[Arrow_Y]])-1,4)+1),NA())</f>
        <v>7.1431573934616832</v>
      </c>
      <c r="U228" s="1"/>
      <c r="V228" s="1"/>
      <c r="W228" s="1"/>
      <c r="X228" s="1"/>
      <c r="Y228" s="1"/>
      <c r="Z228" s="1"/>
    </row>
    <row r="229" spans="19:26" x14ac:dyDescent="0.25">
      <c r="S229" t="e">
        <f>IFERROR(INDEX(Table_Process_Details[[X Start]:[X Intentionally NA]],INT((ROW()-ROW(Table_Arrow_Coords[[#Headers],[Arrow_X]])-1)/4)+1,MOD(ROW()-ROW(Table_Arrow_Coords[[#Headers],[Arrow_X]])-1,4)+1),NA())</f>
        <v>#N/A</v>
      </c>
      <c r="T229" t="e">
        <f>IFERROR(INDEX(Table_Process_Details[[Y Start]:[Y Intentionally NA]],INT((ROW()-ROW(Table_Arrow_Coords[[#Headers],[Arrow_Y]])-1)/4)+1,MOD(ROW()-ROW(Table_Arrow_Coords[[#Headers],[Arrow_Y]])-1,4)+1),NA())</f>
        <v>#N/A</v>
      </c>
      <c r="U229" s="1"/>
      <c r="V229" s="1"/>
      <c r="W229" s="1"/>
      <c r="X229" s="1"/>
      <c r="Y229" s="1"/>
      <c r="Z229" s="1"/>
    </row>
    <row r="230" spans="19:26" x14ac:dyDescent="0.25">
      <c r="S230" t="e">
        <f>IFERROR(INDEX(Table_Process_Details[[X Start]:[X Intentionally NA]],INT((ROW()-ROW(Table_Arrow_Coords[[#Headers],[Arrow_X]])-1)/4)+1,MOD(ROW()-ROW(Table_Arrow_Coords[[#Headers],[Arrow_X]])-1,4)+1),NA())</f>
        <v>#N/A</v>
      </c>
      <c r="T230" t="e">
        <f>IFERROR(INDEX(Table_Process_Details[[Y Start]:[Y Intentionally NA]],INT((ROW()-ROW(Table_Arrow_Coords[[#Headers],[Arrow_Y]])-1)/4)+1,MOD(ROW()-ROW(Table_Arrow_Coords[[#Headers],[Arrow_Y]])-1,4)+1),NA())</f>
        <v>#N/A</v>
      </c>
      <c r="U230" s="1"/>
      <c r="V230" s="1"/>
      <c r="W230" s="1"/>
      <c r="X230" s="1"/>
      <c r="Y230" s="1"/>
      <c r="Z230" s="1"/>
    </row>
    <row r="231" spans="19:26" x14ac:dyDescent="0.25">
      <c r="S231" t="e">
        <f>IFERROR(INDEX(Table_Process_Details[[X Start]:[X Intentionally NA]],INT((ROW()-ROW(Table_Arrow_Coords[[#Headers],[Arrow_X]])-1)/4)+1,MOD(ROW()-ROW(Table_Arrow_Coords[[#Headers],[Arrow_X]])-1,4)+1),NA())</f>
        <v>#N/A</v>
      </c>
      <c r="T231" t="e">
        <f>IFERROR(INDEX(Table_Process_Details[[Y Start]:[Y Intentionally NA]],INT((ROW()-ROW(Table_Arrow_Coords[[#Headers],[Arrow_Y]])-1)/4)+1,MOD(ROW()-ROW(Table_Arrow_Coords[[#Headers],[Arrow_Y]])-1,4)+1),NA())</f>
        <v>#N/A</v>
      </c>
      <c r="U231" s="1"/>
      <c r="V231" s="1"/>
      <c r="W231" s="1"/>
      <c r="X231" s="1"/>
      <c r="Y231" s="1"/>
      <c r="Z231" s="1"/>
    </row>
    <row r="232" spans="19:26" x14ac:dyDescent="0.25">
      <c r="S232" t="e">
        <f>IFERROR(INDEX(Table_Process_Details[[X Start]:[X Intentionally NA]],INT((ROW()-ROW(Table_Arrow_Coords[[#Headers],[Arrow_X]])-1)/4)+1,MOD(ROW()-ROW(Table_Arrow_Coords[[#Headers],[Arrow_X]])-1,4)+1),NA())</f>
        <v>#N/A</v>
      </c>
      <c r="T232" t="e">
        <f>IFERROR(INDEX(Table_Process_Details[[Y Start]:[Y Intentionally NA]],INT((ROW()-ROW(Table_Arrow_Coords[[#Headers],[Arrow_Y]])-1)/4)+1,MOD(ROW()-ROW(Table_Arrow_Coords[[#Headers],[Arrow_Y]])-1,4)+1),NA())</f>
        <v>#N/A</v>
      </c>
      <c r="U232" s="1"/>
      <c r="V232" s="1"/>
      <c r="W232" s="1"/>
      <c r="X232" s="1"/>
      <c r="Y232" s="1"/>
      <c r="Z232" s="1"/>
    </row>
    <row r="233" spans="19:26" x14ac:dyDescent="0.25">
      <c r="S233" t="e">
        <f>IFERROR(INDEX(Table_Process_Details[[X Start]:[X Intentionally NA]],INT((ROW()-ROW(Table_Arrow_Coords[[#Headers],[Arrow_X]])-1)/4)+1,MOD(ROW()-ROW(Table_Arrow_Coords[[#Headers],[Arrow_X]])-1,4)+1),NA())</f>
        <v>#N/A</v>
      </c>
      <c r="T233" t="e">
        <f>IFERROR(INDEX(Table_Process_Details[[Y Start]:[Y Intentionally NA]],INT((ROW()-ROW(Table_Arrow_Coords[[#Headers],[Arrow_Y]])-1)/4)+1,MOD(ROW()-ROW(Table_Arrow_Coords[[#Headers],[Arrow_Y]])-1,4)+1),NA())</f>
        <v>#N/A</v>
      </c>
      <c r="U233" s="1"/>
      <c r="V233" s="1"/>
      <c r="W233" s="1"/>
      <c r="X233" s="1"/>
      <c r="Y233" s="1"/>
      <c r="Z233" s="1"/>
    </row>
    <row r="234" spans="19:26" x14ac:dyDescent="0.25">
      <c r="S234" t="e">
        <f>IFERROR(INDEX(Table_Process_Details[[X Start]:[X Intentionally NA]],INT((ROW()-ROW(Table_Arrow_Coords[[#Headers],[Arrow_X]])-1)/4)+1,MOD(ROW()-ROW(Table_Arrow_Coords[[#Headers],[Arrow_X]])-1,4)+1),NA())</f>
        <v>#N/A</v>
      </c>
      <c r="T234" t="e">
        <f>IFERROR(INDEX(Table_Process_Details[[Y Start]:[Y Intentionally NA]],INT((ROW()-ROW(Table_Arrow_Coords[[#Headers],[Arrow_Y]])-1)/4)+1,MOD(ROW()-ROW(Table_Arrow_Coords[[#Headers],[Arrow_Y]])-1,4)+1),NA())</f>
        <v>#N/A</v>
      </c>
      <c r="U234" s="1"/>
      <c r="V234" s="1"/>
      <c r="W234" s="1"/>
      <c r="X234" s="1"/>
      <c r="Y234" s="1"/>
      <c r="Z234" s="1"/>
    </row>
    <row r="235" spans="19:26" x14ac:dyDescent="0.25">
      <c r="S235" t="e">
        <f>IFERROR(INDEX(Table_Process_Details[[X Start]:[X Intentionally NA]],INT((ROW()-ROW(Table_Arrow_Coords[[#Headers],[Arrow_X]])-1)/4)+1,MOD(ROW()-ROW(Table_Arrow_Coords[[#Headers],[Arrow_X]])-1,4)+1),NA())</f>
        <v>#N/A</v>
      </c>
      <c r="T235" t="e">
        <f>IFERROR(INDEX(Table_Process_Details[[Y Start]:[Y Intentionally NA]],INT((ROW()-ROW(Table_Arrow_Coords[[#Headers],[Arrow_Y]])-1)/4)+1,MOD(ROW()-ROW(Table_Arrow_Coords[[#Headers],[Arrow_Y]])-1,4)+1),NA())</f>
        <v>#N/A</v>
      </c>
      <c r="U235" s="1"/>
      <c r="V235" s="1"/>
      <c r="W235" s="1"/>
      <c r="X235" s="1"/>
      <c r="Y235" s="1"/>
      <c r="Z235" s="1"/>
    </row>
    <row r="236" spans="19:26" x14ac:dyDescent="0.25">
      <c r="S236" t="e">
        <f>IFERROR(INDEX(Table_Process_Details[[X Start]:[X Intentionally NA]],INT((ROW()-ROW(Table_Arrow_Coords[[#Headers],[Arrow_X]])-1)/4)+1,MOD(ROW()-ROW(Table_Arrow_Coords[[#Headers],[Arrow_X]])-1,4)+1),NA())</f>
        <v>#N/A</v>
      </c>
      <c r="T236" t="e">
        <f>IFERROR(INDEX(Table_Process_Details[[Y Start]:[Y Intentionally NA]],INT((ROW()-ROW(Table_Arrow_Coords[[#Headers],[Arrow_Y]])-1)/4)+1,MOD(ROW()-ROW(Table_Arrow_Coords[[#Headers],[Arrow_Y]])-1,4)+1),NA())</f>
        <v>#N/A</v>
      </c>
      <c r="U236" s="1"/>
      <c r="V236" s="1"/>
      <c r="W236" s="1"/>
      <c r="X236" s="1"/>
      <c r="Y236" s="1"/>
      <c r="Z236" s="1"/>
    </row>
    <row r="237" spans="19:26" x14ac:dyDescent="0.25">
      <c r="S237" t="e">
        <f>IFERROR(INDEX(Table_Process_Details[[X Start]:[X Intentionally NA]],INT((ROW()-ROW(Table_Arrow_Coords[[#Headers],[Arrow_X]])-1)/4)+1,MOD(ROW()-ROW(Table_Arrow_Coords[[#Headers],[Arrow_X]])-1,4)+1),NA())</f>
        <v>#N/A</v>
      </c>
      <c r="T237" t="e">
        <f>IFERROR(INDEX(Table_Process_Details[[Y Start]:[Y Intentionally NA]],INT((ROW()-ROW(Table_Arrow_Coords[[#Headers],[Arrow_Y]])-1)/4)+1,MOD(ROW()-ROW(Table_Arrow_Coords[[#Headers],[Arrow_Y]])-1,4)+1),NA())</f>
        <v>#N/A</v>
      </c>
      <c r="U237" s="1"/>
      <c r="V237" s="1"/>
      <c r="W237" s="1"/>
      <c r="X237" s="1"/>
      <c r="Y237" s="1"/>
      <c r="Z237" s="1"/>
    </row>
    <row r="238" spans="19:26" x14ac:dyDescent="0.25">
      <c r="S238" t="e">
        <f>IFERROR(INDEX(Table_Process_Details[[X Start]:[X Intentionally NA]],INT((ROW()-ROW(Table_Arrow_Coords[[#Headers],[Arrow_X]])-1)/4)+1,MOD(ROW()-ROW(Table_Arrow_Coords[[#Headers],[Arrow_X]])-1,4)+1),NA())</f>
        <v>#N/A</v>
      </c>
      <c r="T238" t="e">
        <f>IFERROR(INDEX(Table_Process_Details[[Y Start]:[Y Intentionally NA]],INT((ROW()-ROW(Table_Arrow_Coords[[#Headers],[Arrow_Y]])-1)/4)+1,MOD(ROW()-ROW(Table_Arrow_Coords[[#Headers],[Arrow_Y]])-1,4)+1),NA())</f>
        <v>#N/A</v>
      </c>
      <c r="U238" s="1"/>
      <c r="V238" s="1"/>
      <c r="W238" s="1"/>
      <c r="X238" s="1"/>
      <c r="Y238" s="1"/>
      <c r="Z238" s="1"/>
    </row>
    <row r="239" spans="19:26" x14ac:dyDescent="0.25">
      <c r="S239" t="e">
        <f>IFERROR(INDEX(Table_Process_Details[[X Start]:[X Intentionally NA]],INT((ROW()-ROW(Table_Arrow_Coords[[#Headers],[Arrow_X]])-1)/4)+1,MOD(ROW()-ROW(Table_Arrow_Coords[[#Headers],[Arrow_X]])-1,4)+1),NA())</f>
        <v>#N/A</v>
      </c>
      <c r="T239" t="e">
        <f>IFERROR(INDEX(Table_Process_Details[[Y Start]:[Y Intentionally NA]],INT((ROW()-ROW(Table_Arrow_Coords[[#Headers],[Arrow_Y]])-1)/4)+1,MOD(ROW()-ROW(Table_Arrow_Coords[[#Headers],[Arrow_Y]])-1,4)+1),NA())</f>
        <v>#N/A</v>
      </c>
      <c r="U239" s="1"/>
      <c r="V239" s="1"/>
      <c r="W239" s="1"/>
      <c r="X239" s="1"/>
      <c r="Y239" s="1"/>
      <c r="Z239" s="1"/>
    </row>
    <row r="240" spans="19:26" x14ac:dyDescent="0.25">
      <c r="S240" t="e">
        <f>IFERROR(INDEX(Table_Process_Details[[X Start]:[X Intentionally NA]],INT((ROW()-ROW(Table_Arrow_Coords[[#Headers],[Arrow_X]])-1)/4)+1,MOD(ROW()-ROW(Table_Arrow_Coords[[#Headers],[Arrow_X]])-1,4)+1),NA())</f>
        <v>#N/A</v>
      </c>
      <c r="T240" t="e">
        <f>IFERROR(INDEX(Table_Process_Details[[Y Start]:[Y Intentionally NA]],INT((ROW()-ROW(Table_Arrow_Coords[[#Headers],[Arrow_Y]])-1)/4)+1,MOD(ROW()-ROW(Table_Arrow_Coords[[#Headers],[Arrow_Y]])-1,4)+1),NA())</f>
        <v>#N/A</v>
      </c>
      <c r="U240" s="1"/>
      <c r="V240" s="1"/>
      <c r="W240" s="1"/>
      <c r="X240" s="1"/>
      <c r="Y240" s="1"/>
      <c r="Z240" s="1"/>
    </row>
    <row r="241" spans="19:26" x14ac:dyDescent="0.25">
      <c r="S241" t="e">
        <f>IFERROR(INDEX(Table_Process_Details[[X Start]:[X Intentionally NA]],INT((ROW()-ROW(Table_Arrow_Coords[[#Headers],[Arrow_X]])-1)/4)+1,MOD(ROW()-ROW(Table_Arrow_Coords[[#Headers],[Arrow_X]])-1,4)+1),NA())</f>
        <v>#N/A</v>
      </c>
      <c r="T241" t="e">
        <f>IFERROR(INDEX(Table_Process_Details[[Y Start]:[Y Intentionally NA]],INT((ROW()-ROW(Table_Arrow_Coords[[#Headers],[Arrow_Y]])-1)/4)+1,MOD(ROW()-ROW(Table_Arrow_Coords[[#Headers],[Arrow_Y]])-1,4)+1),NA())</f>
        <v>#N/A</v>
      </c>
      <c r="U241" s="1"/>
      <c r="V241" s="1"/>
      <c r="W241" s="1"/>
      <c r="X241" s="1"/>
      <c r="Y241" s="1"/>
      <c r="Z241" s="1"/>
    </row>
    <row r="242" spans="19:26" x14ac:dyDescent="0.25">
      <c r="S242" t="e">
        <f>IFERROR(INDEX(Table_Process_Details[[X Start]:[X Intentionally NA]],INT((ROW()-ROW(Table_Arrow_Coords[[#Headers],[Arrow_X]])-1)/4)+1,MOD(ROW()-ROW(Table_Arrow_Coords[[#Headers],[Arrow_X]])-1,4)+1),NA())</f>
        <v>#N/A</v>
      </c>
      <c r="T242" t="e">
        <f>IFERROR(INDEX(Table_Process_Details[[Y Start]:[Y Intentionally NA]],INT((ROW()-ROW(Table_Arrow_Coords[[#Headers],[Arrow_Y]])-1)/4)+1,MOD(ROW()-ROW(Table_Arrow_Coords[[#Headers],[Arrow_Y]])-1,4)+1),NA())</f>
        <v>#N/A</v>
      </c>
      <c r="U242" s="1"/>
      <c r="V242" s="1"/>
      <c r="W242" s="1"/>
      <c r="X242" s="1"/>
      <c r="Y242" s="1"/>
      <c r="Z242" s="1"/>
    </row>
    <row r="243" spans="19:26" x14ac:dyDescent="0.25">
      <c r="S243" t="e">
        <f>IFERROR(INDEX(Table_Process_Details[[X Start]:[X Intentionally NA]],INT((ROW()-ROW(Table_Arrow_Coords[[#Headers],[Arrow_X]])-1)/4)+1,MOD(ROW()-ROW(Table_Arrow_Coords[[#Headers],[Arrow_X]])-1,4)+1),NA())</f>
        <v>#N/A</v>
      </c>
      <c r="T243" t="e">
        <f>IFERROR(INDEX(Table_Process_Details[[Y Start]:[Y Intentionally NA]],INT((ROW()-ROW(Table_Arrow_Coords[[#Headers],[Arrow_Y]])-1)/4)+1,MOD(ROW()-ROW(Table_Arrow_Coords[[#Headers],[Arrow_Y]])-1,4)+1),NA())</f>
        <v>#N/A</v>
      </c>
      <c r="U243" s="1"/>
      <c r="V243" s="1"/>
      <c r="W243" s="1"/>
      <c r="X243" s="1"/>
      <c r="Y243" s="1"/>
      <c r="Z243" s="1"/>
    </row>
    <row r="244" spans="19:26" x14ac:dyDescent="0.25">
      <c r="S244" t="e">
        <f>IFERROR(INDEX(Table_Process_Details[[X Start]:[X Intentionally NA]],INT((ROW()-ROW(Table_Arrow_Coords[[#Headers],[Arrow_X]])-1)/4)+1,MOD(ROW()-ROW(Table_Arrow_Coords[[#Headers],[Arrow_X]])-1,4)+1),NA())</f>
        <v>#N/A</v>
      </c>
      <c r="T244" t="e">
        <f>IFERROR(INDEX(Table_Process_Details[[Y Start]:[Y Intentionally NA]],INT((ROW()-ROW(Table_Arrow_Coords[[#Headers],[Arrow_Y]])-1)/4)+1,MOD(ROW()-ROW(Table_Arrow_Coords[[#Headers],[Arrow_Y]])-1,4)+1),NA())</f>
        <v>#N/A</v>
      </c>
      <c r="U244" s="1"/>
      <c r="V244" s="1"/>
      <c r="W244" s="1"/>
      <c r="X244" s="1"/>
      <c r="Y244" s="1"/>
      <c r="Z244" s="1"/>
    </row>
    <row r="245" spans="19:26" x14ac:dyDescent="0.25">
      <c r="S245" t="e">
        <f>IFERROR(INDEX(Table_Process_Details[[X Start]:[X Intentionally NA]],INT((ROW()-ROW(Table_Arrow_Coords[[#Headers],[Arrow_X]])-1)/4)+1,MOD(ROW()-ROW(Table_Arrow_Coords[[#Headers],[Arrow_X]])-1,4)+1),NA())</f>
        <v>#N/A</v>
      </c>
      <c r="T245" t="e">
        <f>IFERROR(INDEX(Table_Process_Details[[Y Start]:[Y Intentionally NA]],INT((ROW()-ROW(Table_Arrow_Coords[[#Headers],[Arrow_Y]])-1)/4)+1,MOD(ROW()-ROW(Table_Arrow_Coords[[#Headers],[Arrow_Y]])-1,4)+1),NA())</f>
        <v>#N/A</v>
      </c>
      <c r="U245" s="1"/>
      <c r="V245" s="1"/>
      <c r="W245" s="1"/>
      <c r="X245" s="1"/>
      <c r="Y245" s="1"/>
      <c r="Z245" s="1"/>
    </row>
    <row r="246" spans="19:26" x14ac:dyDescent="0.25">
      <c r="S246">
        <f ca="1">IFERROR(INDEX(Table_Process_Details[[X Start]:[X Intentionally NA]],INT((ROW()-ROW(Table_Arrow_Coords[[#Headers],[Arrow_X]])-1)/4)+1,MOD(ROW()-ROW(Table_Arrow_Coords[[#Headers],[Arrow_X]])-1,4)+1),NA())</f>
        <v>1.9309511115841147</v>
      </c>
      <c r="T246">
        <f ca="1">IFERROR(INDEX(Table_Process_Details[[Y Start]:[Y Intentionally NA]],INT((ROW()-ROW(Table_Arrow_Coords[[#Headers],[Arrow_Y]])-1)/4)+1,MOD(ROW()-ROW(Table_Arrow_Coords[[#Headers],[Arrow_Y]])-1,4)+1),NA())</f>
        <v>7.9388892826190514</v>
      </c>
      <c r="U246" s="1"/>
      <c r="V246" s="1"/>
      <c r="W246" s="1"/>
      <c r="X246" s="1"/>
      <c r="Y246" s="1"/>
      <c r="Z246" s="1"/>
    </row>
    <row r="247" spans="19:26" x14ac:dyDescent="0.25">
      <c r="S247">
        <f ca="1">IFERROR(INDEX(Table_Process_Details[[X Start]:[X Intentionally NA]],INT((ROW()-ROW(Table_Arrow_Coords[[#Headers],[Arrow_X]])-1)/4)+1,MOD(ROW()-ROW(Table_Arrow_Coords[[#Headers],[Arrow_X]])-1,4)+1),NA())</f>
        <v>9.0864820078530322</v>
      </c>
      <c r="T247">
        <f ca="1">IFERROR(INDEX(Table_Process_Details[[Y Start]:[Y Intentionally NA]],INT((ROW()-ROW(Table_Arrow_Coords[[#Headers],[Arrow_Y]])-1)/4)+1,MOD(ROW()-ROW(Table_Arrow_Coords[[#Headers],[Arrow_Y]])-1,4)+1),NA())</f>
        <v>8.685844599987826</v>
      </c>
      <c r="U247" s="1"/>
      <c r="V247" s="1"/>
      <c r="W247" s="1"/>
      <c r="X247" s="1"/>
      <c r="Y247" s="1"/>
      <c r="Z247" s="1"/>
    </row>
    <row r="248" spans="19:26" x14ac:dyDescent="0.25">
      <c r="S248">
        <f ca="1">IFERROR(INDEX(Table_Process_Details[[X Start]:[X Intentionally NA]],INT((ROW()-ROW(Table_Arrow_Coords[[#Headers],[Arrow_X]])-1)/4)+1,MOD(ROW()-ROW(Table_Arrow_Coords[[#Headers],[Arrow_X]])-1,4)+1),NA())</f>
        <v>14.931403149896461</v>
      </c>
      <c r="T248">
        <f ca="1">IFERROR(INDEX(Table_Process_Details[[Y Start]:[Y Intentionally NA]],INT((ROW()-ROW(Table_Arrow_Coords[[#Headers],[Arrow_Y]])-1)/4)+1,MOD(ROW()-ROW(Table_Arrow_Coords[[#Headers],[Arrow_Y]])-1,4)+1),NA())</f>
        <v>10.154060695329903</v>
      </c>
      <c r="U248" s="1"/>
      <c r="V248" s="1"/>
      <c r="W248" s="1"/>
      <c r="X248" s="1"/>
      <c r="Y248" s="1"/>
      <c r="Z248" s="1"/>
    </row>
    <row r="249" spans="19:26" x14ac:dyDescent="0.25">
      <c r="S249" t="e">
        <f>IFERROR(INDEX(Table_Process_Details[[X Start]:[X Intentionally NA]],INT((ROW()-ROW(Table_Arrow_Coords[[#Headers],[Arrow_X]])-1)/4)+1,MOD(ROW()-ROW(Table_Arrow_Coords[[#Headers],[Arrow_X]])-1,4)+1),NA())</f>
        <v>#N/A</v>
      </c>
      <c r="T249" t="e">
        <f>IFERROR(INDEX(Table_Process_Details[[Y Start]:[Y Intentionally NA]],INT((ROW()-ROW(Table_Arrow_Coords[[#Headers],[Arrow_Y]])-1)/4)+1,MOD(ROW()-ROW(Table_Arrow_Coords[[#Headers],[Arrow_Y]])-1,4)+1),NA())</f>
        <v>#N/A</v>
      </c>
      <c r="U249" s="1"/>
      <c r="V249" s="1"/>
      <c r="W249" s="1"/>
      <c r="X249" s="1"/>
      <c r="Y249" s="1"/>
      <c r="Z249" s="1"/>
    </row>
    <row r="250" spans="19:26" x14ac:dyDescent="0.25">
      <c r="S250">
        <f ca="1">IFERROR(INDEX(Table_Process_Details[[X Start]:[X Intentionally NA]],INT((ROW()-ROW(Table_Arrow_Coords[[#Headers],[Arrow_X]])-1)/4)+1,MOD(ROW()-ROW(Table_Arrow_Coords[[#Headers],[Arrow_X]])-1,4)+1),NA())</f>
        <v>25.352355293624477</v>
      </c>
      <c r="T250">
        <f ca="1">IFERROR(INDEX(Table_Process_Details[[Y Start]:[Y Intentionally NA]],INT((ROW()-ROW(Table_Arrow_Coords[[#Headers],[Arrow_Y]])-1)/4)+1,MOD(ROW()-ROW(Table_Arrow_Coords[[#Headers],[Arrow_Y]])-1,4)+1),NA())</f>
        <v>16.489331629258427</v>
      </c>
      <c r="U250" s="1"/>
      <c r="V250" s="1"/>
      <c r="W250" s="1"/>
      <c r="X250" s="1"/>
      <c r="Y250" s="1"/>
      <c r="Z250" s="1"/>
    </row>
    <row r="251" spans="19:26" x14ac:dyDescent="0.25">
      <c r="S251">
        <f ca="1">IFERROR(INDEX(Table_Process_Details[[X Start]:[X Intentionally NA]],INT((ROW()-ROW(Table_Arrow_Coords[[#Headers],[Arrow_X]])-1)/4)+1,MOD(ROW()-ROW(Table_Arrow_Coords[[#Headers],[Arrow_X]])-1,4)+1),NA())</f>
        <v>21.555049546461916</v>
      </c>
      <c r="T251">
        <f ca="1">IFERROR(INDEX(Table_Process_Details[[Y Start]:[Y Intentionally NA]],INT((ROW()-ROW(Table_Arrow_Coords[[#Headers],[Arrow_Y]])-1)/4)+1,MOD(ROW()-ROW(Table_Arrow_Coords[[#Headers],[Arrow_Y]])-1,4)+1),NA())</f>
        <v>13.396332918603195</v>
      </c>
      <c r="U251" s="1"/>
      <c r="V251" s="1"/>
      <c r="W251" s="1"/>
      <c r="X251" s="1"/>
      <c r="Y251" s="1"/>
      <c r="Z251" s="1"/>
    </row>
    <row r="252" spans="19:26" x14ac:dyDescent="0.25">
      <c r="S252">
        <f ca="1">IFERROR(INDEX(Table_Process_Details[[X Start]:[X Intentionally NA]],INT((ROW()-ROW(Table_Arrow_Coords[[#Headers],[Arrow_X]])-1)/4)+1,MOD(ROW()-ROW(Table_Arrow_Coords[[#Headers],[Arrow_X]])-1,4)+1),NA())</f>
        <v>16.416746835031848</v>
      </c>
      <c r="T252">
        <f ca="1">IFERROR(INDEX(Table_Process_Details[[Y Start]:[Y Intentionally NA]],INT((ROW()-ROW(Table_Arrow_Coords[[#Headers],[Arrow_Y]])-1)/4)+1,MOD(ROW()-ROW(Table_Arrow_Coords[[#Headers],[Arrow_Y]])-1,4)+1),NA())</f>
        <v>10.718668513416695</v>
      </c>
      <c r="U252" s="1"/>
      <c r="V252" s="1"/>
      <c r="W252" s="1"/>
      <c r="X252" s="1"/>
      <c r="Y252" s="1"/>
      <c r="Z252" s="1"/>
    </row>
    <row r="253" spans="19:26" x14ac:dyDescent="0.25">
      <c r="S253" t="e">
        <f>IFERROR(INDEX(Table_Process_Details[[X Start]:[X Intentionally NA]],INT((ROW()-ROW(Table_Arrow_Coords[[#Headers],[Arrow_X]])-1)/4)+1,MOD(ROW()-ROW(Table_Arrow_Coords[[#Headers],[Arrow_X]])-1,4)+1),NA())</f>
        <v>#N/A</v>
      </c>
      <c r="T253" t="e">
        <f>IFERROR(INDEX(Table_Process_Details[[Y Start]:[Y Intentionally NA]],INT((ROW()-ROW(Table_Arrow_Coords[[#Headers],[Arrow_Y]])-1)/4)+1,MOD(ROW()-ROW(Table_Arrow_Coords[[#Headers],[Arrow_Y]])-1,4)+1),NA())</f>
        <v>#N/A</v>
      </c>
      <c r="U253" s="1"/>
      <c r="V253" s="1"/>
      <c r="W253" s="1"/>
      <c r="X253" s="1"/>
      <c r="Y253" s="1"/>
      <c r="Z253" s="1"/>
    </row>
    <row r="254" spans="19:26" x14ac:dyDescent="0.25">
      <c r="S254">
        <f ca="1">IFERROR(INDEX(Table_Process_Details[[X Start]:[X Intentionally NA]],INT((ROW()-ROW(Table_Arrow_Coords[[#Headers],[Arrow_X]])-1)/4)+1,MOD(ROW()-ROW(Table_Arrow_Coords[[#Headers],[Arrow_X]])-1,4)+1),NA())</f>
        <v>12.974140333930144</v>
      </c>
      <c r="T254">
        <f ca="1">IFERROR(INDEX(Table_Process_Details[[Y Start]:[Y Intentionally NA]],INT((ROW()-ROW(Table_Arrow_Coords[[#Headers],[Arrow_Y]])-1)/4)+1,MOD(ROW()-ROW(Table_Arrow_Coords[[#Headers],[Arrow_Y]])-1,4)+1),NA())</f>
        <v>20.368995765321468</v>
      </c>
      <c r="U254" s="1"/>
      <c r="V254" s="1"/>
      <c r="W254" s="1"/>
      <c r="X254" s="1"/>
      <c r="Y254" s="1"/>
      <c r="Z254" s="1"/>
    </row>
    <row r="255" spans="19:26" x14ac:dyDescent="0.25">
      <c r="S255">
        <f ca="1">IFERROR(INDEX(Table_Process_Details[[X Start]:[X Intentionally NA]],INT((ROW()-ROW(Table_Arrow_Coords[[#Headers],[Arrow_X]])-1)/4)+1,MOD(ROW()-ROW(Table_Arrow_Coords[[#Headers],[Arrow_X]])-1,4)+1),NA())</f>
        <v>14.503219595463817</v>
      </c>
      <c r="T255">
        <f ca="1">IFERROR(INDEX(Table_Process_Details[[Y Start]:[Y Intentionally NA]],INT((ROW()-ROW(Table_Arrow_Coords[[#Headers],[Arrow_Y]])-1)/4)+1,MOD(ROW()-ROW(Table_Arrow_Coords[[#Headers],[Arrow_Y]])-1,4)+1),NA())</f>
        <v>15.913343514149426</v>
      </c>
      <c r="U255" s="1"/>
      <c r="V255" s="1"/>
      <c r="W255" s="1"/>
      <c r="X255" s="1"/>
      <c r="Y255" s="1"/>
      <c r="Z255" s="1"/>
    </row>
    <row r="256" spans="19:26" x14ac:dyDescent="0.25">
      <c r="S256">
        <f ca="1">IFERROR(INDEX(Table_Process_Details[[X Start]:[X Intentionally NA]],INT((ROW()-ROW(Table_Arrow_Coords[[#Headers],[Arrow_X]])-1)/4)+1,MOD(ROW()-ROW(Table_Arrow_Coords[[#Headers],[Arrow_X]])-1,4)+1),NA())</f>
        <v>15.538102103892001</v>
      </c>
      <c r="T256">
        <f ca="1">IFERROR(INDEX(Table_Process_Details[[Y Start]:[Y Intentionally NA]],INT((ROW()-ROW(Table_Arrow_Coords[[#Headers],[Arrow_Y]])-1)/4)+1,MOD(ROW()-ROW(Table_Arrow_Coords[[#Headers],[Arrow_Y]])-1,4)+1),NA())</f>
        <v>11.130865054161612</v>
      </c>
      <c r="U256" s="1"/>
      <c r="V256" s="1"/>
      <c r="W256" s="1"/>
      <c r="X256" s="1"/>
      <c r="Y256" s="1"/>
      <c r="Z256" s="1"/>
    </row>
    <row r="257" spans="19:26" x14ac:dyDescent="0.25">
      <c r="S257" t="e">
        <f>IFERROR(INDEX(Table_Process_Details[[X Start]:[X Intentionally NA]],INT((ROW()-ROW(Table_Arrow_Coords[[#Headers],[Arrow_X]])-1)/4)+1,MOD(ROW()-ROW(Table_Arrow_Coords[[#Headers],[Arrow_X]])-1,4)+1),NA())</f>
        <v>#N/A</v>
      </c>
      <c r="T257" t="e">
        <f>IFERROR(INDEX(Table_Process_Details[[Y Start]:[Y Intentionally NA]],INT((ROW()-ROW(Table_Arrow_Coords[[#Headers],[Arrow_Y]])-1)/4)+1,MOD(ROW()-ROW(Table_Arrow_Coords[[#Headers],[Arrow_Y]])-1,4)+1),NA())</f>
        <v>#N/A</v>
      </c>
      <c r="U257" s="1"/>
      <c r="V257" s="1"/>
      <c r="W257" s="1"/>
      <c r="X257" s="1"/>
      <c r="Y257" s="1"/>
      <c r="Z257" s="1"/>
    </row>
    <row r="258" spans="19:26" x14ac:dyDescent="0.25">
      <c r="S258" t="e">
        <f>IFERROR(INDEX(Table_Process_Details[[X Start]:[X Intentionally NA]],INT((ROW()-ROW(Table_Arrow_Coords[[#Headers],[Arrow_X]])-1)/4)+1,MOD(ROW()-ROW(Table_Arrow_Coords[[#Headers],[Arrow_X]])-1,4)+1),NA())</f>
        <v>#N/A</v>
      </c>
      <c r="T258" t="e">
        <f>IFERROR(INDEX(Table_Process_Details[[Y Start]:[Y Intentionally NA]],INT((ROW()-ROW(Table_Arrow_Coords[[#Headers],[Arrow_Y]])-1)/4)+1,MOD(ROW()-ROW(Table_Arrow_Coords[[#Headers],[Arrow_Y]])-1,4)+1),NA())</f>
        <v>#N/A</v>
      </c>
      <c r="U258" s="1"/>
      <c r="V258" s="1"/>
      <c r="W258" s="1"/>
      <c r="X258" s="1"/>
      <c r="Y258" s="1"/>
      <c r="Z258" s="1"/>
    </row>
    <row r="259" spans="19:26" x14ac:dyDescent="0.25">
      <c r="S259">
        <f ca="1">IFERROR(INDEX(Table_Process_Details[[X Start]:[X Intentionally NA]],INT((ROW()-ROW(Table_Arrow_Coords[[#Headers],[Arrow_X]])-1)/4)+1,MOD(ROW()-ROW(Table_Arrow_Coords[[#Headers],[Arrow_X]])-1,4)+1),NA())</f>
        <v>16.597688795659906</v>
      </c>
      <c r="T259">
        <f ca="1">IFERROR(INDEX(Table_Process_Details[[Y Start]:[Y Intentionally NA]],INT((ROW()-ROW(Table_Arrow_Coords[[#Headers],[Arrow_Y]])-1)/4)+1,MOD(ROW()-ROW(Table_Arrow_Coords[[#Headers],[Arrow_Y]])-1,4)+1),NA())</f>
        <v>13.877071183519517</v>
      </c>
      <c r="U259" s="1"/>
      <c r="V259" s="1"/>
      <c r="W259" s="1"/>
      <c r="X259" s="1"/>
      <c r="Y259" s="1"/>
      <c r="Z259" s="1"/>
    </row>
    <row r="260" spans="19:26" x14ac:dyDescent="0.25">
      <c r="S260">
        <f ca="1">IFERROR(INDEX(Table_Process_Details[[X Start]:[X Intentionally NA]],INT((ROW()-ROW(Table_Arrow_Coords[[#Headers],[Arrow_X]])-1)/4)+1,MOD(ROW()-ROW(Table_Arrow_Coords[[#Headers],[Arrow_X]])-1,4)+1),NA())</f>
        <v>15.90305698667205</v>
      </c>
      <c r="T260">
        <f ca="1">IFERROR(INDEX(Table_Process_Details[[Y Start]:[Y Intentionally NA]],INT((ROW()-ROW(Table_Arrow_Coords[[#Headers],[Arrow_Y]])-1)/4)+1,MOD(ROW()-ROW(Table_Arrow_Coords[[#Headers],[Arrow_Y]])-1,4)+1),NA())</f>
        <v>11.124641311481541</v>
      </c>
      <c r="U260" s="1"/>
      <c r="V260" s="1"/>
      <c r="W260" s="1"/>
      <c r="X260" s="1"/>
      <c r="Y260" s="1"/>
      <c r="Z260" s="1"/>
    </row>
    <row r="261" spans="19:26" x14ac:dyDescent="0.25">
      <c r="S261" t="e">
        <f>IFERROR(INDEX(Table_Process_Details[[X Start]:[X Intentionally NA]],INT((ROW()-ROW(Table_Arrow_Coords[[#Headers],[Arrow_X]])-1)/4)+1,MOD(ROW()-ROW(Table_Arrow_Coords[[#Headers],[Arrow_X]])-1,4)+1),NA())</f>
        <v>#N/A</v>
      </c>
      <c r="T261" t="e">
        <f>IFERROR(INDEX(Table_Process_Details[[Y Start]:[Y Intentionally NA]],INT((ROW()-ROW(Table_Arrow_Coords[[#Headers],[Arrow_Y]])-1)/4)+1,MOD(ROW()-ROW(Table_Arrow_Coords[[#Headers],[Arrow_Y]])-1,4)+1),NA())</f>
        <v>#N/A</v>
      </c>
      <c r="U261" s="1"/>
      <c r="V261" s="1"/>
      <c r="W261" s="1"/>
      <c r="X261" s="1"/>
      <c r="Y261" s="1"/>
      <c r="Z261" s="1"/>
    </row>
    <row r="262" spans="19:26" x14ac:dyDescent="0.25">
      <c r="S262" t="e">
        <f>IFERROR(INDEX(Table_Process_Details[[X Start]:[X Intentionally NA]],INT((ROW()-ROW(Table_Arrow_Coords[[#Headers],[Arrow_X]])-1)/4)+1,MOD(ROW()-ROW(Table_Arrow_Coords[[#Headers],[Arrow_X]])-1,4)+1),NA())</f>
        <v>#N/A</v>
      </c>
      <c r="T262" t="e">
        <f>IFERROR(INDEX(Table_Process_Details[[Y Start]:[Y Intentionally NA]],INT((ROW()-ROW(Table_Arrow_Coords[[#Headers],[Arrow_Y]])-1)/4)+1,MOD(ROW()-ROW(Table_Arrow_Coords[[#Headers],[Arrow_Y]])-1,4)+1),NA())</f>
        <v>#N/A</v>
      </c>
      <c r="U262" s="1"/>
      <c r="V262" s="1"/>
      <c r="W262" s="1"/>
      <c r="X262" s="1"/>
      <c r="Y262" s="1"/>
      <c r="Z262" s="1"/>
    </row>
    <row r="263" spans="19:26" x14ac:dyDescent="0.25">
      <c r="S263">
        <f ca="1">IFERROR(INDEX(Table_Process_Details[[X Start]:[X Intentionally NA]],INT((ROW()-ROW(Table_Arrow_Coords[[#Headers],[Arrow_X]])-1)/4)+1,MOD(ROW()-ROW(Table_Arrow_Coords[[#Headers],[Arrow_X]])-1,4)+1),NA())</f>
        <v>16.515928712884108</v>
      </c>
      <c r="T263">
        <f ca="1">IFERROR(INDEX(Table_Process_Details[[Y Start]:[Y Intentionally NA]],INT((ROW()-ROW(Table_Arrow_Coords[[#Headers],[Arrow_Y]])-1)/4)+1,MOD(ROW()-ROW(Table_Arrow_Coords[[#Headers],[Arrow_Y]])-1,4)+1),NA())</f>
        <v>6.9953352782779588</v>
      </c>
      <c r="U263" s="1"/>
      <c r="V263" s="1"/>
      <c r="W263" s="1"/>
      <c r="X263" s="1"/>
      <c r="Y263" s="1"/>
      <c r="Z263" s="1"/>
    </row>
    <row r="264" spans="19:26" x14ac:dyDescent="0.25">
      <c r="S264">
        <f ca="1">IFERROR(INDEX(Table_Process_Details[[X Start]:[X Intentionally NA]],INT((ROW()-ROW(Table_Arrow_Coords[[#Headers],[Arrow_X]])-1)/4)+1,MOD(ROW()-ROW(Table_Arrow_Coords[[#Headers],[Arrow_X]])-1,4)+1),NA())</f>
        <v>15.894821150549751</v>
      </c>
      <c r="T264">
        <f ca="1">IFERROR(INDEX(Table_Process_Details[[Y Start]:[Y Intentionally NA]],INT((ROW()-ROW(Table_Arrow_Coords[[#Headers],[Arrow_Y]])-1)/4)+1,MOD(ROW()-ROW(Table_Arrow_Coords[[#Headers],[Arrow_Y]])-1,4)+1),NA())</f>
        <v>9.5712503269420939</v>
      </c>
      <c r="U264" s="1"/>
      <c r="V264" s="1"/>
      <c r="W264" s="1"/>
      <c r="X264" s="1"/>
      <c r="Y264" s="1"/>
      <c r="Z264" s="1"/>
    </row>
    <row r="265" spans="19:26" x14ac:dyDescent="0.25">
      <c r="S265" t="e">
        <f>IFERROR(INDEX(Table_Process_Details[[X Start]:[X Intentionally NA]],INT((ROW()-ROW(Table_Arrow_Coords[[#Headers],[Arrow_X]])-1)/4)+1,MOD(ROW()-ROW(Table_Arrow_Coords[[#Headers],[Arrow_X]])-1,4)+1),NA())</f>
        <v>#N/A</v>
      </c>
      <c r="T265" t="e">
        <f>IFERROR(INDEX(Table_Process_Details[[Y Start]:[Y Intentionally NA]],INT((ROW()-ROW(Table_Arrow_Coords[[#Headers],[Arrow_Y]])-1)/4)+1,MOD(ROW()-ROW(Table_Arrow_Coords[[#Headers],[Arrow_Y]])-1,4)+1),NA())</f>
        <v>#N/A</v>
      </c>
      <c r="U265" s="1"/>
      <c r="V265" s="1"/>
      <c r="W265" s="1"/>
      <c r="X265" s="1"/>
      <c r="Y265" s="1"/>
      <c r="Z265" s="1"/>
    </row>
    <row r="266" spans="19:26" x14ac:dyDescent="0.25">
      <c r="S266" t="e">
        <f>IFERROR(INDEX(Table_Process_Details[[X Start]:[X Intentionally NA]],INT((ROW()-ROW(Table_Arrow_Coords[[#Headers],[Arrow_X]])-1)/4)+1,MOD(ROW()-ROW(Table_Arrow_Coords[[#Headers],[Arrow_X]])-1,4)+1),NA())</f>
        <v>#N/A</v>
      </c>
      <c r="T266" t="e">
        <f>IFERROR(INDEX(Table_Process_Details[[Y Start]:[Y Intentionally NA]],INT((ROW()-ROW(Table_Arrow_Coords[[#Headers],[Arrow_Y]])-1)/4)+1,MOD(ROW()-ROW(Table_Arrow_Coords[[#Headers],[Arrow_Y]])-1,4)+1),NA())</f>
        <v>#N/A</v>
      </c>
      <c r="U266" s="1"/>
      <c r="V266" s="1"/>
      <c r="W266" s="1"/>
      <c r="X266" s="1"/>
      <c r="Y266" s="1"/>
      <c r="Z266" s="1"/>
    </row>
    <row r="267" spans="19:26" x14ac:dyDescent="0.25">
      <c r="S267">
        <f ca="1">IFERROR(INDEX(Table_Process_Details[[X Start]:[X Intentionally NA]],INT((ROW()-ROW(Table_Arrow_Coords[[#Headers],[Arrow_X]])-1)/4)+1,MOD(ROW()-ROW(Table_Arrow_Coords[[#Headers],[Arrow_X]])-1,4)+1),NA())</f>
        <v>13.203312400057756</v>
      </c>
      <c r="T267">
        <f ca="1">IFERROR(INDEX(Table_Process_Details[[Y Start]:[Y Intentionally NA]],INT((ROW()-ROW(Table_Arrow_Coords[[#Headers],[Arrow_Y]])-1)/4)+1,MOD(ROW()-ROW(Table_Arrow_Coords[[#Headers],[Arrow_Y]])-1,4)+1),NA())</f>
        <v>8.065310331078777</v>
      </c>
      <c r="U267" s="1"/>
      <c r="V267" s="1"/>
      <c r="W267" s="1"/>
      <c r="X267" s="1"/>
      <c r="Y267" s="1"/>
      <c r="Z267" s="1"/>
    </row>
    <row r="268" spans="19:26" x14ac:dyDescent="0.25">
      <c r="S268">
        <f ca="1">IFERROR(INDEX(Table_Process_Details[[X Start]:[X Intentionally NA]],INT((ROW()-ROW(Table_Arrow_Coords[[#Headers],[Arrow_X]])-1)/4)+1,MOD(ROW()-ROW(Table_Arrow_Coords[[#Headers],[Arrow_X]])-1,4)+1),NA())</f>
        <v>15.116204945069693</v>
      </c>
      <c r="T268">
        <f ca="1">IFERROR(INDEX(Table_Process_Details[[Y Start]:[Y Intentionally NA]],INT((ROW()-ROW(Table_Arrow_Coords[[#Headers],[Arrow_Y]])-1)/4)+1,MOD(ROW()-ROW(Table_Arrow_Coords[[#Headers],[Arrow_Y]])-1,4)+1),NA())</f>
        <v>9.8098807458072184</v>
      </c>
      <c r="U268" s="1"/>
      <c r="V268" s="1"/>
      <c r="W268" s="1"/>
      <c r="X268" s="1"/>
      <c r="Y268" s="1"/>
      <c r="Z268" s="1"/>
    </row>
    <row r="269" spans="19:26" x14ac:dyDescent="0.25">
      <c r="S269" t="e">
        <f>IFERROR(INDEX(Table_Process_Details[[X Start]:[X Intentionally NA]],INT((ROW()-ROW(Table_Arrow_Coords[[#Headers],[Arrow_X]])-1)/4)+1,MOD(ROW()-ROW(Table_Arrow_Coords[[#Headers],[Arrow_X]])-1,4)+1),NA())</f>
        <v>#N/A</v>
      </c>
      <c r="T269" t="e">
        <f>IFERROR(INDEX(Table_Process_Details[[Y Start]:[Y Intentionally NA]],INT((ROW()-ROW(Table_Arrow_Coords[[#Headers],[Arrow_Y]])-1)/4)+1,MOD(ROW()-ROW(Table_Arrow_Coords[[#Headers],[Arrow_Y]])-1,4)+1),NA())</f>
        <v>#N/A</v>
      </c>
      <c r="U269" s="1"/>
      <c r="V269" s="1"/>
      <c r="W269" s="1"/>
      <c r="X269" s="1"/>
      <c r="Y269" s="1"/>
      <c r="Z269" s="1"/>
    </row>
    <row r="270" spans="19:26" x14ac:dyDescent="0.25">
      <c r="S270" t="e">
        <f>IFERROR(INDEX(Table_Process_Details[[X Start]:[X Intentionally NA]],INT((ROW()-ROW(Table_Arrow_Coords[[#Headers],[Arrow_X]])-1)/4)+1,MOD(ROW()-ROW(Table_Arrow_Coords[[#Headers],[Arrow_X]])-1,4)+1),NA())</f>
        <v>#N/A</v>
      </c>
      <c r="T270" t="e">
        <f>IFERROR(INDEX(Table_Process_Details[[Y Start]:[Y Intentionally NA]],INT((ROW()-ROW(Table_Arrow_Coords[[#Headers],[Arrow_Y]])-1)/4)+1,MOD(ROW()-ROW(Table_Arrow_Coords[[#Headers],[Arrow_Y]])-1,4)+1),NA())</f>
        <v>#N/A</v>
      </c>
      <c r="U270" s="1"/>
      <c r="V270" s="1"/>
      <c r="W270" s="1"/>
      <c r="X270" s="1"/>
      <c r="Y270" s="1"/>
      <c r="Z270" s="1"/>
    </row>
    <row r="271" spans="19:26" x14ac:dyDescent="0.25">
      <c r="S271">
        <f ca="1">IFERROR(INDEX(Table_Process_Details[[X Start]:[X Intentionally NA]],INT((ROW()-ROW(Table_Arrow_Coords[[#Headers],[Arrow_X]])-1)/4)+1,MOD(ROW()-ROW(Table_Arrow_Coords[[#Headers],[Arrow_X]])-1,4)+1),NA())</f>
        <v>19.289627143601709</v>
      </c>
      <c r="T271">
        <f ca="1">IFERROR(INDEX(Table_Process_Details[[Y Start]:[Y Intentionally NA]],INT((ROW()-ROW(Table_Arrow_Coords[[#Headers],[Arrow_Y]])-1)/4)+1,MOD(ROW()-ROW(Table_Arrow_Coords[[#Headers],[Arrow_Y]])-1,4)+1),NA())</f>
        <v>8.8042496952735227</v>
      </c>
      <c r="U271" s="1"/>
      <c r="V271" s="1"/>
      <c r="W271" s="1"/>
      <c r="X271" s="1"/>
      <c r="Y271" s="1"/>
      <c r="Z271" s="1"/>
    </row>
    <row r="272" spans="19:26" x14ac:dyDescent="0.25">
      <c r="S272">
        <f ca="1">IFERROR(INDEX(Table_Process_Details[[X Start]:[X Intentionally NA]],INT((ROW()-ROW(Table_Arrow_Coords[[#Headers],[Arrow_X]])-1)/4)+1,MOD(ROW()-ROW(Table_Arrow_Coords[[#Headers],[Arrow_X]])-1,4)+1),NA())</f>
        <v>16.441912625928872</v>
      </c>
      <c r="T272">
        <f ca="1">IFERROR(INDEX(Table_Process_Details[[Y Start]:[Y Intentionally NA]],INT((ROW()-ROW(Table_Arrow_Coords[[#Headers],[Arrow_Y]])-1)/4)+1,MOD(ROW()-ROW(Table_Arrow_Coords[[#Headers],[Arrow_Y]])-1,4)+1),NA())</f>
        <v>10.03219376973048</v>
      </c>
      <c r="U272" s="1"/>
      <c r="V272" s="1"/>
      <c r="W272" s="1"/>
      <c r="X272" s="1"/>
      <c r="Y272" s="1"/>
      <c r="Z272" s="1"/>
    </row>
    <row r="273" spans="19:26" x14ac:dyDescent="0.25">
      <c r="S273" t="e">
        <f>IFERROR(INDEX(Table_Process_Details[[X Start]:[X Intentionally NA]],INT((ROW()-ROW(Table_Arrow_Coords[[#Headers],[Arrow_X]])-1)/4)+1,MOD(ROW()-ROW(Table_Arrow_Coords[[#Headers],[Arrow_X]])-1,4)+1),NA())</f>
        <v>#N/A</v>
      </c>
      <c r="T273" t="e">
        <f>IFERROR(INDEX(Table_Process_Details[[Y Start]:[Y Intentionally NA]],INT((ROW()-ROW(Table_Arrow_Coords[[#Headers],[Arrow_Y]])-1)/4)+1,MOD(ROW()-ROW(Table_Arrow_Coords[[#Headers],[Arrow_Y]])-1,4)+1),NA())</f>
        <v>#N/A</v>
      </c>
      <c r="U273" s="1"/>
      <c r="V273" s="1"/>
      <c r="W273" s="1"/>
      <c r="X273" s="1"/>
      <c r="Y273" s="1"/>
      <c r="Z273" s="1"/>
    </row>
    <row r="274" spans="19:26" x14ac:dyDescent="0.25">
      <c r="S274" t="e">
        <f>IFERROR(INDEX(Table_Process_Details[[X Start]:[X Intentionally NA]],INT((ROW()-ROW(Table_Arrow_Coords[[#Headers],[Arrow_X]])-1)/4)+1,MOD(ROW()-ROW(Table_Arrow_Coords[[#Headers],[Arrow_X]])-1,4)+1),NA())</f>
        <v>#N/A</v>
      </c>
      <c r="T274" t="e">
        <f>IFERROR(INDEX(Table_Process_Details[[Y Start]:[Y Intentionally NA]],INT((ROW()-ROW(Table_Arrow_Coords[[#Headers],[Arrow_Y]])-1)/4)+1,MOD(ROW()-ROW(Table_Arrow_Coords[[#Headers],[Arrow_Y]])-1,4)+1),NA())</f>
        <v>#N/A</v>
      </c>
      <c r="U274" s="1"/>
      <c r="V274" s="1"/>
      <c r="W274" s="1"/>
      <c r="X274" s="1"/>
      <c r="Y274" s="1"/>
      <c r="Z274" s="1"/>
    </row>
    <row r="275" spans="19:26" x14ac:dyDescent="0.25">
      <c r="S275">
        <f ca="1">IFERROR(INDEX(Table_Process_Details[[X Start]:[X Intentionally NA]],INT((ROW()-ROW(Table_Arrow_Coords[[#Headers],[Arrow_X]])-1)/4)+1,MOD(ROW()-ROW(Table_Arrow_Coords[[#Headers],[Arrow_X]])-1,4)+1),NA())</f>
        <v>19.033056665541746</v>
      </c>
      <c r="T275">
        <f ca="1">IFERROR(INDEX(Table_Process_Details[[Y Start]:[Y Intentionally NA]],INT((ROW()-ROW(Table_Arrow_Coords[[#Headers],[Arrow_Y]])-1)/4)+1,MOD(ROW()-ROW(Table_Arrow_Coords[[#Headers],[Arrow_Y]])-1,4)+1),NA())</f>
        <v>12.355561868808731</v>
      </c>
      <c r="U275" s="1"/>
      <c r="V275" s="1"/>
      <c r="W275" s="1"/>
      <c r="X275" s="1"/>
      <c r="Y275" s="1"/>
      <c r="Z275" s="1"/>
    </row>
    <row r="276" spans="19:26" x14ac:dyDescent="0.25">
      <c r="S276">
        <f ca="1">IFERROR(INDEX(Table_Process_Details[[X Start]:[X Intentionally NA]],INT((ROW()-ROW(Table_Arrow_Coords[[#Headers],[Arrow_X]])-1)/4)+1,MOD(ROW()-ROW(Table_Arrow_Coords[[#Headers],[Arrow_X]])-1,4)+1),NA())</f>
        <v>16.392278020945927</v>
      </c>
      <c r="T276">
        <f ca="1">IFERROR(INDEX(Table_Process_Details[[Y Start]:[Y Intentionally NA]],INT((ROW()-ROW(Table_Arrow_Coords[[#Headers],[Arrow_Y]])-1)/4)+1,MOD(ROW()-ROW(Table_Arrow_Coords[[#Headers],[Arrow_Y]])-1,4)+1),NA())</f>
        <v>10.762245065749159</v>
      </c>
      <c r="U276" s="1"/>
      <c r="V276" s="1"/>
      <c r="W276" s="1"/>
      <c r="X276" s="1"/>
      <c r="Y276" s="1"/>
      <c r="Z276" s="1"/>
    </row>
    <row r="277" spans="19:26" x14ac:dyDescent="0.25">
      <c r="S277" t="e">
        <f>IFERROR(INDEX(Table_Process_Details[[X Start]:[X Intentionally NA]],INT((ROW()-ROW(Table_Arrow_Coords[[#Headers],[Arrow_X]])-1)/4)+1,MOD(ROW()-ROW(Table_Arrow_Coords[[#Headers],[Arrow_X]])-1,4)+1),NA())</f>
        <v>#N/A</v>
      </c>
      <c r="T277" t="e">
        <f>IFERROR(INDEX(Table_Process_Details[[Y Start]:[Y Intentionally NA]],INT((ROW()-ROW(Table_Arrow_Coords[[#Headers],[Arrow_Y]])-1)/4)+1,MOD(ROW()-ROW(Table_Arrow_Coords[[#Headers],[Arrow_Y]])-1,4)+1),NA())</f>
        <v>#N/A</v>
      </c>
      <c r="U277" s="1"/>
      <c r="V277" s="1"/>
      <c r="W277" s="1"/>
      <c r="X277" s="1"/>
      <c r="Y277" s="1"/>
      <c r="Z277" s="1"/>
    </row>
    <row r="278" spans="19:26" x14ac:dyDescent="0.25">
      <c r="S278" t="e">
        <f>IFERROR(INDEX(Table_Process_Details[[X Start]:[X Intentionally NA]],INT((ROW()-ROW(Table_Arrow_Coords[[#Headers],[Arrow_X]])-1)/4)+1,MOD(ROW()-ROW(Table_Arrow_Coords[[#Headers],[Arrow_X]])-1,4)+1),NA())</f>
        <v>#N/A</v>
      </c>
      <c r="T278" t="e">
        <f>IFERROR(INDEX(Table_Process_Details[[Y Start]:[Y Intentionally NA]],INT((ROW()-ROW(Table_Arrow_Coords[[#Headers],[Arrow_Y]])-1)/4)+1,MOD(ROW()-ROW(Table_Arrow_Coords[[#Headers],[Arrow_Y]])-1,4)+1),NA())</f>
        <v>#N/A</v>
      </c>
      <c r="U278" s="1"/>
      <c r="V278" s="1"/>
      <c r="W278" s="1"/>
      <c r="X278" s="1"/>
      <c r="Y278" s="1"/>
      <c r="Z278" s="1"/>
    </row>
    <row r="279" spans="19:26" x14ac:dyDescent="0.25">
      <c r="S279" t="e">
        <f>IFERROR(INDEX(Table_Process_Details[[X Start]:[X Intentionally NA]],INT((ROW()-ROW(Table_Arrow_Coords[[#Headers],[Arrow_X]])-1)/4)+1,MOD(ROW()-ROW(Table_Arrow_Coords[[#Headers],[Arrow_X]])-1,4)+1),NA())</f>
        <v>#N/A</v>
      </c>
      <c r="T279" t="e">
        <f>IFERROR(INDEX(Table_Process_Details[[Y Start]:[Y Intentionally NA]],INT((ROW()-ROW(Table_Arrow_Coords[[#Headers],[Arrow_Y]])-1)/4)+1,MOD(ROW()-ROW(Table_Arrow_Coords[[#Headers],[Arrow_Y]])-1,4)+1),NA())</f>
        <v>#N/A</v>
      </c>
      <c r="U279" s="1"/>
      <c r="V279" s="1"/>
      <c r="W279" s="1"/>
      <c r="X279" s="1"/>
      <c r="Y279" s="1"/>
      <c r="Z279" s="1"/>
    </row>
    <row r="280" spans="19:26" x14ac:dyDescent="0.25">
      <c r="S280" t="e">
        <f>IFERROR(INDEX(Table_Process_Details[[X Start]:[X Intentionally NA]],INT((ROW()-ROW(Table_Arrow_Coords[[#Headers],[Arrow_X]])-1)/4)+1,MOD(ROW()-ROW(Table_Arrow_Coords[[#Headers],[Arrow_X]])-1,4)+1),NA())</f>
        <v>#N/A</v>
      </c>
      <c r="T280" t="e">
        <f>IFERROR(INDEX(Table_Process_Details[[Y Start]:[Y Intentionally NA]],INT((ROW()-ROW(Table_Arrow_Coords[[#Headers],[Arrow_Y]])-1)/4)+1,MOD(ROW()-ROW(Table_Arrow_Coords[[#Headers],[Arrow_Y]])-1,4)+1),NA())</f>
        <v>#N/A</v>
      </c>
      <c r="U280" s="1"/>
      <c r="V280" s="1"/>
      <c r="W280" s="1"/>
      <c r="X280" s="1"/>
      <c r="Y280" s="1"/>
      <c r="Z280" s="1"/>
    </row>
    <row r="281" spans="19:26" x14ac:dyDescent="0.25">
      <c r="S281" t="e">
        <f>IFERROR(INDEX(Table_Process_Details[[X Start]:[X Intentionally NA]],INT((ROW()-ROW(Table_Arrow_Coords[[#Headers],[Arrow_X]])-1)/4)+1,MOD(ROW()-ROW(Table_Arrow_Coords[[#Headers],[Arrow_X]])-1,4)+1),NA())</f>
        <v>#N/A</v>
      </c>
      <c r="T281" t="e">
        <f>IFERROR(INDEX(Table_Process_Details[[Y Start]:[Y Intentionally NA]],INT((ROW()-ROW(Table_Arrow_Coords[[#Headers],[Arrow_Y]])-1)/4)+1,MOD(ROW()-ROW(Table_Arrow_Coords[[#Headers],[Arrow_Y]])-1,4)+1),NA())</f>
        <v>#N/A</v>
      </c>
      <c r="U281" s="1"/>
      <c r="V281" s="1"/>
      <c r="W281" s="1"/>
      <c r="X281" s="1"/>
      <c r="Y281" s="1"/>
      <c r="Z281" s="1"/>
    </row>
    <row r="282" spans="19:26" x14ac:dyDescent="0.25">
      <c r="S282" t="e">
        <f>IFERROR(INDEX(Table_Process_Details[[X Start]:[X Intentionally NA]],INT((ROW()-ROW(Table_Arrow_Coords[[#Headers],[Arrow_X]])-1)/4)+1,MOD(ROW()-ROW(Table_Arrow_Coords[[#Headers],[Arrow_X]])-1,4)+1),NA())</f>
        <v>#N/A</v>
      </c>
      <c r="T282" t="e">
        <f>IFERROR(INDEX(Table_Process_Details[[Y Start]:[Y Intentionally NA]],INT((ROW()-ROW(Table_Arrow_Coords[[#Headers],[Arrow_Y]])-1)/4)+1,MOD(ROW()-ROW(Table_Arrow_Coords[[#Headers],[Arrow_Y]])-1,4)+1),NA())</f>
        <v>#N/A</v>
      </c>
      <c r="U282" s="1"/>
      <c r="V282" s="1"/>
      <c r="W282" s="1"/>
      <c r="X282" s="1"/>
      <c r="Y282" s="1"/>
      <c r="Z282" s="1"/>
    </row>
    <row r="283" spans="19:26" x14ac:dyDescent="0.25">
      <c r="S283" t="e">
        <f>IFERROR(INDEX(Table_Process_Details[[X Start]:[X Intentionally NA]],INT((ROW()-ROW(Table_Arrow_Coords[[#Headers],[Arrow_X]])-1)/4)+1,MOD(ROW()-ROW(Table_Arrow_Coords[[#Headers],[Arrow_X]])-1,4)+1),NA())</f>
        <v>#N/A</v>
      </c>
      <c r="T283" t="e">
        <f>IFERROR(INDEX(Table_Process_Details[[Y Start]:[Y Intentionally NA]],INT((ROW()-ROW(Table_Arrow_Coords[[#Headers],[Arrow_Y]])-1)/4)+1,MOD(ROW()-ROW(Table_Arrow_Coords[[#Headers],[Arrow_Y]])-1,4)+1),NA())</f>
        <v>#N/A</v>
      </c>
      <c r="U283" s="1"/>
      <c r="V283" s="1"/>
      <c r="W283" s="1"/>
      <c r="X283" s="1"/>
      <c r="Y283" s="1"/>
      <c r="Z283" s="1"/>
    </row>
    <row r="284" spans="19:26" x14ac:dyDescent="0.25">
      <c r="S284" t="e">
        <f>IFERROR(INDEX(Table_Process_Details[[X Start]:[X Intentionally NA]],INT((ROW()-ROW(Table_Arrow_Coords[[#Headers],[Arrow_X]])-1)/4)+1,MOD(ROW()-ROW(Table_Arrow_Coords[[#Headers],[Arrow_X]])-1,4)+1),NA())</f>
        <v>#N/A</v>
      </c>
      <c r="T284" t="e">
        <f>IFERROR(INDEX(Table_Process_Details[[Y Start]:[Y Intentionally NA]],INT((ROW()-ROW(Table_Arrow_Coords[[#Headers],[Arrow_Y]])-1)/4)+1,MOD(ROW()-ROW(Table_Arrow_Coords[[#Headers],[Arrow_Y]])-1,4)+1),NA())</f>
        <v>#N/A</v>
      </c>
      <c r="U284" s="1"/>
      <c r="V284" s="1"/>
      <c r="W284" s="1"/>
      <c r="X284" s="1"/>
      <c r="Y284" s="1"/>
      <c r="Z284" s="1"/>
    </row>
    <row r="285" spans="19:26" x14ac:dyDescent="0.25">
      <c r="S285" t="e">
        <f>IFERROR(INDEX(Table_Process_Details[[X Start]:[X Intentionally NA]],INT((ROW()-ROW(Table_Arrow_Coords[[#Headers],[Arrow_X]])-1)/4)+1,MOD(ROW()-ROW(Table_Arrow_Coords[[#Headers],[Arrow_X]])-1,4)+1),NA())</f>
        <v>#N/A</v>
      </c>
      <c r="T285" t="e">
        <f>IFERROR(INDEX(Table_Process_Details[[Y Start]:[Y Intentionally NA]],INT((ROW()-ROW(Table_Arrow_Coords[[#Headers],[Arrow_Y]])-1)/4)+1,MOD(ROW()-ROW(Table_Arrow_Coords[[#Headers],[Arrow_Y]])-1,4)+1),NA())</f>
        <v>#N/A</v>
      </c>
      <c r="U285" s="1"/>
      <c r="V285" s="1"/>
      <c r="W285" s="1"/>
      <c r="X285" s="1"/>
      <c r="Y285" s="1"/>
      <c r="Z285" s="1"/>
    </row>
    <row r="286" spans="19:26" x14ac:dyDescent="0.25">
      <c r="S286" t="e">
        <f>IFERROR(INDEX(Table_Process_Details[[X Start]:[X Intentionally NA]],INT((ROW()-ROW(Table_Arrow_Coords[[#Headers],[Arrow_X]])-1)/4)+1,MOD(ROW()-ROW(Table_Arrow_Coords[[#Headers],[Arrow_X]])-1,4)+1),NA())</f>
        <v>#N/A</v>
      </c>
      <c r="T286" t="e">
        <f>IFERROR(INDEX(Table_Process_Details[[Y Start]:[Y Intentionally NA]],INT((ROW()-ROW(Table_Arrow_Coords[[#Headers],[Arrow_Y]])-1)/4)+1,MOD(ROW()-ROW(Table_Arrow_Coords[[#Headers],[Arrow_Y]])-1,4)+1),NA())</f>
        <v>#N/A</v>
      </c>
      <c r="U286" s="1"/>
      <c r="V286" s="1"/>
      <c r="W286" s="1"/>
      <c r="X286" s="1"/>
      <c r="Y286" s="1"/>
      <c r="Z286" s="1"/>
    </row>
    <row r="287" spans="19:26" x14ac:dyDescent="0.25">
      <c r="S287" t="e">
        <f>IFERROR(INDEX(Table_Process_Details[[X Start]:[X Intentionally NA]],INT((ROW()-ROW(Table_Arrow_Coords[[#Headers],[Arrow_X]])-1)/4)+1,MOD(ROW()-ROW(Table_Arrow_Coords[[#Headers],[Arrow_X]])-1,4)+1),NA())</f>
        <v>#N/A</v>
      </c>
      <c r="T287" t="e">
        <f>IFERROR(INDEX(Table_Process_Details[[Y Start]:[Y Intentionally NA]],INT((ROW()-ROW(Table_Arrow_Coords[[#Headers],[Arrow_Y]])-1)/4)+1,MOD(ROW()-ROW(Table_Arrow_Coords[[#Headers],[Arrow_Y]])-1,4)+1),NA())</f>
        <v>#N/A</v>
      </c>
      <c r="U287" s="1"/>
      <c r="V287" s="1"/>
      <c r="W287" s="1"/>
      <c r="X287" s="1"/>
      <c r="Y287" s="1"/>
      <c r="Z287" s="1"/>
    </row>
    <row r="288" spans="19:26" x14ac:dyDescent="0.25">
      <c r="S288" t="e">
        <f>IFERROR(INDEX(Table_Process_Details[[X Start]:[X Intentionally NA]],INT((ROW()-ROW(Table_Arrow_Coords[[#Headers],[Arrow_X]])-1)/4)+1,MOD(ROW()-ROW(Table_Arrow_Coords[[#Headers],[Arrow_X]])-1,4)+1),NA())</f>
        <v>#N/A</v>
      </c>
      <c r="T288" t="e">
        <f>IFERROR(INDEX(Table_Process_Details[[Y Start]:[Y Intentionally NA]],INT((ROW()-ROW(Table_Arrow_Coords[[#Headers],[Arrow_Y]])-1)/4)+1,MOD(ROW()-ROW(Table_Arrow_Coords[[#Headers],[Arrow_Y]])-1,4)+1),NA())</f>
        <v>#N/A</v>
      </c>
      <c r="U288" s="1"/>
      <c r="V288" s="1"/>
      <c r="W288" s="1"/>
      <c r="X288" s="1"/>
      <c r="Y288" s="1"/>
      <c r="Z288" s="1"/>
    </row>
    <row r="289" spans="19:26" x14ac:dyDescent="0.25">
      <c r="S289" t="e">
        <f>IFERROR(INDEX(Table_Process_Details[[X Start]:[X Intentionally NA]],INT((ROW()-ROW(Table_Arrow_Coords[[#Headers],[Arrow_X]])-1)/4)+1,MOD(ROW()-ROW(Table_Arrow_Coords[[#Headers],[Arrow_X]])-1,4)+1),NA())</f>
        <v>#N/A</v>
      </c>
      <c r="T289" t="e">
        <f>IFERROR(INDEX(Table_Process_Details[[Y Start]:[Y Intentionally NA]],INT((ROW()-ROW(Table_Arrow_Coords[[#Headers],[Arrow_Y]])-1)/4)+1,MOD(ROW()-ROW(Table_Arrow_Coords[[#Headers],[Arrow_Y]])-1,4)+1),NA())</f>
        <v>#N/A</v>
      </c>
      <c r="U289" s="1"/>
      <c r="V289" s="1"/>
      <c r="W289" s="1"/>
      <c r="X289" s="1"/>
      <c r="Y289" s="1"/>
      <c r="Z289" s="1"/>
    </row>
    <row r="290" spans="19:26" x14ac:dyDescent="0.25">
      <c r="S290" t="e">
        <f>IFERROR(INDEX(Table_Process_Details[[X Start]:[X Intentionally NA]],INT((ROW()-ROW(Table_Arrow_Coords[[#Headers],[Arrow_X]])-1)/4)+1,MOD(ROW()-ROW(Table_Arrow_Coords[[#Headers],[Arrow_X]])-1,4)+1),NA())</f>
        <v>#N/A</v>
      </c>
      <c r="T290" t="e">
        <f>IFERROR(INDEX(Table_Process_Details[[Y Start]:[Y Intentionally NA]],INT((ROW()-ROW(Table_Arrow_Coords[[#Headers],[Arrow_Y]])-1)/4)+1,MOD(ROW()-ROW(Table_Arrow_Coords[[#Headers],[Arrow_Y]])-1,4)+1),NA())</f>
        <v>#N/A</v>
      </c>
      <c r="U290" s="1"/>
      <c r="V290" s="1"/>
      <c r="W290" s="1"/>
      <c r="X290" s="1"/>
      <c r="Y290" s="1"/>
      <c r="Z290" s="1"/>
    </row>
    <row r="291" spans="19:26" x14ac:dyDescent="0.25">
      <c r="S291" t="e">
        <f>IFERROR(INDEX(Table_Process_Details[[X Start]:[X Intentionally NA]],INT((ROW()-ROW(Table_Arrow_Coords[[#Headers],[Arrow_X]])-1)/4)+1,MOD(ROW()-ROW(Table_Arrow_Coords[[#Headers],[Arrow_X]])-1,4)+1),NA())</f>
        <v>#N/A</v>
      </c>
      <c r="T291" t="e">
        <f>IFERROR(INDEX(Table_Process_Details[[Y Start]:[Y Intentionally NA]],INT((ROW()-ROW(Table_Arrow_Coords[[#Headers],[Arrow_Y]])-1)/4)+1,MOD(ROW()-ROW(Table_Arrow_Coords[[#Headers],[Arrow_Y]])-1,4)+1),NA())</f>
        <v>#N/A</v>
      </c>
      <c r="U291" s="1"/>
      <c r="V291" s="1"/>
      <c r="W291" s="1"/>
      <c r="X291" s="1"/>
      <c r="Y291" s="1"/>
      <c r="Z291" s="1"/>
    </row>
    <row r="292" spans="19:26" x14ac:dyDescent="0.25">
      <c r="S292" t="e">
        <f>IFERROR(INDEX(Table_Process_Details[[X Start]:[X Intentionally NA]],INT((ROW()-ROW(Table_Arrow_Coords[[#Headers],[Arrow_X]])-1)/4)+1,MOD(ROW()-ROW(Table_Arrow_Coords[[#Headers],[Arrow_X]])-1,4)+1),NA())</f>
        <v>#N/A</v>
      </c>
      <c r="T292" t="e">
        <f>IFERROR(INDEX(Table_Process_Details[[Y Start]:[Y Intentionally NA]],INT((ROW()-ROW(Table_Arrow_Coords[[#Headers],[Arrow_Y]])-1)/4)+1,MOD(ROW()-ROW(Table_Arrow_Coords[[#Headers],[Arrow_Y]])-1,4)+1),NA())</f>
        <v>#N/A</v>
      </c>
      <c r="U292" s="1"/>
      <c r="V292" s="1"/>
      <c r="W292" s="1"/>
      <c r="X292" s="1"/>
      <c r="Y292" s="1"/>
      <c r="Z292" s="1"/>
    </row>
    <row r="293" spans="19:26" x14ac:dyDescent="0.25">
      <c r="S293" t="e">
        <f>IFERROR(INDEX(Table_Process_Details[[X Start]:[X Intentionally NA]],INT((ROW()-ROW(Table_Arrow_Coords[[#Headers],[Arrow_X]])-1)/4)+1,MOD(ROW()-ROW(Table_Arrow_Coords[[#Headers],[Arrow_X]])-1,4)+1),NA())</f>
        <v>#N/A</v>
      </c>
      <c r="T293" t="e">
        <f>IFERROR(INDEX(Table_Process_Details[[Y Start]:[Y Intentionally NA]],INT((ROW()-ROW(Table_Arrow_Coords[[#Headers],[Arrow_Y]])-1)/4)+1,MOD(ROW()-ROW(Table_Arrow_Coords[[#Headers],[Arrow_Y]])-1,4)+1),NA())</f>
        <v>#N/A</v>
      </c>
      <c r="U293" s="1"/>
      <c r="V293" s="1"/>
      <c r="W293" s="1"/>
      <c r="X293" s="1"/>
      <c r="Y293" s="1"/>
      <c r="Z293" s="1"/>
    </row>
    <row r="294" spans="19:26" x14ac:dyDescent="0.25">
      <c r="S294" t="e">
        <f>IFERROR(INDEX(Table_Process_Details[[X Start]:[X Intentionally NA]],INT((ROW()-ROW(Table_Arrow_Coords[[#Headers],[Arrow_X]])-1)/4)+1,MOD(ROW()-ROW(Table_Arrow_Coords[[#Headers],[Arrow_X]])-1,4)+1),NA())</f>
        <v>#N/A</v>
      </c>
      <c r="T294" t="e">
        <f>IFERROR(INDEX(Table_Process_Details[[Y Start]:[Y Intentionally NA]],INT((ROW()-ROW(Table_Arrow_Coords[[#Headers],[Arrow_Y]])-1)/4)+1,MOD(ROW()-ROW(Table_Arrow_Coords[[#Headers],[Arrow_Y]])-1,4)+1),NA())</f>
        <v>#N/A</v>
      </c>
      <c r="U294" s="1"/>
      <c r="V294" s="1"/>
      <c r="W294" s="1"/>
      <c r="X294" s="1"/>
      <c r="Y294" s="1"/>
      <c r="Z294" s="1"/>
    </row>
    <row r="295" spans="19:26" x14ac:dyDescent="0.25">
      <c r="S295" t="e">
        <f>IFERROR(INDEX(Table_Process_Details[[X Start]:[X Intentionally NA]],INT((ROW()-ROW(Table_Arrow_Coords[[#Headers],[Arrow_X]])-1)/4)+1,MOD(ROW()-ROW(Table_Arrow_Coords[[#Headers],[Arrow_X]])-1,4)+1),NA())</f>
        <v>#N/A</v>
      </c>
      <c r="T295" t="e">
        <f>IFERROR(INDEX(Table_Process_Details[[Y Start]:[Y Intentionally NA]],INT((ROW()-ROW(Table_Arrow_Coords[[#Headers],[Arrow_Y]])-1)/4)+1,MOD(ROW()-ROW(Table_Arrow_Coords[[#Headers],[Arrow_Y]])-1,4)+1),NA())</f>
        <v>#N/A</v>
      </c>
      <c r="U295" s="1"/>
      <c r="V295" s="1"/>
      <c r="W295" s="1"/>
      <c r="X295" s="1"/>
      <c r="Y295" s="1"/>
      <c r="Z295" s="1"/>
    </row>
    <row r="296" spans="19:26" x14ac:dyDescent="0.25">
      <c r="S296" t="e">
        <f>IFERROR(INDEX(Table_Process_Details[[X Start]:[X Intentionally NA]],INT((ROW()-ROW(Table_Arrow_Coords[[#Headers],[Arrow_X]])-1)/4)+1,MOD(ROW()-ROW(Table_Arrow_Coords[[#Headers],[Arrow_X]])-1,4)+1),NA())</f>
        <v>#N/A</v>
      </c>
      <c r="T296" t="e">
        <f>IFERROR(INDEX(Table_Process_Details[[Y Start]:[Y Intentionally NA]],INT((ROW()-ROW(Table_Arrow_Coords[[#Headers],[Arrow_Y]])-1)/4)+1,MOD(ROW()-ROW(Table_Arrow_Coords[[#Headers],[Arrow_Y]])-1,4)+1),NA())</f>
        <v>#N/A</v>
      </c>
      <c r="U296" s="1"/>
      <c r="V296" s="1"/>
      <c r="W296" s="1"/>
      <c r="X296" s="1"/>
      <c r="Y296" s="1"/>
      <c r="Z296" s="1"/>
    </row>
    <row r="297" spans="19:26" x14ac:dyDescent="0.25">
      <c r="S297" t="e">
        <f>IFERROR(INDEX(Table_Process_Details[[X Start]:[X Intentionally NA]],INT((ROW()-ROW(Table_Arrow_Coords[[#Headers],[Arrow_X]])-1)/4)+1,MOD(ROW()-ROW(Table_Arrow_Coords[[#Headers],[Arrow_X]])-1,4)+1),NA())</f>
        <v>#N/A</v>
      </c>
      <c r="T297" t="e">
        <f>IFERROR(INDEX(Table_Process_Details[[Y Start]:[Y Intentionally NA]],INT((ROW()-ROW(Table_Arrow_Coords[[#Headers],[Arrow_Y]])-1)/4)+1,MOD(ROW()-ROW(Table_Arrow_Coords[[#Headers],[Arrow_Y]])-1,4)+1),NA())</f>
        <v>#N/A</v>
      </c>
      <c r="U297" s="1"/>
      <c r="V297" s="1"/>
      <c r="W297" s="1"/>
      <c r="X297" s="1"/>
      <c r="Y297" s="1"/>
      <c r="Z297" s="1"/>
    </row>
    <row r="298" spans="19:26" x14ac:dyDescent="0.25">
      <c r="S298" t="e">
        <f>IFERROR(INDEX(Table_Process_Details[[X Start]:[X Intentionally NA]],INT((ROW()-ROW(Table_Arrow_Coords[[#Headers],[Arrow_X]])-1)/4)+1,MOD(ROW()-ROW(Table_Arrow_Coords[[#Headers],[Arrow_X]])-1,4)+1),NA())</f>
        <v>#N/A</v>
      </c>
      <c r="T298" t="e">
        <f>IFERROR(INDEX(Table_Process_Details[[Y Start]:[Y Intentionally NA]],INT((ROW()-ROW(Table_Arrow_Coords[[#Headers],[Arrow_Y]])-1)/4)+1,MOD(ROW()-ROW(Table_Arrow_Coords[[#Headers],[Arrow_Y]])-1,4)+1),NA())</f>
        <v>#N/A</v>
      </c>
      <c r="U298" s="1"/>
      <c r="V298" s="1"/>
      <c r="W298" s="1"/>
      <c r="X298" s="1"/>
      <c r="Y298" s="1"/>
      <c r="Z298" s="1"/>
    </row>
    <row r="299" spans="19:26" x14ac:dyDescent="0.25">
      <c r="S299" t="e">
        <f>IFERROR(INDEX(Table_Process_Details[[X Start]:[X Intentionally NA]],INT((ROW()-ROW(Table_Arrow_Coords[[#Headers],[Arrow_X]])-1)/4)+1,MOD(ROW()-ROW(Table_Arrow_Coords[[#Headers],[Arrow_X]])-1,4)+1),NA())</f>
        <v>#N/A</v>
      </c>
      <c r="T299" t="e">
        <f>IFERROR(INDEX(Table_Process_Details[[Y Start]:[Y Intentionally NA]],INT((ROW()-ROW(Table_Arrow_Coords[[#Headers],[Arrow_Y]])-1)/4)+1,MOD(ROW()-ROW(Table_Arrow_Coords[[#Headers],[Arrow_Y]])-1,4)+1),NA())</f>
        <v>#N/A</v>
      </c>
      <c r="U299" s="1"/>
      <c r="V299" s="1"/>
      <c r="W299" s="1"/>
      <c r="X299" s="1"/>
      <c r="Y299" s="1"/>
      <c r="Z299" s="1"/>
    </row>
    <row r="300" spans="19:26" x14ac:dyDescent="0.25">
      <c r="S300" t="e">
        <f>IFERROR(INDEX(Table_Process_Details[[X Start]:[X Intentionally NA]],INT((ROW()-ROW(Table_Arrow_Coords[[#Headers],[Arrow_X]])-1)/4)+1,MOD(ROW()-ROW(Table_Arrow_Coords[[#Headers],[Arrow_X]])-1,4)+1),NA())</f>
        <v>#N/A</v>
      </c>
      <c r="T300" t="e">
        <f>IFERROR(INDEX(Table_Process_Details[[Y Start]:[Y Intentionally NA]],INT((ROW()-ROW(Table_Arrow_Coords[[#Headers],[Arrow_Y]])-1)/4)+1,MOD(ROW()-ROW(Table_Arrow_Coords[[#Headers],[Arrow_Y]])-1,4)+1),NA())</f>
        <v>#N/A</v>
      </c>
      <c r="U300" s="1"/>
      <c r="V300" s="1"/>
      <c r="W300" s="1"/>
      <c r="X300" s="1"/>
      <c r="Y300" s="1"/>
      <c r="Z300" s="1"/>
    </row>
    <row r="301" spans="19:26" x14ac:dyDescent="0.25">
      <c r="S301" t="e">
        <f>IFERROR(INDEX(Table_Process_Details[[X Start]:[X Intentionally NA]],INT((ROW()-ROW(Table_Arrow_Coords[[#Headers],[Arrow_X]])-1)/4)+1,MOD(ROW()-ROW(Table_Arrow_Coords[[#Headers],[Arrow_X]])-1,4)+1),NA())</f>
        <v>#N/A</v>
      </c>
      <c r="T301" t="e">
        <f>IFERROR(INDEX(Table_Process_Details[[Y Start]:[Y Intentionally NA]],INT((ROW()-ROW(Table_Arrow_Coords[[#Headers],[Arrow_Y]])-1)/4)+1,MOD(ROW()-ROW(Table_Arrow_Coords[[#Headers],[Arrow_Y]])-1,4)+1),NA())</f>
        <v>#N/A</v>
      </c>
      <c r="U301" s="1"/>
      <c r="V301" s="1"/>
      <c r="W301" s="1"/>
      <c r="X301" s="1"/>
      <c r="Y301" s="1"/>
      <c r="Z301" s="1"/>
    </row>
    <row r="302" spans="19:26" x14ac:dyDescent="0.25">
      <c r="S302" t="e">
        <f>IFERROR(INDEX(Table_Process_Details[[X Start]:[X Intentionally NA]],INT((ROW()-ROW(Table_Arrow_Coords[[#Headers],[Arrow_X]])-1)/4)+1,MOD(ROW()-ROW(Table_Arrow_Coords[[#Headers],[Arrow_X]])-1,4)+1),NA())</f>
        <v>#N/A</v>
      </c>
      <c r="T302" t="e">
        <f>IFERROR(INDEX(Table_Process_Details[[Y Start]:[Y Intentionally NA]],INT((ROW()-ROW(Table_Arrow_Coords[[#Headers],[Arrow_Y]])-1)/4)+1,MOD(ROW()-ROW(Table_Arrow_Coords[[#Headers],[Arrow_Y]])-1,4)+1),NA())</f>
        <v>#N/A</v>
      </c>
      <c r="U302" s="1"/>
      <c r="V302" s="1"/>
      <c r="W302" s="1"/>
      <c r="X302" s="1"/>
      <c r="Y302" s="1"/>
      <c r="Z302" s="1"/>
    </row>
    <row r="303" spans="19:26" x14ac:dyDescent="0.25">
      <c r="S303" t="e">
        <f>IFERROR(INDEX(Table_Process_Details[[X Start]:[X Intentionally NA]],INT((ROW()-ROW(Table_Arrow_Coords[[#Headers],[Arrow_X]])-1)/4)+1,MOD(ROW()-ROW(Table_Arrow_Coords[[#Headers],[Arrow_X]])-1,4)+1),NA())</f>
        <v>#N/A</v>
      </c>
      <c r="T303" t="e">
        <f>IFERROR(INDEX(Table_Process_Details[[Y Start]:[Y Intentionally NA]],INT((ROW()-ROW(Table_Arrow_Coords[[#Headers],[Arrow_Y]])-1)/4)+1,MOD(ROW()-ROW(Table_Arrow_Coords[[#Headers],[Arrow_Y]])-1,4)+1),NA())</f>
        <v>#N/A</v>
      </c>
      <c r="U303" s="1"/>
      <c r="V303" s="1"/>
      <c r="W303" s="1"/>
      <c r="X303" s="1"/>
      <c r="Y303" s="1"/>
      <c r="Z303" s="1"/>
    </row>
    <row r="304" spans="19:26" x14ac:dyDescent="0.25">
      <c r="S304" t="e">
        <f>IFERROR(INDEX(Table_Process_Details[[X Start]:[X Intentionally NA]],INT((ROW()-ROW(Table_Arrow_Coords[[#Headers],[Arrow_X]])-1)/4)+1,MOD(ROW()-ROW(Table_Arrow_Coords[[#Headers],[Arrow_X]])-1,4)+1),NA())</f>
        <v>#N/A</v>
      </c>
      <c r="T304" t="e">
        <f>IFERROR(INDEX(Table_Process_Details[[Y Start]:[Y Intentionally NA]],INT((ROW()-ROW(Table_Arrow_Coords[[#Headers],[Arrow_Y]])-1)/4)+1,MOD(ROW()-ROW(Table_Arrow_Coords[[#Headers],[Arrow_Y]])-1,4)+1),NA())</f>
        <v>#N/A</v>
      </c>
      <c r="U304" s="1"/>
      <c r="V304" s="1"/>
      <c r="W304" s="1"/>
      <c r="X304" s="1"/>
      <c r="Y304" s="1"/>
      <c r="Z304" s="1"/>
    </row>
    <row r="305" spans="19:26" x14ac:dyDescent="0.25">
      <c r="S305" t="e">
        <f>IFERROR(INDEX(Table_Process_Details[[X Start]:[X Intentionally NA]],INT((ROW()-ROW(Table_Arrow_Coords[[#Headers],[Arrow_X]])-1)/4)+1,MOD(ROW()-ROW(Table_Arrow_Coords[[#Headers],[Arrow_X]])-1,4)+1),NA())</f>
        <v>#N/A</v>
      </c>
      <c r="T305" t="e">
        <f>IFERROR(INDEX(Table_Process_Details[[Y Start]:[Y Intentionally NA]],INT((ROW()-ROW(Table_Arrow_Coords[[#Headers],[Arrow_Y]])-1)/4)+1,MOD(ROW()-ROW(Table_Arrow_Coords[[#Headers],[Arrow_Y]])-1,4)+1),NA())</f>
        <v>#N/A</v>
      </c>
      <c r="U305" s="1"/>
      <c r="V305" s="1"/>
      <c r="W305" s="1"/>
      <c r="X305" s="1"/>
      <c r="Y305" s="1"/>
      <c r="Z305" s="1"/>
    </row>
    <row r="306" spans="19:26" x14ac:dyDescent="0.25">
      <c r="S306" t="e">
        <f>IFERROR(INDEX(Table_Process_Details[[X Start]:[X Intentionally NA]],INT((ROW()-ROW(Table_Arrow_Coords[[#Headers],[Arrow_X]])-1)/4)+1,MOD(ROW()-ROW(Table_Arrow_Coords[[#Headers],[Arrow_X]])-1,4)+1),NA())</f>
        <v>#N/A</v>
      </c>
      <c r="T306" t="e">
        <f>IFERROR(INDEX(Table_Process_Details[[Y Start]:[Y Intentionally NA]],INT((ROW()-ROW(Table_Arrow_Coords[[#Headers],[Arrow_Y]])-1)/4)+1,MOD(ROW()-ROW(Table_Arrow_Coords[[#Headers],[Arrow_Y]])-1,4)+1),NA())</f>
        <v>#N/A</v>
      </c>
      <c r="U306" s="1"/>
      <c r="V306" s="1"/>
      <c r="W306" s="1"/>
      <c r="X306" s="1"/>
      <c r="Y306" s="1"/>
      <c r="Z306" s="1"/>
    </row>
    <row r="307" spans="19:26" x14ac:dyDescent="0.25">
      <c r="S307" t="e">
        <f>IFERROR(INDEX(Table_Process_Details[[X Start]:[X Intentionally NA]],INT((ROW()-ROW(Table_Arrow_Coords[[#Headers],[Arrow_X]])-1)/4)+1,MOD(ROW()-ROW(Table_Arrow_Coords[[#Headers],[Arrow_X]])-1,4)+1),NA())</f>
        <v>#N/A</v>
      </c>
      <c r="T307" t="e">
        <f>IFERROR(INDEX(Table_Process_Details[[Y Start]:[Y Intentionally NA]],INT((ROW()-ROW(Table_Arrow_Coords[[#Headers],[Arrow_Y]])-1)/4)+1,MOD(ROW()-ROW(Table_Arrow_Coords[[#Headers],[Arrow_Y]])-1,4)+1),NA())</f>
        <v>#N/A</v>
      </c>
      <c r="U307" s="1"/>
      <c r="V307" s="1"/>
      <c r="W307" s="1"/>
      <c r="X307" s="1"/>
      <c r="Y307" s="1"/>
      <c r="Z307" s="1"/>
    </row>
    <row r="308" spans="19:26" x14ac:dyDescent="0.25">
      <c r="S308" t="e">
        <f>IFERROR(INDEX(Table_Process_Details[[X Start]:[X Intentionally NA]],INT((ROW()-ROW(Table_Arrow_Coords[[#Headers],[Arrow_X]])-1)/4)+1,MOD(ROW()-ROW(Table_Arrow_Coords[[#Headers],[Arrow_X]])-1,4)+1),NA())</f>
        <v>#N/A</v>
      </c>
      <c r="T308" t="e">
        <f>IFERROR(INDEX(Table_Process_Details[[Y Start]:[Y Intentionally NA]],INT((ROW()-ROW(Table_Arrow_Coords[[#Headers],[Arrow_Y]])-1)/4)+1,MOD(ROW()-ROW(Table_Arrow_Coords[[#Headers],[Arrow_Y]])-1,4)+1),NA())</f>
        <v>#N/A</v>
      </c>
      <c r="U308" s="1"/>
      <c r="V308" s="1"/>
      <c r="W308" s="1"/>
      <c r="X308" s="1"/>
      <c r="Y308" s="1"/>
      <c r="Z308" s="1"/>
    </row>
    <row r="309" spans="19:26" x14ac:dyDescent="0.25">
      <c r="S309" t="e">
        <f>IFERROR(INDEX(Table_Process_Details[[X Start]:[X Intentionally NA]],INT((ROW()-ROW(Table_Arrow_Coords[[#Headers],[Arrow_X]])-1)/4)+1,MOD(ROW()-ROW(Table_Arrow_Coords[[#Headers],[Arrow_X]])-1,4)+1),NA())</f>
        <v>#N/A</v>
      </c>
      <c r="T309" t="e">
        <f>IFERROR(INDEX(Table_Process_Details[[Y Start]:[Y Intentionally NA]],INT((ROW()-ROW(Table_Arrow_Coords[[#Headers],[Arrow_Y]])-1)/4)+1,MOD(ROW()-ROW(Table_Arrow_Coords[[#Headers],[Arrow_Y]])-1,4)+1),NA())</f>
        <v>#N/A</v>
      </c>
      <c r="U309" s="1"/>
      <c r="V309" s="1"/>
      <c r="W309" s="1"/>
      <c r="X309" s="1"/>
      <c r="Y309" s="1"/>
      <c r="Z309" s="1"/>
    </row>
    <row r="310" spans="19:26" x14ac:dyDescent="0.25">
      <c r="S310" t="e">
        <f>IFERROR(INDEX(Table_Process_Details[[X Start]:[X Intentionally NA]],INT((ROW()-ROW(Table_Arrow_Coords[[#Headers],[Arrow_X]])-1)/4)+1,MOD(ROW()-ROW(Table_Arrow_Coords[[#Headers],[Arrow_X]])-1,4)+1),NA())</f>
        <v>#N/A</v>
      </c>
      <c r="T310" t="e">
        <f>IFERROR(INDEX(Table_Process_Details[[Y Start]:[Y Intentionally NA]],INT((ROW()-ROW(Table_Arrow_Coords[[#Headers],[Arrow_Y]])-1)/4)+1,MOD(ROW()-ROW(Table_Arrow_Coords[[#Headers],[Arrow_Y]])-1,4)+1),NA())</f>
        <v>#N/A</v>
      </c>
      <c r="U310" s="1"/>
      <c r="V310" s="1"/>
      <c r="W310" s="1"/>
      <c r="X310" s="1"/>
      <c r="Y310" s="1"/>
      <c r="Z310" s="1"/>
    </row>
    <row r="311" spans="19:26" x14ac:dyDescent="0.25">
      <c r="S311" t="e">
        <f>IFERROR(INDEX(Table_Process_Details[[X Start]:[X Intentionally NA]],INT((ROW()-ROW(Table_Arrow_Coords[[#Headers],[Arrow_X]])-1)/4)+1,MOD(ROW()-ROW(Table_Arrow_Coords[[#Headers],[Arrow_X]])-1,4)+1),NA())</f>
        <v>#N/A</v>
      </c>
      <c r="T311" t="e">
        <f>IFERROR(INDEX(Table_Process_Details[[Y Start]:[Y Intentionally NA]],INT((ROW()-ROW(Table_Arrow_Coords[[#Headers],[Arrow_Y]])-1)/4)+1,MOD(ROW()-ROW(Table_Arrow_Coords[[#Headers],[Arrow_Y]])-1,4)+1),NA())</f>
        <v>#N/A</v>
      </c>
      <c r="U311" s="1"/>
      <c r="V311" s="1"/>
      <c r="W311" s="1"/>
      <c r="X311" s="1"/>
      <c r="Y311" s="1"/>
      <c r="Z311" s="1"/>
    </row>
    <row r="312" spans="19:26" x14ac:dyDescent="0.25">
      <c r="S312" t="e">
        <f>IFERROR(INDEX(Table_Process_Details[[X Start]:[X Intentionally NA]],INT((ROW()-ROW(Table_Arrow_Coords[[#Headers],[Arrow_X]])-1)/4)+1,MOD(ROW()-ROW(Table_Arrow_Coords[[#Headers],[Arrow_X]])-1,4)+1),NA())</f>
        <v>#N/A</v>
      </c>
      <c r="T312" t="e">
        <f>IFERROR(INDEX(Table_Process_Details[[Y Start]:[Y Intentionally NA]],INT((ROW()-ROW(Table_Arrow_Coords[[#Headers],[Arrow_Y]])-1)/4)+1,MOD(ROW()-ROW(Table_Arrow_Coords[[#Headers],[Arrow_Y]])-1,4)+1),NA())</f>
        <v>#N/A</v>
      </c>
      <c r="U312" s="1"/>
      <c r="V312" s="1"/>
      <c r="W312" s="1"/>
      <c r="X312" s="1"/>
      <c r="Y312" s="1"/>
      <c r="Z312" s="1"/>
    </row>
    <row r="313" spans="19:26" x14ac:dyDescent="0.25">
      <c r="S313" t="e">
        <f>IFERROR(INDEX(Table_Process_Details[[X Start]:[X Intentionally NA]],INT((ROW()-ROW(Table_Arrow_Coords[[#Headers],[Arrow_X]])-1)/4)+1,MOD(ROW()-ROW(Table_Arrow_Coords[[#Headers],[Arrow_X]])-1,4)+1),NA())</f>
        <v>#N/A</v>
      </c>
      <c r="T313" t="e">
        <f>IFERROR(INDEX(Table_Process_Details[[Y Start]:[Y Intentionally NA]],INT((ROW()-ROW(Table_Arrow_Coords[[#Headers],[Arrow_Y]])-1)/4)+1,MOD(ROW()-ROW(Table_Arrow_Coords[[#Headers],[Arrow_Y]])-1,4)+1),NA())</f>
        <v>#N/A</v>
      </c>
      <c r="U313" s="1"/>
      <c r="V313" s="1"/>
      <c r="W313" s="1"/>
      <c r="X313" s="1"/>
      <c r="Y313" s="1"/>
      <c r="Z313" s="1"/>
    </row>
    <row r="314" spans="19:26" x14ac:dyDescent="0.25">
      <c r="S314" t="e">
        <f>IFERROR(INDEX(Table_Process_Details[[X Start]:[X Intentionally NA]],INT((ROW()-ROW(Table_Arrow_Coords[[#Headers],[Arrow_X]])-1)/4)+1,MOD(ROW()-ROW(Table_Arrow_Coords[[#Headers],[Arrow_X]])-1,4)+1),NA())</f>
        <v>#N/A</v>
      </c>
      <c r="T314" t="e">
        <f>IFERROR(INDEX(Table_Process_Details[[Y Start]:[Y Intentionally NA]],INT((ROW()-ROW(Table_Arrow_Coords[[#Headers],[Arrow_Y]])-1)/4)+1,MOD(ROW()-ROW(Table_Arrow_Coords[[#Headers],[Arrow_Y]])-1,4)+1),NA())</f>
        <v>#N/A</v>
      </c>
      <c r="U314" s="1"/>
      <c r="V314" s="1"/>
      <c r="W314" s="1"/>
      <c r="X314" s="1"/>
      <c r="Y314" s="1"/>
      <c r="Z314" s="1"/>
    </row>
    <row r="315" spans="19:26" x14ac:dyDescent="0.25">
      <c r="S315" t="e">
        <f>IFERROR(INDEX(Table_Process_Details[[X Start]:[X Intentionally NA]],INT((ROW()-ROW(Table_Arrow_Coords[[#Headers],[Arrow_X]])-1)/4)+1,MOD(ROW()-ROW(Table_Arrow_Coords[[#Headers],[Arrow_X]])-1,4)+1),NA())</f>
        <v>#N/A</v>
      </c>
      <c r="T315" t="e">
        <f>IFERROR(INDEX(Table_Process_Details[[Y Start]:[Y Intentionally NA]],INT((ROW()-ROW(Table_Arrow_Coords[[#Headers],[Arrow_Y]])-1)/4)+1,MOD(ROW()-ROW(Table_Arrow_Coords[[#Headers],[Arrow_Y]])-1,4)+1),NA())</f>
        <v>#N/A</v>
      </c>
      <c r="U315" s="1"/>
      <c r="V315" s="1"/>
      <c r="W315" s="1"/>
      <c r="X315" s="1"/>
      <c r="Y315" s="1"/>
      <c r="Z315" s="1"/>
    </row>
    <row r="316" spans="19:26" x14ac:dyDescent="0.25">
      <c r="S316" t="e">
        <f>IFERROR(INDEX(Table_Process_Details[[X Start]:[X Intentionally NA]],INT((ROW()-ROW(Table_Arrow_Coords[[#Headers],[Arrow_X]])-1)/4)+1,MOD(ROW()-ROW(Table_Arrow_Coords[[#Headers],[Arrow_X]])-1,4)+1),NA())</f>
        <v>#N/A</v>
      </c>
      <c r="T316" t="e">
        <f>IFERROR(INDEX(Table_Process_Details[[Y Start]:[Y Intentionally NA]],INT((ROW()-ROW(Table_Arrow_Coords[[#Headers],[Arrow_Y]])-1)/4)+1,MOD(ROW()-ROW(Table_Arrow_Coords[[#Headers],[Arrow_Y]])-1,4)+1),NA())</f>
        <v>#N/A</v>
      </c>
      <c r="U316" s="1"/>
      <c r="V316" s="1"/>
      <c r="W316" s="1"/>
      <c r="X316" s="1"/>
      <c r="Y316" s="1"/>
      <c r="Z316" s="1"/>
    </row>
    <row r="317" spans="19:26" x14ac:dyDescent="0.25">
      <c r="S317" t="e">
        <f>IFERROR(INDEX(Table_Process_Details[[X Start]:[X Intentionally NA]],INT((ROW()-ROW(Table_Arrow_Coords[[#Headers],[Arrow_X]])-1)/4)+1,MOD(ROW()-ROW(Table_Arrow_Coords[[#Headers],[Arrow_X]])-1,4)+1),NA())</f>
        <v>#N/A</v>
      </c>
      <c r="T317" t="e">
        <f>IFERROR(INDEX(Table_Process_Details[[Y Start]:[Y Intentionally NA]],INT((ROW()-ROW(Table_Arrow_Coords[[#Headers],[Arrow_Y]])-1)/4)+1,MOD(ROW()-ROW(Table_Arrow_Coords[[#Headers],[Arrow_Y]])-1,4)+1),NA())</f>
        <v>#N/A</v>
      </c>
      <c r="U317" s="1"/>
      <c r="V317" s="1"/>
      <c r="W317" s="1"/>
      <c r="X317" s="1"/>
      <c r="Y317" s="1"/>
      <c r="Z317" s="1"/>
    </row>
    <row r="318" spans="19:26" x14ac:dyDescent="0.25">
      <c r="S318" t="e">
        <f>IFERROR(INDEX(Table_Process_Details[[X Start]:[X Intentionally NA]],INT((ROW()-ROW(Table_Arrow_Coords[[#Headers],[Arrow_X]])-1)/4)+1,MOD(ROW()-ROW(Table_Arrow_Coords[[#Headers],[Arrow_X]])-1,4)+1),NA())</f>
        <v>#N/A</v>
      </c>
      <c r="T318" t="e">
        <f>IFERROR(INDEX(Table_Process_Details[[Y Start]:[Y Intentionally NA]],INT((ROW()-ROW(Table_Arrow_Coords[[#Headers],[Arrow_Y]])-1)/4)+1,MOD(ROW()-ROW(Table_Arrow_Coords[[#Headers],[Arrow_Y]])-1,4)+1),NA())</f>
        <v>#N/A</v>
      </c>
      <c r="U318" s="1"/>
      <c r="V318" s="1"/>
      <c r="W318" s="1"/>
      <c r="X318" s="1"/>
      <c r="Y318" s="1"/>
      <c r="Z318" s="1"/>
    </row>
    <row r="319" spans="19:26" x14ac:dyDescent="0.25">
      <c r="S319" t="e">
        <f>IFERROR(INDEX(Table_Process_Details[[X Start]:[X Intentionally NA]],INT((ROW()-ROW(Table_Arrow_Coords[[#Headers],[Arrow_X]])-1)/4)+1,MOD(ROW()-ROW(Table_Arrow_Coords[[#Headers],[Arrow_X]])-1,4)+1),NA())</f>
        <v>#N/A</v>
      </c>
      <c r="T319" t="e">
        <f>IFERROR(INDEX(Table_Process_Details[[Y Start]:[Y Intentionally NA]],INT((ROW()-ROW(Table_Arrow_Coords[[#Headers],[Arrow_Y]])-1)/4)+1,MOD(ROW()-ROW(Table_Arrow_Coords[[#Headers],[Arrow_Y]])-1,4)+1),NA())</f>
        <v>#N/A</v>
      </c>
      <c r="U319" s="1"/>
      <c r="V319" s="1"/>
      <c r="W319" s="1"/>
      <c r="X319" s="1"/>
      <c r="Y319" s="1"/>
      <c r="Z319" s="1"/>
    </row>
    <row r="320" spans="19:26" x14ac:dyDescent="0.25">
      <c r="S320" t="e">
        <f>IFERROR(INDEX(Table_Process_Details[[X Start]:[X Intentionally NA]],INT((ROW()-ROW(Table_Arrow_Coords[[#Headers],[Arrow_X]])-1)/4)+1,MOD(ROW()-ROW(Table_Arrow_Coords[[#Headers],[Arrow_X]])-1,4)+1),NA())</f>
        <v>#N/A</v>
      </c>
      <c r="T320" t="e">
        <f>IFERROR(INDEX(Table_Process_Details[[Y Start]:[Y Intentionally NA]],INT((ROW()-ROW(Table_Arrow_Coords[[#Headers],[Arrow_Y]])-1)/4)+1,MOD(ROW()-ROW(Table_Arrow_Coords[[#Headers],[Arrow_Y]])-1,4)+1),NA())</f>
        <v>#N/A</v>
      </c>
      <c r="U320" s="1"/>
      <c r="V320" s="1"/>
      <c r="W320" s="1"/>
      <c r="X320" s="1"/>
      <c r="Y320" s="1"/>
      <c r="Z320" s="1"/>
    </row>
    <row r="321" spans="19:26" x14ac:dyDescent="0.25">
      <c r="S321" t="e">
        <f>IFERROR(INDEX(Table_Process_Details[[X Start]:[X Intentionally NA]],INT((ROW()-ROW(Table_Arrow_Coords[[#Headers],[Arrow_X]])-1)/4)+1,MOD(ROW()-ROW(Table_Arrow_Coords[[#Headers],[Arrow_X]])-1,4)+1),NA())</f>
        <v>#N/A</v>
      </c>
      <c r="T321" t="e">
        <f>IFERROR(INDEX(Table_Process_Details[[Y Start]:[Y Intentionally NA]],INT((ROW()-ROW(Table_Arrow_Coords[[#Headers],[Arrow_Y]])-1)/4)+1,MOD(ROW()-ROW(Table_Arrow_Coords[[#Headers],[Arrow_Y]])-1,4)+1),NA())</f>
        <v>#N/A</v>
      </c>
      <c r="U321" s="1"/>
      <c r="V321" s="1"/>
      <c r="W321" s="1"/>
      <c r="X321" s="1"/>
      <c r="Y321" s="1"/>
      <c r="Z321" s="1"/>
    </row>
    <row r="322" spans="19:26" x14ac:dyDescent="0.25">
      <c r="S322" t="e">
        <f>IFERROR(INDEX(Table_Process_Details[[X Start]:[X Intentionally NA]],INT((ROW()-ROW(Table_Arrow_Coords[[#Headers],[Arrow_X]])-1)/4)+1,MOD(ROW()-ROW(Table_Arrow_Coords[[#Headers],[Arrow_X]])-1,4)+1),NA())</f>
        <v>#N/A</v>
      </c>
      <c r="T322" t="e">
        <f>IFERROR(INDEX(Table_Process_Details[[Y Start]:[Y Intentionally NA]],INT((ROW()-ROW(Table_Arrow_Coords[[#Headers],[Arrow_Y]])-1)/4)+1,MOD(ROW()-ROW(Table_Arrow_Coords[[#Headers],[Arrow_Y]])-1,4)+1),NA())</f>
        <v>#N/A</v>
      </c>
      <c r="U322" s="1"/>
      <c r="V322" s="1"/>
      <c r="W322" s="1"/>
      <c r="X322" s="1"/>
      <c r="Y322" s="1"/>
      <c r="Z322" s="1"/>
    </row>
    <row r="323" spans="19:26" x14ac:dyDescent="0.25">
      <c r="S323" t="e">
        <f>IFERROR(INDEX(Table_Process_Details[[X Start]:[X Intentionally NA]],INT((ROW()-ROW(Table_Arrow_Coords[[#Headers],[Arrow_X]])-1)/4)+1,MOD(ROW()-ROW(Table_Arrow_Coords[[#Headers],[Arrow_X]])-1,4)+1),NA())</f>
        <v>#N/A</v>
      </c>
      <c r="T323" t="e">
        <f>IFERROR(INDEX(Table_Process_Details[[Y Start]:[Y Intentionally NA]],INT((ROW()-ROW(Table_Arrow_Coords[[#Headers],[Arrow_Y]])-1)/4)+1,MOD(ROW()-ROW(Table_Arrow_Coords[[#Headers],[Arrow_Y]])-1,4)+1),NA())</f>
        <v>#N/A</v>
      </c>
      <c r="U323" s="1"/>
      <c r="V323" s="1"/>
      <c r="W323" s="1"/>
      <c r="X323" s="1"/>
      <c r="Y323" s="1"/>
      <c r="Z323" s="1"/>
    </row>
    <row r="324" spans="19:26" x14ac:dyDescent="0.25">
      <c r="S324" t="e">
        <f>IFERROR(INDEX(Table_Process_Details[[X Start]:[X Intentionally NA]],INT((ROW()-ROW(Table_Arrow_Coords[[#Headers],[Arrow_X]])-1)/4)+1,MOD(ROW()-ROW(Table_Arrow_Coords[[#Headers],[Arrow_X]])-1,4)+1),NA())</f>
        <v>#N/A</v>
      </c>
      <c r="T324" t="e">
        <f>IFERROR(INDEX(Table_Process_Details[[Y Start]:[Y Intentionally NA]],INT((ROW()-ROW(Table_Arrow_Coords[[#Headers],[Arrow_Y]])-1)/4)+1,MOD(ROW()-ROW(Table_Arrow_Coords[[#Headers],[Arrow_Y]])-1,4)+1),NA())</f>
        <v>#N/A</v>
      </c>
      <c r="U324" s="1"/>
      <c r="V324" s="1"/>
      <c r="W324" s="1"/>
      <c r="X324" s="1"/>
      <c r="Y324" s="1"/>
      <c r="Z324" s="1"/>
    </row>
    <row r="325" spans="19:26" x14ac:dyDescent="0.25">
      <c r="S325" t="e">
        <f>IFERROR(INDEX(Table_Process_Details[[X Start]:[X Intentionally NA]],INT((ROW()-ROW(Table_Arrow_Coords[[#Headers],[Arrow_X]])-1)/4)+1,MOD(ROW()-ROW(Table_Arrow_Coords[[#Headers],[Arrow_X]])-1,4)+1),NA())</f>
        <v>#N/A</v>
      </c>
      <c r="T325" t="e">
        <f>IFERROR(INDEX(Table_Process_Details[[Y Start]:[Y Intentionally NA]],INT((ROW()-ROW(Table_Arrow_Coords[[#Headers],[Arrow_Y]])-1)/4)+1,MOD(ROW()-ROW(Table_Arrow_Coords[[#Headers],[Arrow_Y]])-1,4)+1),NA())</f>
        <v>#N/A</v>
      </c>
      <c r="U325" s="1"/>
      <c r="V325" s="1"/>
      <c r="W325" s="1"/>
      <c r="X325" s="1"/>
      <c r="Y325" s="1"/>
      <c r="Z325" s="1"/>
    </row>
    <row r="326" spans="19:26" x14ac:dyDescent="0.25">
      <c r="S326" t="e">
        <f>IFERROR(INDEX(Table_Process_Details[[X Start]:[X Intentionally NA]],INT((ROW()-ROW(Table_Arrow_Coords[[#Headers],[Arrow_X]])-1)/4)+1,MOD(ROW()-ROW(Table_Arrow_Coords[[#Headers],[Arrow_X]])-1,4)+1),NA())</f>
        <v>#N/A</v>
      </c>
      <c r="T326" t="e">
        <f>IFERROR(INDEX(Table_Process_Details[[Y Start]:[Y Intentionally NA]],INT((ROW()-ROW(Table_Arrow_Coords[[#Headers],[Arrow_Y]])-1)/4)+1,MOD(ROW()-ROW(Table_Arrow_Coords[[#Headers],[Arrow_Y]])-1,4)+1),NA())</f>
        <v>#N/A</v>
      </c>
      <c r="U326" s="1"/>
      <c r="V326" s="1"/>
      <c r="W326" s="1"/>
      <c r="X326" s="1"/>
      <c r="Y326" s="1"/>
      <c r="Z326" s="1"/>
    </row>
    <row r="327" spans="19:26" x14ac:dyDescent="0.25">
      <c r="S327" t="e">
        <f>IFERROR(INDEX(Table_Process_Details[[X Start]:[X Intentionally NA]],INT((ROW()-ROW(Table_Arrow_Coords[[#Headers],[Arrow_X]])-1)/4)+1,MOD(ROW()-ROW(Table_Arrow_Coords[[#Headers],[Arrow_X]])-1,4)+1),NA())</f>
        <v>#N/A</v>
      </c>
      <c r="T327" t="e">
        <f>IFERROR(INDEX(Table_Process_Details[[Y Start]:[Y Intentionally NA]],INT((ROW()-ROW(Table_Arrow_Coords[[#Headers],[Arrow_Y]])-1)/4)+1,MOD(ROW()-ROW(Table_Arrow_Coords[[#Headers],[Arrow_Y]])-1,4)+1),NA())</f>
        <v>#N/A</v>
      </c>
      <c r="U327" s="1"/>
      <c r="V327" s="1"/>
      <c r="W327" s="1"/>
      <c r="X327" s="1"/>
      <c r="Y327" s="1"/>
      <c r="Z327" s="1"/>
    </row>
    <row r="328" spans="19:26" x14ac:dyDescent="0.25">
      <c r="S328" t="e">
        <f>IFERROR(INDEX(Table_Process_Details[[X Start]:[X Intentionally NA]],INT((ROW()-ROW(Table_Arrow_Coords[[#Headers],[Arrow_X]])-1)/4)+1,MOD(ROW()-ROW(Table_Arrow_Coords[[#Headers],[Arrow_X]])-1,4)+1),NA())</f>
        <v>#N/A</v>
      </c>
      <c r="T328" t="e">
        <f>IFERROR(INDEX(Table_Process_Details[[Y Start]:[Y Intentionally NA]],INT((ROW()-ROW(Table_Arrow_Coords[[#Headers],[Arrow_Y]])-1)/4)+1,MOD(ROW()-ROW(Table_Arrow_Coords[[#Headers],[Arrow_Y]])-1,4)+1),NA())</f>
        <v>#N/A</v>
      </c>
      <c r="U328" s="1"/>
      <c r="V328" s="1"/>
      <c r="W328" s="1"/>
      <c r="X328" s="1"/>
      <c r="Y328" s="1"/>
      <c r="Z328" s="1"/>
    </row>
    <row r="329" spans="19:26" x14ac:dyDescent="0.25">
      <c r="S329" t="e">
        <f>IFERROR(INDEX(Table_Process_Details[[X Start]:[X Intentionally NA]],INT((ROW()-ROW(Table_Arrow_Coords[[#Headers],[Arrow_X]])-1)/4)+1,MOD(ROW()-ROW(Table_Arrow_Coords[[#Headers],[Arrow_X]])-1,4)+1),NA())</f>
        <v>#N/A</v>
      </c>
      <c r="T329" t="e">
        <f>IFERROR(INDEX(Table_Process_Details[[Y Start]:[Y Intentionally NA]],INT((ROW()-ROW(Table_Arrow_Coords[[#Headers],[Arrow_Y]])-1)/4)+1,MOD(ROW()-ROW(Table_Arrow_Coords[[#Headers],[Arrow_Y]])-1,4)+1),NA())</f>
        <v>#N/A</v>
      </c>
      <c r="U329" s="1"/>
      <c r="V329" s="1"/>
      <c r="W329" s="1"/>
      <c r="X329" s="1"/>
      <c r="Y329" s="1"/>
      <c r="Z329" s="1"/>
    </row>
    <row r="330" spans="19:26" x14ac:dyDescent="0.25">
      <c r="S330">
        <f ca="1">IFERROR(INDEX(Table_Process_Details[[X Start]:[X Intentionally NA]],INT((ROW()-ROW(Table_Arrow_Coords[[#Headers],[Arrow_X]])-1)/4)+1,MOD(ROW()-ROW(Table_Arrow_Coords[[#Headers],[Arrow_X]])-1,4)+1),NA())</f>
        <v>15.707298460481789</v>
      </c>
      <c r="T330">
        <f ca="1">IFERROR(INDEX(Table_Process_Details[[Y Start]:[Y Intentionally NA]],INT((ROW()-ROW(Table_Arrow_Coords[[#Headers],[Arrow_Y]])-1)/4)+1,MOD(ROW()-ROW(Table_Arrow_Coords[[#Headers],[Arrow_Y]])-1,4)+1),NA())</f>
        <v>10.348961867752488</v>
      </c>
      <c r="U330" s="1"/>
      <c r="V330" s="1"/>
      <c r="W330" s="1"/>
      <c r="X330" s="1"/>
      <c r="Y330" s="1"/>
      <c r="Z330" s="1"/>
    </row>
    <row r="331" spans="19:26" x14ac:dyDescent="0.25">
      <c r="S331">
        <f ca="1">IFERROR(INDEX(Table_Process_Details[[X Start]:[X Intentionally NA]],INT((ROW()-ROW(Table_Arrow_Coords[[#Headers],[Arrow_X]])-1)/4)+1,MOD(ROW()-ROW(Table_Arrow_Coords[[#Headers],[Arrow_X]])-1,4)+1),NA())</f>
        <v>18.186176302773106</v>
      </c>
      <c r="T331">
        <f ca="1">IFERROR(INDEX(Table_Process_Details[[Y Start]:[Y Intentionally NA]],INT((ROW()-ROW(Table_Arrow_Coords[[#Headers],[Arrow_Y]])-1)/4)+1,MOD(ROW()-ROW(Table_Arrow_Coords[[#Headers],[Arrow_Y]])-1,4)+1),NA())</f>
        <v>4.521487294719587</v>
      </c>
      <c r="U331" s="1"/>
      <c r="V331" s="1"/>
      <c r="W331" s="1"/>
      <c r="X331" s="1"/>
      <c r="Y331" s="1"/>
      <c r="Z331" s="1"/>
    </row>
    <row r="332" spans="19:26" x14ac:dyDescent="0.25">
      <c r="S332">
        <f ca="1">IFERROR(INDEX(Table_Process_Details[[X Start]:[X Intentionally NA]],INT((ROW()-ROW(Table_Arrow_Coords[[#Headers],[Arrow_X]])-1)/4)+1,MOD(ROW()-ROW(Table_Arrow_Coords[[#Headers],[Arrow_X]])-1,4)+1),NA())</f>
        <v>19.433337217170291</v>
      </c>
      <c r="T332">
        <f ca="1">IFERROR(INDEX(Table_Process_Details[[Y Start]:[Y Intentionally NA]],INT((ROW()-ROW(Table_Arrow_Coords[[#Headers],[Arrow_Y]])-1)/4)+1,MOD(ROW()-ROW(Table_Arrow_Coords[[#Headers],[Arrow_Y]])-1,4)+1),NA())</f>
        <v>-0.2563796977221256</v>
      </c>
      <c r="U332" s="1"/>
      <c r="V332" s="1"/>
      <c r="W332" s="1"/>
      <c r="X332" s="1"/>
      <c r="Y332" s="1"/>
      <c r="Z332" s="1"/>
    </row>
    <row r="333" spans="19:26" x14ac:dyDescent="0.25">
      <c r="S333" t="e">
        <f>IFERROR(INDEX(Table_Process_Details[[X Start]:[X Intentionally NA]],INT((ROW()-ROW(Table_Arrow_Coords[[#Headers],[Arrow_X]])-1)/4)+1,MOD(ROW()-ROW(Table_Arrow_Coords[[#Headers],[Arrow_X]])-1,4)+1),NA())</f>
        <v>#N/A</v>
      </c>
      <c r="T333" t="e">
        <f>IFERROR(INDEX(Table_Process_Details[[Y Start]:[Y Intentionally NA]],INT((ROW()-ROW(Table_Arrow_Coords[[#Headers],[Arrow_Y]])-1)/4)+1,MOD(ROW()-ROW(Table_Arrow_Coords[[#Headers],[Arrow_Y]])-1,4)+1),NA())</f>
        <v>#N/A</v>
      </c>
      <c r="U333" s="1"/>
      <c r="V333" s="1"/>
      <c r="W333" s="1"/>
      <c r="X333" s="1"/>
      <c r="Y333" s="1"/>
      <c r="Z333" s="1"/>
    </row>
    <row r="334" spans="19:26" x14ac:dyDescent="0.25">
      <c r="S334">
        <f ca="1">IFERROR(INDEX(Table_Process_Details[[X Start]:[X Intentionally NA]],INT((ROW()-ROW(Table_Arrow_Coords[[#Headers],[Arrow_X]])-1)/4)+1,MOD(ROW()-ROW(Table_Arrow_Coords[[#Headers],[Arrow_X]])-1,4)+1),NA())</f>
        <v>11.100317346629659</v>
      </c>
      <c r="T334">
        <f ca="1">IFERROR(INDEX(Table_Process_Details[[Y Start]:[Y Intentionally NA]],INT((ROW()-ROW(Table_Arrow_Coords[[#Headers],[Arrow_Y]])-1)/4)+1,MOD(ROW()-ROW(Table_Arrow_Coords[[#Headers],[Arrow_Y]])-1,4)+1),NA())</f>
        <v>-6.6784151202300235</v>
      </c>
      <c r="U334" s="1"/>
      <c r="V334" s="1"/>
      <c r="W334" s="1"/>
      <c r="X334" s="1"/>
      <c r="Y334" s="1"/>
      <c r="Z334" s="1"/>
    </row>
    <row r="335" spans="19:26" x14ac:dyDescent="0.25">
      <c r="S335">
        <f ca="1">IFERROR(INDEX(Table_Process_Details[[X Start]:[X Intentionally NA]],INT((ROW()-ROW(Table_Arrow_Coords[[#Headers],[Arrow_X]])-1)/4)+1,MOD(ROW()-ROW(Table_Arrow_Coords[[#Headers],[Arrow_X]])-1,4)+1),NA())</f>
        <v>14.913090122881616</v>
      </c>
      <c r="T335">
        <f ca="1">IFERROR(INDEX(Table_Process_Details[[Y Start]:[Y Intentionally NA]],INT((ROW()-ROW(Table_Arrow_Coords[[#Headers],[Arrow_Y]])-1)/4)+1,MOD(ROW()-ROW(Table_Arrow_Coords[[#Headers],[Arrow_Y]])-1,4)+1),NA())</f>
        <v>-3.9432358221748629</v>
      </c>
      <c r="U335" s="1"/>
      <c r="V335" s="1"/>
      <c r="W335" s="1"/>
      <c r="X335" s="1"/>
      <c r="Y335" s="1"/>
      <c r="Z335" s="1"/>
    </row>
    <row r="336" spans="19:26" x14ac:dyDescent="0.25">
      <c r="S336">
        <f ca="1">IFERROR(INDEX(Table_Process_Details[[X Start]:[X Intentionally NA]],INT((ROW()-ROW(Table_Arrow_Coords[[#Headers],[Arrow_X]])-1)/4)+1,MOD(ROW()-ROW(Table_Arrow_Coords[[#Headers],[Arrow_X]])-1,4)+1),NA())</f>
        <v>18.954499019263949</v>
      </c>
      <c r="T336">
        <f ca="1">IFERROR(INDEX(Table_Process_Details[[Y Start]:[Y Intentionally NA]],INT((ROW()-ROW(Table_Arrow_Coords[[#Headers],[Arrow_Y]])-1)/4)+1,MOD(ROW()-ROW(Table_Arrow_Coords[[#Headers],[Arrow_Y]])-1,4)+1),NA())</f>
        <v>-1.4504282578301164</v>
      </c>
      <c r="U336" s="1"/>
      <c r="V336" s="1"/>
      <c r="W336" s="1"/>
      <c r="X336" s="1"/>
      <c r="Y336" s="1"/>
      <c r="Z336" s="1"/>
    </row>
    <row r="337" spans="19:26" x14ac:dyDescent="0.25">
      <c r="S337" t="e">
        <f>IFERROR(INDEX(Table_Process_Details[[X Start]:[X Intentionally NA]],INT((ROW()-ROW(Table_Arrow_Coords[[#Headers],[Arrow_X]])-1)/4)+1,MOD(ROW()-ROW(Table_Arrow_Coords[[#Headers],[Arrow_X]])-1,4)+1),NA())</f>
        <v>#N/A</v>
      </c>
      <c r="T337" t="e">
        <f>IFERROR(INDEX(Table_Process_Details[[Y Start]:[Y Intentionally NA]],INT((ROW()-ROW(Table_Arrow_Coords[[#Headers],[Arrow_Y]])-1)/4)+1,MOD(ROW()-ROW(Table_Arrow_Coords[[#Headers],[Arrow_Y]])-1,4)+1),NA())</f>
        <v>#N/A</v>
      </c>
      <c r="U337" s="1"/>
      <c r="V337" s="1"/>
      <c r="W337" s="1"/>
      <c r="X337" s="1"/>
      <c r="Y337" s="1"/>
      <c r="Z337" s="1"/>
    </row>
    <row r="338" spans="19:26" x14ac:dyDescent="0.25">
      <c r="S338">
        <f ca="1">IFERROR(INDEX(Table_Process_Details[[X Start]:[X Intentionally NA]],INT((ROW()-ROW(Table_Arrow_Coords[[#Headers],[Arrow_X]])-1)/4)+1,MOD(ROW()-ROW(Table_Arrow_Coords[[#Headers],[Arrow_X]])-1,4)+1),NA())</f>
        <v>16.540976308170244</v>
      </c>
      <c r="T338">
        <f ca="1">IFERROR(INDEX(Table_Process_Details[[Y Start]:[Y Intentionally NA]],INT((ROW()-ROW(Table_Arrow_Coords[[#Headers],[Arrow_Y]])-1)/4)+1,MOD(ROW()-ROW(Table_Arrow_Coords[[#Headers],[Arrow_Y]])-1,4)+1),NA())</f>
        <v>-12.258696578159528</v>
      </c>
      <c r="U338" s="1"/>
      <c r="V338" s="1"/>
      <c r="W338" s="1"/>
      <c r="X338" s="1"/>
      <c r="Y338" s="1"/>
      <c r="Z338" s="1"/>
    </row>
    <row r="339" spans="19:26" x14ac:dyDescent="0.25">
      <c r="S339">
        <f ca="1">IFERROR(INDEX(Table_Process_Details[[X Start]:[X Intentionally NA]],INT((ROW()-ROW(Table_Arrow_Coords[[#Headers],[Arrow_X]])-1)/4)+1,MOD(ROW()-ROW(Table_Arrow_Coords[[#Headers],[Arrow_X]])-1,4)+1),NA())</f>
        <v>17.712891685064264</v>
      </c>
      <c r="T339">
        <f ca="1">IFERROR(INDEX(Table_Process_Details[[Y Start]:[Y Intentionally NA]],INT((ROW()-ROW(Table_Arrow_Coords[[#Headers],[Arrow_Y]])-1)/4)+1,MOD(ROW()-ROW(Table_Arrow_Coords[[#Headers],[Arrow_Y]])-1,4)+1),NA())</f>
        <v>-7.2975608004088315</v>
      </c>
      <c r="U339" s="1"/>
      <c r="V339" s="1"/>
      <c r="W339" s="1"/>
      <c r="X339" s="1"/>
      <c r="Y339" s="1"/>
      <c r="Z339" s="1"/>
    </row>
    <row r="340" spans="19:26" x14ac:dyDescent="0.25">
      <c r="S340">
        <f ca="1">IFERROR(INDEX(Table_Process_Details[[X Start]:[X Intentionally NA]],INT((ROW()-ROW(Table_Arrow_Coords[[#Headers],[Arrow_X]])-1)/4)+1,MOD(ROW()-ROW(Table_Arrow_Coords[[#Headers],[Arrow_X]])-1,4)+1),NA())</f>
        <v>19.400773205087685</v>
      </c>
      <c r="T340">
        <f ca="1">IFERROR(INDEX(Table_Process_Details[[Y Start]:[Y Intentionally NA]],INT((ROW()-ROW(Table_Arrow_Coords[[#Headers],[Arrow_Y]])-1)/4)+1,MOD(ROW()-ROW(Table_Arrow_Coords[[#Headers],[Arrow_Y]])-1,4)+1),NA())</f>
        <v>-1.7952668398751188</v>
      </c>
      <c r="U340" s="1"/>
      <c r="V340" s="1"/>
      <c r="W340" s="1"/>
      <c r="X340" s="1"/>
      <c r="Y340" s="1"/>
      <c r="Z340" s="1"/>
    </row>
    <row r="341" spans="19:26" x14ac:dyDescent="0.25">
      <c r="S341" t="e">
        <f>IFERROR(INDEX(Table_Process_Details[[X Start]:[X Intentionally NA]],INT((ROW()-ROW(Table_Arrow_Coords[[#Headers],[Arrow_X]])-1)/4)+1,MOD(ROW()-ROW(Table_Arrow_Coords[[#Headers],[Arrow_X]])-1,4)+1),NA())</f>
        <v>#N/A</v>
      </c>
      <c r="T341" t="e">
        <f>IFERROR(INDEX(Table_Process_Details[[Y Start]:[Y Intentionally NA]],INT((ROW()-ROW(Table_Arrow_Coords[[#Headers],[Arrow_Y]])-1)/4)+1,MOD(ROW()-ROW(Table_Arrow_Coords[[#Headers],[Arrow_Y]])-1,4)+1),NA())</f>
        <v>#N/A</v>
      </c>
      <c r="U341" s="1"/>
      <c r="V341" s="1"/>
      <c r="W341" s="1"/>
      <c r="X341" s="1"/>
      <c r="Y341" s="1"/>
      <c r="Z341" s="1"/>
    </row>
    <row r="342" spans="19:26" x14ac:dyDescent="0.25">
      <c r="S342">
        <f ca="1">IFERROR(INDEX(Table_Process_Details[[X Start]:[X Intentionally NA]],INT((ROW()-ROW(Table_Arrow_Coords[[#Headers],[Arrow_X]])-1)/4)+1,MOD(ROW()-ROW(Table_Arrow_Coords[[#Headers],[Arrow_X]])-1,4)+1),NA())</f>
        <v>12.621624199762062</v>
      </c>
      <c r="T342">
        <f ca="1">IFERROR(INDEX(Table_Process_Details[[Y Start]:[Y Intentionally NA]],INT((ROW()-ROW(Table_Arrow_Coords[[#Headers],[Arrow_Y]])-1)/4)+1,MOD(ROW()-ROW(Table_Arrow_Coords[[#Headers],[Arrow_Y]])-1,4)+1),NA())</f>
        <v>1.4198616275470548</v>
      </c>
      <c r="U342" s="1"/>
      <c r="V342" s="1"/>
      <c r="W342" s="1"/>
      <c r="X342" s="1"/>
      <c r="Y342" s="1"/>
      <c r="Z342" s="1"/>
    </row>
    <row r="343" spans="19:26" x14ac:dyDescent="0.25">
      <c r="S343">
        <f ca="1">IFERROR(INDEX(Table_Process_Details[[X Start]:[X Intentionally NA]],INT((ROW()-ROW(Table_Arrow_Coords[[#Headers],[Arrow_X]])-1)/4)+1,MOD(ROW()-ROW(Table_Arrow_Coords[[#Headers],[Arrow_X]])-1,4)+1),NA())</f>
        <v>16.165899236862185</v>
      </c>
      <c r="T343">
        <f ca="1">IFERROR(INDEX(Table_Process_Details[[Y Start]:[Y Intentionally NA]],INT((ROW()-ROW(Table_Arrow_Coords[[#Headers],[Arrow_Y]])-1)/4)+1,MOD(ROW()-ROW(Table_Arrow_Coords[[#Headers],[Arrow_Y]])-1,4)+1),NA())</f>
        <v>0.63871313994113799</v>
      </c>
      <c r="U343" s="1"/>
      <c r="V343" s="1"/>
      <c r="W343" s="1"/>
      <c r="X343" s="1"/>
      <c r="Y343" s="1"/>
      <c r="Z343" s="1"/>
    </row>
    <row r="344" spans="19:26" x14ac:dyDescent="0.25">
      <c r="S344">
        <f ca="1">IFERROR(INDEX(Table_Process_Details[[X Start]:[X Intentionally NA]],INT((ROW()-ROW(Table_Arrow_Coords[[#Headers],[Arrow_X]])-1)/4)+1,MOD(ROW()-ROW(Table_Arrow_Coords[[#Headers],[Arrow_X]])-1,4)+1),NA())</f>
        <v>18.914480084705016</v>
      </c>
      <c r="T344">
        <f ca="1">IFERROR(INDEX(Table_Process_Details[[Y Start]:[Y Intentionally NA]],INT((ROW()-ROW(Table_Arrow_Coords[[#Headers],[Arrow_Y]])-1)/4)+1,MOD(ROW()-ROW(Table_Arrow_Coords[[#Headers],[Arrow_Y]])-1,4)+1),NA())</f>
        <v>-0.68361680008264269</v>
      </c>
      <c r="U344" s="1"/>
      <c r="V344" s="1"/>
      <c r="W344" s="1"/>
      <c r="X344" s="1"/>
      <c r="Y344" s="1"/>
      <c r="Z344" s="1"/>
    </row>
    <row r="345" spans="19:26" x14ac:dyDescent="0.25">
      <c r="S345" t="e">
        <f>IFERROR(INDEX(Table_Process_Details[[X Start]:[X Intentionally NA]],INT((ROW()-ROW(Table_Arrow_Coords[[#Headers],[Arrow_X]])-1)/4)+1,MOD(ROW()-ROW(Table_Arrow_Coords[[#Headers],[Arrow_X]])-1,4)+1),NA())</f>
        <v>#N/A</v>
      </c>
      <c r="T345" t="e">
        <f>IFERROR(INDEX(Table_Process_Details[[Y Start]:[Y Intentionally NA]],INT((ROW()-ROW(Table_Arrow_Coords[[#Headers],[Arrow_Y]])-1)/4)+1,MOD(ROW()-ROW(Table_Arrow_Coords[[#Headers],[Arrow_Y]])-1,4)+1),NA())</f>
        <v>#N/A</v>
      </c>
      <c r="U345" s="1"/>
      <c r="V345" s="1"/>
      <c r="W345" s="1"/>
      <c r="X345" s="1"/>
      <c r="Y345" s="1"/>
      <c r="Z345" s="1"/>
    </row>
    <row r="346" spans="19:26" x14ac:dyDescent="0.25">
      <c r="S346">
        <f ca="1">IFERROR(INDEX(Table_Process_Details[[X Start]:[X Intentionally NA]],INT((ROW()-ROW(Table_Arrow_Coords[[#Headers],[Arrow_X]])-1)/4)+1,MOD(ROW()-ROW(Table_Arrow_Coords[[#Headers],[Arrow_X]])-1,4)+1),NA())</f>
        <v>25.322697016273306</v>
      </c>
      <c r="T346">
        <f ca="1">IFERROR(INDEX(Table_Process_Details[[Y Start]:[Y Intentionally NA]],INT((ROW()-ROW(Table_Arrow_Coords[[#Headers],[Arrow_Y]])-1)/4)+1,MOD(ROW()-ROW(Table_Arrow_Coords[[#Headers],[Arrow_Y]])-1,4)+1),NA())</f>
        <v>-10.244621761858062</v>
      </c>
      <c r="U346" s="1"/>
      <c r="V346" s="1"/>
      <c r="W346" s="1"/>
      <c r="X346" s="1"/>
      <c r="Y346" s="1"/>
      <c r="Z346" s="1"/>
    </row>
    <row r="347" spans="19:26" x14ac:dyDescent="0.25">
      <c r="S347">
        <f ca="1">IFERROR(INDEX(Table_Process_Details[[X Start]:[X Intentionally NA]],INT((ROW()-ROW(Table_Arrow_Coords[[#Headers],[Arrow_X]])-1)/4)+1,MOD(ROW()-ROW(Table_Arrow_Coords[[#Headers],[Arrow_X]])-1,4)+1),NA())</f>
        <v>23.062528024329136</v>
      </c>
      <c r="T347">
        <f ca="1">IFERROR(INDEX(Table_Process_Details[[Y Start]:[Y Intentionally NA]],INT((ROW()-ROW(Table_Arrow_Coords[[#Headers],[Arrow_Y]])-1)/4)+1,MOD(ROW()-ROW(Table_Arrow_Coords[[#Headers],[Arrow_Y]])-1,4)+1),NA())</f>
        <v>-5.9478942708473443</v>
      </c>
      <c r="U347" s="1"/>
      <c r="V347" s="1"/>
      <c r="W347" s="1"/>
      <c r="X347" s="1"/>
      <c r="Y347" s="1"/>
      <c r="Z347" s="1"/>
    </row>
    <row r="348" spans="19:26" x14ac:dyDescent="0.25">
      <c r="S348">
        <f ca="1">IFERROR(INDEX(Table_Process_Details[[X Start]:[X Intentionally NA]],INT((ROW()-ROW(Table_Arrow_Coords[[#Headers],[Arrow_X]])-1)/4)+1,MOD(ROW()-ROW(Table_Arrow_Coords[[#Headers],[Arrow_X]])-1,4)+1),NA())</f>
        <v>20.092808427448343</v>
      </c>
      <c r="T348">
        <f ca="1">IFERROR(INDEX(Table_Process_Details[[Y Start]:[Y Intentionally NA]],INT((ROW()-ROW(Table_Arrow_Coords[[#Headers],[Arrow_Y]])-1)/4)+1,MOD(ROW()-ROW(Table_Arrow_Coords[[#Headers],[Arrow_Y]])-1,4)+1),NA())</f>
        <v>-1.6867729756529444</v>
      </c>
      <c r="U348" s="1"/>
      <c r="V348" s="1"/>
      <c r="W348" s="1"/>
      <c r="X348" s="1"/>
      <c r="Y348" s="1"/>
      <c r="Z348" s="1"/>
    </row>
    <row r="349" spans="19:26" x14ac:dyDescent="0.25">
      <c r="S349" t="e">
        <f>IFERROR(INDEX(Table_Process_Details[[X Start]:[X Intentionally NA]],INT((ROW()-ROW(Table_Arrow_Coords[[#Headers],[Arrow_X]])-1)/4)+1,MOD(ROW()-ROW(Table_Arrow_Coords[[#Headers],[Arrow_X]])-1,4)+1),NA())</f>
        <v>#N/A</v>
      </c>
      <c r="T349" t="e">
        <f>IFERROR(INDEX(Table_Process_Details[[Y Start]:[Y Intentionally NA]],INT((ROW()-ROW(Table_Arrow_Coords[[#Headers],[Arrow_Y]])-1)/4)+1,MOD(ROW()-ROW(Table_Arrow_Coords[[#Headers],[Arrow_Y]])-1,4)+1),NA())</f>
        <v>#N/A</v>
      </c>
      <c r="U349" s="1"/>
      <c r="V349" s="1"/>
      <c r="W349" s="1"/>
      <c r="X349" s="1"/>
      <c r="Y349" s="1"/>
      <c r="Z349" s="1"/>
    </row>
    <row r="350" spans="19:26" x14ac:dyDescent="0.25">
      <c r="S350" t="e">
        <f>IFERROR(INDEX(Table_Process_Details[[X Start]:[X Intentionally NA]],INT((ROW()-ROW(Table_Arrow_Coords[[#Headers],[Arrow_X]])-1)/4)+1,MOD(ROW()-ROW(Table_Arrow_Coords[[#Headers],[Arrow_X]])-1,4)+1),NA())</f>
        <v>#N/A</v>
      </c>
      <c r="T350" t="e">
        <f>IFERROR(INDEX(Table_Process_Details[[Y Start]:[Y Intentionally NA]],INT((ROW()-ROW(Table_Arrow_Coords[[#Headers],[Arrow_Y]])-1)/4)+1,MOD(ROW()-ROW(Table_Arrow_Coords[[#Headers],[Arrow_Y]])-1,4)+1),NA())</f>
        <v>#N/A</v>
      </c>
      <c r="U350" s="1"/>
      <c r="V350" s="1"/>
      <c r="W350" s="1"/>
      <c r="X350" s="1"/>
      <c r="Y350" s="1"/>
      <c r="Z350" s="1"/>
    </row>
    <row r="351" spans="19:26" x14ac:dyDescent="0.25">
      <c r="S351">
        <f ca="1">IFERROR(INDEX(Table_Process_Details[[X Start]:[X Intentionally NA]],INT((ROW()-ROW(Table_Arrow_Coords[[#Headers],[Arrow_X]])-1)/4)+1,MOD(ROW()-ROW(Table_Arrow_Coords[[#Headers],[Arrow_X]])-1,4)+1),NA())</f>
        <v>19.275343482308465</v>
      </c>
      <c r="T351">
        <f ca="1">IFERROR(INDEX(Table_Process_Details[[Y Start]:[Y Intentionally NA]],INT((ROW()-ROW(Table_Arrow_Coords[[#Headers],[Arrow_Y]])-1)/4)+1,MOD(ROW()-ROW(Table_Arrow_Coords[[#Headers],[Arrow_Y]])-1,4)+1),NA())</f>
        <v>-4.3446498380520522</v>
      </c>
      <c r="U351" s="1"/>
      <c r="V351" s="1"/>
      <c r="W351" s="1"/>
      <c r="X351" s="1"/>
      <c r="Y351" s="1"/>
      <c r="Z351" s="1"/>
    </row>
    <row r="352" spans="19:26" x14ac:dyDescent="0.25">
      <c r="S352">
        <f ca="1">IFERROR(INDEX(Table_Process_Details[[X Start]:[X Intentionally NA]],INT((ROW()-ROW(Table_Arrow_Coords[[#Headers],[Arrow_X]])-1)/4)+1,MOD(ROW()-ROW(Table_Arrow_Coords[[#Headers],[Arrow_X]])-1,4)+1),NA())</f>
        <v>19.548988611188474</v>
      </c>
      <c r="T352">
        <f ca="1">IFERROR(INDEX(Table_Process_Details[[Y Start]:[Y Intentionally NA]],INT((ROW()-ROW(Table_Arrow_Coords[[#Headers],[Arrow_Y]])-1)/4)+1,MOD(ROW()-ROW(Table_Arrow_Coords[[#Headers],[Arrow_Y]])-1,4)+1),NA())</f>
        <v>-1.8257639495080504</v>
      </c>
      <c r="U352" s="1"/>
      <c r="V352" s="1"/>
      <c r="W352" s="1"/>
      <c r="X352" s="1"/>
      <c r="Y352" s="1"/>
      <c r="Z352" s="1"/>
    </row>
    <row r="353" spans="19:26" x14ac:dyDescent="0.25">
      <c r="S353" t="e">
        <f>IFERROR(INDEX(Table_Process_Details[[X Start]:[X Intentionally NA]],INT((ROW()-ROW(Table_Arrow_Coords[[#Headers],[Arrow_X]])-1)/4)+1,MOD(ROW()-ROW(Table_Arrow_Coords[[#Headers],[Arrow_X]])-1,4)+1),NA())</f>
        <v>#N/A</v>
      </c>
      <c r="T353" t="e">
        <f>IFERROR(INDEX(Table_Process_Details[[Y Start]:[Y Intentionally NA]],INT((ROW()-ROW(Table_Arrow_Coords[[#Headers],[Arrow_Y]])-1)/4)+1,MOD(ROW()-ROW(Table_Arrow_Coords[[#Headers],[Arrow_Y]])-1,4)+1),NA())</f>
        <v>#N/A</v>
      </c>
      <c r="U353" s="1"/>
      <c r="V353" s="1"/>
      <c r="W353" s="1"/>
      <c r="X353" s="1"/>
      <c r="Y353" s="1"/>
      <c r="Z353" s="1"/>
    </row>
    <row r="354" spans="19:26" x14ac:dyDescent="0.25">
      <c r="S354" t="e">
        <f>IFERROR(INDEX(Table_Process_Details[[X Start]:[X Intentionally NA]],INT((ROW()-ROW(Table_Arrow_Coords[[#Headers],[Arrow_X]])-1)/4)+1,MOD(ROW()-ROW(Table_Arrow_Coords[[#Headers],[Arrow_X]])-1,4)+1),NA())</f>
        <v>#N/A</v>
      </c>
      <c r="T354" t="e">
        <f>IFERROR(INDEX(Table_Process_Details[[Y Start]:[Y Intentionally NA]],INT((ROW()-ROW(Table_Arrow_Coords[[#Headers],[Arrow_Y]])-1)/4)+1,MOD(ROW()-ROW(Table_Arrow_Coords[[#Headers],[Arrow_Y]])-1,4)+1),NA())</f>
        <v>#N/A</v>
      </c>
      <c r="U354" s="1"/>
      <c r="V354" s="1"/>
      <c r="W354" s="1"/>
      <c r="X354" s="1"/>
      <c r="Y354" s="1"/>
      <c r="Z354" s="1"/>
    </row>
    <row r="355" spans="19:26" x14ac:dyDescent="0.25">
      <c r="S355">
        <f ca="1">IFERROR(INDEX(Table_Process_Details[[X Start]:[X Intentionally NA]],INT((ROW()-ROW(Table_Arrow_Coords[[#Headers],[Arrow_X]])-1)/4)+1,MOD(ROW()-ROW(Table_Arrow_Coords[[#Headers],[Arrow_X]])-1,4)+1),NA())</f>
        <v>23.062925324887381</v>
      </c>
      <c r="T355">
        <f ca="1">IFERROR(INDEX(Table_Process_Details[[Y Start]:[Y Intentionally NA]],INT((ROW()-ROW(Table_Arrow_Coords[[#Headers],[Arrow_Y]])-1)/4)+1,MOD(ROW()-ROW(Table_Arrow_Coords[[#Headers],[Arrow_Y]])-1,4)+1),NA())</f>
        <v>-1.4984424713521245</v>
      </c>
      <c r="U355" s="1"/>
      <c r="V355" s="1"/>
      <c r="W355" s="1"/>
      <c r="X355" s="1"/>
      <c r="Y355" s="1"/>
      <c r="Z355" s="1"/>
    </row>
    <row r="356" spans="19:26" x14ac:dyDescent="0.25">
      <c r="S356">
        <f ca="1">IFERROR(INDEX(Table_Process_Details[[X Start]:[X Intentionally NA]],INT((ROW()-ROW(Table_Arrow_Coords[[#Headers],[Arrow_X]])-1)/4)+1,MOD(ROW()-ROW(Table_Arrow_Coords[[#Headers],[Arrow_X]])-1,4)+1),NA())</f>
        <v>20.428035442822686</v>
      </c>
      <c r="T356">
        <f ca="1">IFERROR(INDEX(Table_Process_Details[[Y Start]:[Y Intentionally NA]],INT((ROW()-ROW(Table_Arrow_Coords[[#Headers],[Arrow_Y]])-1)/4)+1,MOD(ROW()-ROW(Table_Arrow_Coords[[#Headers],[Arrow_Y]])-1,4)+1),NA())</f>
        <v>-1.138671980197947</v>
      </c>
      <c r="U356" s="1"/>
      <c r="V356" s="1"/>
      <c r="W356" s="1"/>
      <c r="X356" s="1"/>
      <c r="Y356" s="1"/>
      <c r="Z356" s="1"/>
    </row>
    <row r="357" spans="19:26" x14ac:dyDescent="0.25">
      <c r="S357" t="e">
        <f>IFERROR(INDEX(Table_Process_Details[[X Start]:[X Intentionally NA]],INT((ROW()-ROW(Table_Arrow_Coords[[#Headers],[Arrow_X]])-1)/4)+1,MOD(ROW()-ROW(Table_Arrow_Coords[[#Headers],[Arrow_X]])-1,4)+1),NA())</f>
        <v>#N/A</v>
      </c>
      <c r="T357" t="e">
        <f>IFERROR(INDEX(Table_Process_Details[[Y Start]:[Y Intentionally NA]],INT((ROW()-ROW(Table_Arrow_Coords[[#Headers],[Arrow_Y]])-1)/4)+1,MOD(ROW()-ROW(Table_Arrow_Coords[[#Headers],[Arrow_Y]])-1,4)+1),NA())</f>
        <v>#N/A</v>
      </c>
      <c r="U357" s="1"/>
      <c r="V357" s="1"/>
      <c r="W357" s="1"/>
      <c r="X357" s="1"/>
      <c r="Y357" s="1"/>
      <c r="Z357" s="1"/>
    </row>
    <row r="358" spans="19:26" x14ac:dyDescent="0.25">
      <c r="S358" t="e">
        <f>IFERROR(INDEX(Table_Process_Details[[X Start]:[X Intentionally NA]],INT((ROW()-ROW(Table_Arrow_Coords[[#Headers],[Arrow_X]])-1)/4)+1,MOD(ROW()-ROW(Table_Arrow_Coords[[#Headers],[Arrow_X]])-1,4)+1),NA())</f>
        <v>#N/A</v>
      </c>
      <c r="T358" t="e">
        <f>IFERROR(INDEX(Table_Process_Details[[Y Start]:[Y Intentionally NA]],INT((ROW()-ROW(Table_Arrow_Coords[[#Headers],[Arrow_Y]])-1)/4)+1,MOD(ROW()-ROW(Table_Arrow_Coords[[#Headers],[Arrow_Y]])-1,4)+1),NA())</f>
        <v>#N/A</v>
      </c>
      <c r="U358" s="1"/>
      <c r="V358" s="1"/>
      <c r="W358" s="1"/>
      <c r="X358" s="1"/>
      <c r="Y358" s="1"/>
      <c r="Z358" s="1"/>
    </row>
    <row r="359" spans="19:26" x14ac:dyDescent="0.25">
      <c r="S359" t="e">
        <f>IFERROR(INDEX(Table_Process_Details[[X Start]:[X Intentionally NA]],INT((ROW()-ROW(Table_Arrow_Coords[[#Headers],[Arrow_X]])-1)/4)+1,MOD(ROW()-ROW(Table_Arrow_Coords[[#Headers],[Arrow_X]])-1,4)+1),NA())</f>
        <v>#N/A</v>
      </c>
      <c r="T359" t="e">
        <f>IFERROR(INDEX(Table_Process_Details[[Y Start]:[Y Intentionally NA]],INT((ROW()-ROW(Table_Arrow_Coords[[#Headers],[Arrow_Y]])-1)/4)+1,MOD(ROW()-ROW(Table_Arrow_Coords[[#Headers],[Arrow_Y]])-1,4)+1),NA())</f>
        <v>#N/A</v>
      </c>
      <c r="U359" s="1"/>
      <c r="V359" s="1"/>
      <c r="W359" s="1"/>
      <c r="X359" s="1"/>
      <c r="Y359" s="1"/>
      <c r="Z359" s="1"/>
    </row>
    <row r="360" spans="19:26" x14ac:dyDescent="0.25">
      <c r="S360" t="e">
        <f>IFERROR(INDEX(Table_Process_Details[[X Start]:[X Intentionally NA]],INT((ROW()-ROW(Table_Arrow_Coords[[#Headers],[Arrow_X]])-1)/4)+1,MOD(ROW()-ROW(Table_Arrow_Coords[[#Headers],[Arrow_X]])-1,4)+1),NA())</f>
        <v>#N/A</v>
      </c>
      <c r="T360" t="e">
        <f>IFERROR(INDEX(Table_Process_Details[[Y Start]:[Y Intentionally NA]],INT((ROW()-ROW(Table_Arrow_Coords[[#Headers],[Arrow_Y]])-1)/4)+1,MOD(ROW()-ROW(Table_Arrow_Coords[[#Headers],[Arrow_Y]])-1,4)+1),NA())</f>
        <v>#N/A</v>
      </c>
      <c r="U360" s="1"/>
      <c r="V360" s="1"/>
      <c r="W360" s="1"/>
      <c r="X360" s="1"/>
      <c r="Y360" s="1"/>
      <c r="Z360" s="1"/>
    </row>
    <row r="361" spans="19:26" x14ac:dyDescent="0.25">
      <c r="S361" t="e">
        <f>IFERROR(INDEX(Table_Process_Details[[X Start]:[X Intentionally NA]],INT((ROW()-ROW(Table_Arrow_Coords[[#Headers],[Arrow_X]])-1)/4)+1,MOD(ROW()-ROW(Table_Arrow_Coords[[#Headers],[Arrow_X]])-1,4)+1),NA())</f>
        <v>#N/A</v>
      </c>
      <c r="T361" t="e">
        <f>IFERROR(INDEX(Table_Process_Details[[Y Start]:[Y Intentionally NA]],INT((ROW()-ROW(Table_Arrow_Coords[[#Headers],[Arrow_Y]])-1)/4)+1,MOD(ROW()-ROW(Table_Arrow_Coords[[#Headers],[Arrow_Y]])-1,4)+1),NA())</f>
        <v>#N/A</v>
      </c>
    </row>
    <row r="362" spans="19:26" x14ac:dyDescent="0.25">
      <c r="S362">
        <f ca="1">IFERROR(INDEX(Table_Process_Details[[X Start]:[X Intentionally NA]],INT((ROW()-ROW(Table_Arrow_Coords[[#Headers],[Arrow_X]])-1)/4)+1,MOD(ROW()-ROW(Table_Arrow_Coords[[#Headers],[Arrow_X]])-1,4)+1),NA())</f>
        <v>19.635390140975865</v>
      </c>
      <c r="T362">
        <f ca="1">IFERROR(INDEX(Table_Process_Details[[Y Start]:[Y Intentionally NA]],INT((ROW()-ROW(Table_Arrow_Coords[[#Headers],[Arrow_Y]])-1)/4)+1,MOD(ROW()-ROW(Table_Arrow_Coords[[#Headers],[Arrow_Y]])-1,4)+1),NA())</f>
        <v>-1.0304434005151315</v>
      </c>
    </row>
    <row r="363" spans="19:26" x14ac:dyDescent="0.25">
      <c r="S363">
        <f ca="1">IFERROR(INDEX(Table_Process_Details[[X Start]:[X Intentionally NA]],INT((ROW()-ROW(Table_Arrow_Coords[[#Headers],[Arrow_X]])-1)/4)+1,MOD(ROW()-ROW(Table_Arrow_Coords[[#Headers],[Arrow_X]])-1,4)+1),NA())</f>
        <v>24.339733153236988</v>
      </c>
      <c r="T363">
        <f ca="1">IFERROR(INDEX(Table_Process_Details[[Y Start]:[Y Intentionally NA]],INT((ROW()-ROW(Table_Arrow_Coords[[#Headers],[Arrow_Y]])-1)/4)+1,MOD(ROW()-ROW(Table_Arrow_Coords[[#Headers],[Arrow_Y]])-1,4)+1),NA())</f>
        <v>2.2049247340586113</v>
      </c>
    </row>
    <row r="364" spans="19:26" x14ac:dyDescent="0.25">
      <c r="S364">
        <f ca="1">IFERROR(INDEX(Table_Process_Details[[X Start]:[X Intentionally NA]],INT((ROW()-ROW(Table_Arrow_Coords[[#Headers],[Arrow_X]])-1)/4)+1,MOD(ROW()-ROW(Table_Arrow_Coords[[#Headers],[Arrow_X]])-1,4)+1),NA())</f>
        <v>29.158894591603719</v>
      </c>
      <c r="T364">
        <f ca="1">IFERROR(INDEX(Table_Process_Details[[Y Start]:[Y Intentionally NA]],INT((ROW()-ROW(Table_Arrow_Coords[[#Headers],[Arrow_Y]])-1)/4)+1,MOD(ROW()-ROW(Table_Arrow_Coords[[#Headers],[Arrow_Y]])-1,4)+1),NA())</f>
        <v>4.2538113750773769</v>
      </c>
    </row>
    <row r="365" spans="19:26" x14ac:dyDescent="0.25">
      <c r="S365" t="e">
        <f>IFERROR(INDEX(Table_Process_Details[[X Start]:[X Intentionally NA]],INT((ROW()-ROW(Table_Arrow_Coords[[#Headers],[Arrow_X]])-1)/4)+1,MOD(ROW()-ROW(Table_Arrow_Coords[[#Headers],[Arrow_X]])-1,4)+1),NA())</f>
        <v>#N/A</v>
      </c>
      <c r="T365" t="e">
        <f>IFERROR(INDEX(Table_Process_Details[[Y Start]:[Y Intentionally NA]],INT((ROW()-ROW(Table_Arrow_Coords[[#Headers],[Arrow_Y]])-1)/4)+1,MOD(ROW()-ROW(Table_Arrow_Coords[[#Headers],[Arrow_Y]])-1,4)+1),NA())</f>
        <v>#N/A</v>
      </c>
    </row>
    <row r="366" spans="19:26" x14ac:dyDescent="0.25">
      <c r="S366" t="e">
        <f>IFERROR(INDEX(Table_Process_Details[[X Start]:[X Intentionally NA]],INT((ROW()-ROW(Table_Arrow_Coords[[#Headers],[Arrow_X]])-1)/4)+1,MOD(ROW()-ROW(Table_Arrow_Coords[[#Headers],[Arrow_X]])-1,4)+1),NA())</f>
        <v>#N/A</v>
      </c>
      <c r="T366" t="e">
        <f>IFERROR(INDEX(Table_Process_Details[[Y Start]:[Y Intentionally NA]],INT((ROW()-ROW(Table_Arrow_Coords[[#Headers],[Arrow_Y]])-1)/4)+1,MOD(ROW()-ROW(Table_Arrow_Coords[[#Headers],[Arrow_Y]])-1,4)+1),NA())</f>
        <v>#N/A</v>
      </c>
    </row>
    <row r="367" spans="19:26" x14ac:dyDescent="0.25">
      <c r="S367">
        <f ca="1">IFERROR(INDEX(Table_Process_Details[[X Start]:[X Intentionally NA]],INT((ROW()-ROW(Table_Arrow_Coords[[#Headers],[Arrow_X]])-1)/4)+1,MOD(ROW()-ROW(Table_Arrow_Coords[[#Headers],[Arrow_X]])-1,4)+1),NA())</f>
        <v>31.665856664348247</v>
      </c>
      <c r="T367">
        <f ca="1">IFERROR(INDEX(Table_Process_Details[[Y Start]:[Y Intentionally NA]],INT((ROW()-ROW(Table_Arrow_Coords[[#Headers],[Arrow_Y]])-1)/4)+1,MOD(ROW()-ROW(Table_Arrow_Coords[[#Headers],[Arrow_Y]])-1,4)+1),NA())</f>
        <v>0.21248734295897476</v>
      </c>
    </row>
    <row r="368" spans="19:26" x14ac:dyDescent="0.25">
      <c r="S368">
        <f ca="1">IFERROR(INDEX(Table_Process_Details[[X Start]:[X Intentionally NA]],INT((ROW()-ROW(Table_Arrow_Coords[[#Headers],[Arrow_X]])-1)/4)+1,MOD(ROW()-ROW(Table_Arrow_Coords[[#Headers],[Arrow_X]])-1,4)+1),NA())</f>
        <v>30.196481643316151</v>
      </c>
      <c r="T368">
        <f ca="1">IFERROR(INDEX(Table_Process_Details[[Y Start]:[Y Intentionally NA]],INT((ROW()-ROW(Table_Arrow_Coords[[#Headers],[Arrow_Y]])-1)/4)+1,MOD(ROW()-ROW(Table_Arrow_Coords[[#Headers],[Arrow_Y]])-1,4)+1),NA())</f>
        <v>3.8257530768798174</v>
      </c>
    </row>
    <row r="369" spans="19:20" x14ac:dyDescent="0.25">
      <c r="S369" t="e">
        <f>IFERROR(INDEX(Table_Process_Details[[X Start]:[X Intentionally NA]],INT((ROW()-ROW(Table_Arrow_Coords[[#Headers],[Arrow_X]])-1)/4)+1,MOD(ROW()-ROW(Table_Arrow_Coords[[#Headers],[Arrow_X]])-1,4)+1),NA())</f>
        <v>#N/A</v>
      </c>
      <c r="T369" t="e">
        <f>IFERROR(INDEX(Table_Process_Details[[Y Start]:[Y Intentionally NA]],INT((ROW()-ROW(Table_Arrow_Coords[[#Headers],[Arrow_Y]])-1)/4)+1,MOD(ROW()-ROW(Table_Arrow_Coords[[#Headers],[Arrow_Y]])-1,4)+1),NA())</f>
        <v>#N/A</v>
      </c>
    </row>
    <row r="370" spans="19:20" x14ac:dyDescent="0.25">
      <c r="S370" t="e">
        <f>IFERROR(INDEX(Table_Process_Details[[X Start]:[X Intentionally NA]],INT((ROW()-ROW(Table_Arrow_Coords[[#Headers],[Arrow_X]])-1)/4)+1,MOD(ROW()-ROW(Table_Arrow_Coords[[#Headers],[Arrow_X]])-1,4)+1),NA())</f>
        <v>#N/A</v>
      </c>
      <c r="T370" t="e">
        <f>IFERROR(INDEX(Table_Process_Details[[Y Start]:[Y Intentionally NA]],INT((ROW()-ROW(Table_Arrow_Coords[[#Headers],[Arrow_Y]])-1)/4)+1,MOD(ROW()-ROW(Table_Arrow_Coords[[#Headers],[Arrow_Y]])-1,4)+1),NA())</f>
        <v>#N/A</v>
      </c>
    </row>
    <row r="371" spans="19:20" x14ac:dyDescent="0.25">
      <c r="S371">
        <f ca="1">IFERROR(INDEX(Table_Process_Details[[X Start]:[X Intentionally NA]],INT((ROW()-ROW(Table_Arrow_Coords[[#Headers],[Arrow_X]])-1)/4)+1,MOD(ROW()-ROW(Table_Arrow_Coords[[#Headers],[Arrow_X]])-1,4)+1),NA())</f>
        <v>34.161198461923846</v>
      </c>
      <c r="T371">
        <f ca="1">IFERROR(INDEX(Table_Process_Details[[Y Start]:[Y Intentionally NA]],INT((ROW()-ROW(Table_Arrow_Coords[[#Headers],[Arrow_Y]])-1)/4)+1,MOD(ROW()-ROW(Table_Arrow_Coords[[#Headers],[Arrow_Y]])-1,4)+1),NA())</f>
        <v>2.7979615120406574</v>
      </c>
    </row>
    <row r="372" spans="19:20" x14ac:dyDescent="0.25">
      <c r="S372">
        <f ca="1">IFERROR(INDEX(Table_Process_Details[[X Start]:[X Intentionally NA]],INT((ROW()-ROW(Table_Arrow_Coords[[#Headers],[Arrow_X]])-1)/4)+1,MOD(ROW()-ROW(Table_Arrow_Coords[[#Headers],[Arrow_X]])-1,4)+1),NA())</f>
        <v>30.634112389124816</v>
      </c>
      <c r="T372">
        <f ca="1">IFERROR(INDEX(Table_Process_Details[[Y Start]:[Y Intentionally NA]],INT((ROW()-ROW(Table_Arrow_Coords[[#Headers],[Arrow_Y]])-1)/4)+1,MOD(ROW()-ROW(Table_Arrow_Coords[[#Headers],[Arrow_Y]])-1,4)+1),NA())</f>
        <v>4.2604085925194717</v>
      </c>
    </row>
    <row r="373" spans="19:20" x14ac:dyDescent="0.25">
      <c r="S373" t="e">
        <f>IFERROR(INDEX(Table_Process_Details[[X Start]:[X Intentionally NA]],INT((ROW()-ROW(Table_Arrow_Coords[[#Headers],[Arrow_X]])-1)/4)+1,MOD(ROW()-ROW(Table_Arrow_Coords[[#Headers],[Arrow_X]])-1,4)+1),NA())</f>
        <v>#N/A</v>
      </c>
      <c r="T373" t="e">
        <f>IFERROR(INDEX(Table_Process_Details[[Y Start]:[Y Intentionally NA]],INT((ROW()-ROW(Table_Arrow_Coords[[#Headers],[Arrow_Y]])-1)/4)+1,MOD(ROW()-ROW(Table_Arrow_Coords[[#Headers],[Arrow_Y]])-1,4)+1),NA())</f>
        <v>#N/A</v>
      </c>
    </row>
    <row r="374" spans="19:20" x14ac:dyDescent="0.25">
      <c r="S374" t="e">
        <f>IFERROR(INDEX(Table_Process_Details[[X Start]:[X Intentionally NA]],INT((ROW()-ROW(Table_Arrow_Coords[[#Headers],[Arrow_X]])-1)/4)+1,MOD(ROW()-ROW(Table_Arrow_Coords[[#Headers],[Arrow_X]])-1,4)+1),NA())</f>
        <v>#N/A</v>
      </c>
      <c r="T374" t="e">
        <f>IFERROR(INDEX(Table_Process_Details[[Y Start]:[Y Intentionally NA]],INT((ROW()-ROW(Table_Arrow_Coords[[#Headers],[Arrow_Y]])-1)/4)+1,MOD(ROW()-ROW(Table_Arrow_Coords[[#Headers],[Arrow_Y]])-1,4)+1),NA())</f>
        <v>#N/A</v>
      </c>
    </row>
    <row r="375" spans="19:20" x14ac:dyDescent="0.25">
      <c r="S375">
        <f ca="1">IFERROR(INDEX(Table_Process_Details[[X Start]:[X Intentionally NA]],INT((ROW()-ROW(Table_Arrow_Coords[[#Headers],[Arrow_X]])-1)/4)+1,MOD(ROW()-ROW(Table_Arrow_Coords[[#Headers],[Arrow_X]])-1,4)+1),NA())</f>
        <v>28.583288244239917</v>
      </c>
      <c r="T375">
        <f ca="1">IFERROR(INDEX(Table_Process_Details[[Y Start]:[Y Intentionally NA]],INT((ROW()-ROW(Table_Arrow_Coords[[#Headers],[Arrow_Y]])-1)/4)+1,MOD(ROW()-ROW(Table_Arrow_Coords[[#Headers],[Arrow_Y]])-1,4)+1),NA())</f>
        <v>0.73708046857326692</v>
      </c>
    </row>
    <row r="376" spans="19:20" x14ac:dyDescent="0.25">
      <c r="S376">
        <f ca="1">IFERROR(INDEX(Table_Process_Details[[X Start]:[X Intentionally NA]],INT((ROW()-ROW(Table_Arrow_Coords[[#Headers],[Arrow_X]])-1)/4)+1,MOD(ROW()-ROW(Table_Arrow_Coords[[#Headers],[Arrow_X]])-1,4)+1),NA())</f>
        <v>29.635875337277696</v>
      </c>
      <c r="T376">
        <f ca="1">IFERROR(INDEX(Table_Process_Details[[Y Start]:[Y Intentionally NA]],INT((ROW()-ROW(Table_Arrow_Coords[[#Headers],[Arrow_Y]])-1)/4)+1,MOD(ROW()-ROW(Table_Arrow_Coords[[#Headers],[Arrow_Y]])-1,4)+1),NA())</f>
        <v>3.8099891354816782</v>
      </c>
    </row>
    <row r="377" spans="19:20" x14ac:dyDescent="0.25">
      <c r="S377" t="e">
        <f>IFERROR(INDEX(Table_Process_Details[[X Start]:[X Intentionally NA]],INT((ROW()-ROW(Table_Arrow_Coords[[#Headers],[Arrow_X]])-1)/4)+1,MOD(ROW()-ROW(Table_Arrow_Coords[[#Headers],[Arrow_X]])-1,4)+1),NA())</f>
        <v>#N/A</v>
      </c>
      <c r="T377" t="e">
        <f>IFERROR(INDEX(Table_Process_Details[[Y Start]:[Y Intentionally NA]],INT((ROW()-ROW(Table_Arrow_Coords[[#Headers],[Arrow_Y]])-1)/4)+1,MOD(ROW()-ROW(Table_Arrow_Coords[[#Headers],[Arrow_Y]])-1,4)+1),NA())</f>
        <v>#N/A</v>
      </c>
    </row>
    <row r="378" spans="19:20" x14ac:dyDescent="0.25">
      <c r="S378">
        <f ca="1">IFERROR(INDEX(Table_Process_Details[[X Start]:[X Intentionally NA]],INT((ROW()-ROW(Table_Arrow_Coords[[#Headers],[Arrow_X]])-1)/4)+1,MOD(ROW()-ROW(Table_Arrow_Coords[[#Headers],[Arrow_X]])-1,4)+1),NA())</f>
        <v>29.895118457910893</v>
      </c>
      <c r="T378">
        <f ca="1">IFERROR(INDEX(Table_Process_Details[[Y Start]:[Y Intentionally NA]],INT((ROW()-ROW(Table_Arrow_Coords[[#Headers],[Arrow_Y]])-1)/4)+1,MOD(ROW()-ROW(Table_Arrow_Coords[[#Headers],[Arrow_Y]])-1,4)+1),NA())</f>
        <v>4.5668200309955704</v>
      </c>
    </row>
    <row r="379" spans="19:20" x14ac:dyDescent="0.25">
      <c r="S379">
        <f ca="1">IFERROR(INDEX(Table_Process_Details[[X Start]:[X Intentionally NA]],INT((ROW()-ROW(Table_Arrow_Coords[[#Headers],[Arrow_X]])-1)/4)+1,MOD(ROW()-ROW(Table_Arrow_Coords[[#Headers],[Arrow_X]])-1,4)+1),NA())</f>
        <v>28.851410138015801</v>
      </c>
      <c r="T379">
        <f ca="1">IFERROR(INDEX(Table_Process_Details[[Y Start]:[Y Intentionally NA]],INT((ROW()-ROW(Table_Arrow_Coords[[#Headers],[Arrow_Y]])-1)/4)+1,MOD(ROW()-ROW(Table_Arrow_Coords[[#Headers],[Arrow_Y]])-1,4)+1),NA())</f>
        <v>8.3629651215714489</v>
      </c>
    </row>
    <row r="380" spans="19:20" x14ac:dyDescent="0.25">
      <c r="S380">
        <f ca="1">IFERROR(INDEX(Table_Process_Details[[X Start]:[X Intentionally NA]],INT((ROW()-ROW(Table_Arrow_Coords[[#Headers],[Arrow_X]])-1)/4)+1,MOD(ROW()-ROW(Table_Arrow_Coords[[#Headers],[Arrow_X]])-1,4)+1),NA())</f>
        <v>29.683037020388905</v>
      </c>
      <c r="T380">
        <f ca="1">IFERROR(INDEX(Table_Process_Details[[Y Start]:[Y Intentionally NA]],INT((ROW()-ROW(Table_Arrow_Coords[[#Headers],[Arrow_Y]])-1)/4)+1,MOD(ROW()-ROW(Table_Arrow_Coords[[#Headers],[Arrow_Y]])-1,4)+1),NA())</f>
        <v>5.338196374850245</v>
      </c>
    </row>
    <row r="381" spans="19:20" x14ac:dyDescent="0.25">
      <c r="S381" t="e">
        <f>IFERROR(INDEX(Table_Process_Details[[X Start]:[X Intentionally NA]],INT((ROW()-ROW(Table_Arrow_Coords[[#Headers],[Arrow_X]])-1)/4)+1,MOD(ROW()-ROW(Table_Arrow_Coords[[#Headers],[Arrow_X]])-1,4)+1),NA())</f>
        <v>#N/A</v>
      </c>
      <c r="T381" t="e">
        <f>IFERROR(INDEX(Table_Process_Details[[Y Start]:[Y Intentionally NA]],INT((ROW()-ROW(Table_Arrow_Coords[[#Headers],[Arrow_Y]])-1)/4)+1,MOD(ROW()-ROW(Table_Arrow_Coords[[#Headers],[Arrow_Y]])-1,4)+1),NA())</f>
        <v>#N/A</v>
      </c>
    </row>
    <row r="382" spans="19:20" x14ac:dyDescent="0.25">
      <c r="S382" t="e">
        <f>IFERROR(INDEX(Table_Process_Details[[X Start]:[X Intentionally NA]],INT((ROW()-ROW(Table_Arrow_Coords[[#Headers],[Arrow_X]])-1)/4)+1,MOD(ROW()-ROW(Table_Arrow_Coords[[#Headers],[Arrow_X]])-1,4)+1),NA())</f>
        <v>#N/A</v>
      </c>
      <c r="T382" t="e">
        <f>IFERROR(INDEX(Table_Process_Details[[Y Start]:[Y Intentionally NA]],INT((ROW()-ROW(Table_Arrow_Coords[[#Headers],[Arrow_Y]])-1)/4)+1,MOD(ROW()-ROW(Table_Arrow_Coords[[#Headers],[Arrow_Y]])-1,4)+1),NA())</f>
        <v>#N/A</v>
      </c>
    </row>
    <row r="383" spans="19:20" x14ac:dyDescent="0.25">
      <c r="S383">
        <f ca="1">IFERROR(INDEX(Table_Process_Details[[X Start]:[X Intentionally NA]],INT((ROW()-ROW(Table_Arrow_Coords[[#Headers],[Arrow_X]])-1)/4)+1,MOD(ROW()-ROW(Table_Arrow_Coords[[#Headers],[Arrow_X]])-1,4)+1),NA())</f>
        <v>26.501091310278941</v>
      </c>
      <c r="T383">
        <f ca="1">IFERROR(INDEX(Table_Process_Details[[Y Start]:[Y Intentionally NA]],INT((ROW()-ROW(Table_Arrow_Coords[[#Headers],[Arrow_Y]])-1)/4)+1,MOD(ROW()-ROW(Table_Arrow_Coords[[#Headers],[Arrow_Y]])-1,4)+1),NA())</f>
        <v>6.5085732642133696</v>
      </c>
    </row>
    <row r="384" spans="19:20" x14ac:dyDescent="0.25">
      <c r="S384">
        <f ca="1">IFERROR(INDEX(Table_Process_Details[[X Start]:[X Intentionally NA]],INT((ROW()-ROW(Table_Arrow_Coords[[#Headers],[Arrow_X]])-1)/4)+1,MOD(ROW()-ROW(Table_Arrow_Coords[[#Headers],[Arrow_X]])-1,4)+1),NA())</f>
        <v>29.200727545311704</v>
      </c>
      <c r="T384">
        <f ca="1">IFERROR(INDEX(Table_Process_Details[[Y Start]:[Y Intentionally NA]],INT((ROW()-ROW(Table_Arrow_Coords[[#Headers],[Arrow_Y]])-1)/4)+1,MOD(ROW()-ROW(Table_Arrow_Coords[[#Headers],[Arrow_Y]])-1,4)+1),NA())</f>
        <v>4.9640872716531153</v>
      </c>
    </row>
    <row r="385" spans="19:20" x14ac:dyDescent="0.25">
      <c r="S385" t="e">
        <f>IFERROR(INDEX(Table_Process_Details[[X Start]:[X Intentionally NA]],INT((ROW()-ROW(Table_Arrow_Coords[[#Headers],[Arrow_X]])-1)/4)+1,MOD(ROW()-ROW(Table_Arrow_Coords[[#Headers],[Arrow_X]])-1,4)+1),NA())</f>
        <v>#N/A</v>
      </c>
      <c r="T385" t="e">
        <f>IFERROR(INDEX(Table_Process_Details[[Y Start]:[Y Intentionally NA]],INT((ROW()-ROW(Table_Arrow_Coords[[#Headers],[Arrow_Y]])-1)/4)+1,MOD(ROW()-ROW(Table_Arrow_Coords[[#Headers],[Arrow_Y]])-1,4)+1),NA())</f>
        <v>#N/A</v>
      </c>
    </row>
    <row r="386" spans="19:20" x14ac:dyDescent="0.25">
      <c r="S386" t="e">
        <f>IFERROR(INDEX(Table_Process_Details[[X Start]:[X Intentionally NA]],INT((ROW()-ROW(Table_Arrow_Coords[[#Headers],[Arrow_X]])-1)/4)+1,MOD(ROW()-ROW(Table_Arrow_Coords[[#Headers],[Arrow_X]])-1,4)+1),NA())</f>
        <v>#N/A</v>
      </c>
      <c r="T386" t="e">
        <f>IFERROR(INDEX(Table_Process_Details[[Y Start]:[Y Intentionally NA]],INT((ROW()-ROW(Table_Arrow_Coords[[#Headers],[Arrow_Y]])-1)/4)+1,MOD(ROW()-ROW(Table_Arrow_Coords[[#Headers],[Arrow_Y]])-1,4)+1),NA())</f>
        <v>#N/A</v>
      </c>
    </row>
    <row r="387" spans="19:20" x14ac:dyDescent="0.25">
      <c r="S387" t="e">
        <f>IFERROR(INDEX(Table_Process_Details[[X Start]:[X Intentionally NA]],INT((ROW()-ROW(Table_Arrow_Coords[[#Headers],[Arrow_X]])-1)/4)+1,MOD(ROW()-ROW(Table_Arrow_Coords[[#Headers],[Arrow_X]])-1,4)+1),NA())</f>
        <v>#N/A</v>
      </c>
      <c r="T387" t="e">
        <f>IFERROR(INDEX(Table_Process_Details[[Y Start]:[Y Intentionally NA]],INT((ROW()-ROW(Table_Arrow_Coords[[#Headers],[Arrow_Y]])-1)/4)+1,MOD(ROW()-ROW(Table_Arrow_Coords[[#Headers],[Arrow_Y]])-1,4)+1),NA())</f>
        <v>#N/A</v>
      </c>
    </row>
    <row r="388" spans="19:20" x14ac:dyDescent="0.25">
      <c r="S388" t="e">
        <f>IFERROR(INDEX(Table_Process_Details[[X Start]:[X Intentionally NA]],INT((ROW()-ROW(Table_Arrow_Coords[[#Headers],[Arrow_X]])-1)/4)+1,MOD(ROW()-ROW(Table_Arrow_Coords[[#Headers],[Arrow_X]])-1,4)+1),NA())</f>
        <v>#N/A</v>
      </c>
      <c r="T388" t="e">
        <f>IFERROR(INDEX(Table_Process_Details[[Y Start]:[Y Intentionally NA]],INT((ROW()-ROW(Table_Arrow_Coords[[#Headers],[Arrow_Y]])-1)/4)+1,MOD(ROW()-ROW(Table_Arrow_Coords[[#Headers],[Arrow_Y]])-1,4)+1),NA())</f>
        <v>#N/A</v>
      </c>
    </row>
    <row r="389" spans="19:20" x14ac:dyDescent="0.25">
      <c r="S389" t="e">
        <f>IFERROR(INDEX(Table_Process_Details[[X Start]:[X Intentionally NA]],INT((ROW()-ROW(Table_Arrow_Coords[[#Headers],[Arrow_X]])-1)/4)+1,MOD(ROW()-ROW(Table_Arrow_Coords[[#Headers],[Arrow_X]])-1,4)+1),NA())</f>
        <v>#N/A</v>
      </c>
      <c r="T389" t="e">
        <f>IFERROR(INDEX(Table_Process_Details[[Y Start]:[Y Intentionally NA]],INT((ROW()-ROW(Table_Arrow_Coords[[#Headers],[Arrow_Y]])-1)/4)+1,MOD(ROW()-ROW(Table_Arrow_Coords[[#Headers],[Arrow_Y]])-1,4)+1),NA())</f>
        <v>#N/A</v>
      </c>
    </row>
    <row r="390" spans="19:20" x14ac:dyDescent="0.25">
      <c r="S390">
        <f ca="1">IFERROR(INDEX(Table_Process_Details[[X Start]:[X Intentionally NA]],INT((ROW()-ROW(Table_Arrow_Coords[[#Headers],[Arrow_X]])-1)/4)+1,MOD(ROW()-ROW(Table_Arrow_Coords[[#Headers],[Arrow_X]])-1,4)+1),NA())</f>
        <v>29.895118457910893</v>
      </c>
      <c r="T390">
        <f ca="1">IFERROR(INDEX(Table_Process_Details[[Y Start]:[Y Intentionally NA]],INT((ROW()-ROW(Table_Arrow_Coords[[#Headers],[Arrow_Y]])-1)/4)+1,MOD(ROW()-ROW(Table_Arrow_Coords[[#Headers],[Arrow_Y]])-1,4)+1),NA())</f>
        <v>4.5668200309955704</v>
      </c>
    </row>
    <row r="391" spans="19:20" x14ac:dyDescent="0.25">
      <c r="S391">
        <f ca="1">IFERROR(INDEX(Table_Process_Details[[X Start]:[X Intentionally NA]],INT((ROW()-ROW(Table_Arrow_Coords[[#Headers],[Arrow_X]])-1)/4)+1,MOD(ROW()-ROW(Table_Arrow_Coords[[#Headers],[Arrow_X]])-1,4)+1),NA())</f>
        <v>34.095068972658638</v>
      </c>
      <c r="T391">
        <f ca="1">IFERROR(INDEX(Table_Process_Details[[Y Start]:[Y Intentionally NA]],INT((ROW()-ROW(Table_Arrow_Coords[[#Headers],[Arrow_Y]])-1)/4)+1,MOD(ROW()-ROW(Table_Arrow_Coords[[#Headers],[Arrow_Y]])-1,4)+1),NA())</f>
        <v>8.1861051547737027</v>
      </c>
    </row>
    <row r="392" spans="19:20" x14ac:dyDescent="0.25">
      <c r="S392">
        <f ca="1">IFERROR(INDEX(Table_Process_Details[[X Start]:[X Intentionally NA]],INT((ROW()-ROW(Table_Arrow_Coords[[#Headers],[Arrow_X]])-1)/4)+1,MOD(ROW()-ROW(Table_Arrow_Coords[[#Headers],[Arrow_X]])-1,4)+1),NA())</f>
        <v>36.820439040220258</v>
      </c>
      <c r="T392">
        <f ca="1">IFERROR(INDEX(Table_Process_Details[[Y Start]:[Y Intentionally NA]],INT((ROW()-ROW(Table_Arrow_Coords[[#Headers],[Arrow_Y]])-1)/4)+1,MOD(ROW()-ROW(Table_Arrow_Coords[[#Headers],[Arrow_Y]])-1,4)+1),NA())</f>
        <v>10.075835458386489</v>
      </c>
    </row>
    <row r="393" spans="19:20" x14ac:dyDescent="0.25">
      <c r="S393" t="e">
        <f>IFERROR(INDEX(Table_Process_Details[[X Start]:[X Intentionally NA]],INT((ROW()-ROW(Table_Arrow_Coords[[#Headers],[Arrow_X]])-1)/4)+1,MOD(ROW()-ROW(Table_Arrow_Coords[[#Headers],[Arrow_X]])-1,4)+1),NA())</f>
        <v>#N/A</v>
      </c>
      <c r="T393" t="e">
        <f>IFERROR(INDEX(Table_Process_Details[[Y Start]:[Y Intentionally NA]],INT((ROW()-ROW(Table_Arrow_Coords[[#Headers],[Arrow_Y]])-1)/4)+1,MOD(ROW()-ROW(Table_Arrow_Coords[[#Headers],[Arrow_Y]])-1,4)+1),NA())</f>
        <v>#N/A</v>
      </c>
    </row>
    <row r="394" spans="19:20" x14ac:dyDescent="0.25">
      <c r="S394" t="e">
        <f>IFERROR(INDEX(Table_Process_Details[[X Start]:[X Intentionally NA]],INT((ROW()-ROW(Table_Arrow_Coords[[#Headers],[Arrow_X]])-1)/4)+1,MOD(ROW()-ROW(Table_Arrow_Coords[[#Headers],[Arrow_X]])-1,4)+1),NA())</f>
        <v>#N/A</v>
      </c>
      <c r="T394" t="e">
        <f>IFERROR(INDEX(Table_Process_Details[[Y Start]:[Y Intentionally NA]],INT((ROW()-ROW(Table_Arrow_Coords[[#Headers],[Arrow_Y]])-1)/4)+1,MOD(ROW()-ROW(Table_Arrow_Coords[[#Headers],[Arrow_Y]])-1,4)+1),NA())</f>
        <v>#N/A</v>
      </c>
    </row>
    <row r="395" spans="19:20" x14ac:dyDescent="0.25">
      <c r="S395" t="e">
        <f>IFERROR(INDEX(Table_Process_Details[[X Start]:[X Intentionally NA]],INT((ROW()-ROW(Table_Arrow_Coords[[#Headers],[Arrow_X]])-1)/4)+1,MOD(ROW()-ROW(Table_Arrow_Coords[[#Headers],[Arrow_X]])-1,4)+1),NA())</f>
        <v>#N/A</v>
      </c>
      <c r="T395" t="e">
        <f>IFERROR(INDEX(Table_Process_Details[[Y Start]:[Y Intentionally NA]],INT((ROW()-ROW(Table_Arrow_Coords[[#Headers],[Arrow_Y]])-1)/4)+1,MOD(ROW()-ROW(Table_Arrow_Coords[[#Headers],[Arrow_Y]])-1,4)+1),NA())</f>
        <v>#N/A</v>
      </c>
    </row>
    <row r="396" spans="19:20" x14ac:dyDescent="0.25">
      <c r="S396" t="e">
        <f>IFERROR(INDEX(Table_Process_Details[[X Start]:[X Intentionally NA]],INT((ROW()-ROW(Table_Arrow_Coords[[#Headers],[Arrow_X]])-1)/4)+1,MOD(ROW()-ROW(Table_Arrow_Coords[[#Headers],[Arrow_X]])-1,4)+1),NA())</f>
        <v>#N/A</v>
      </c>
      <c r="T396" t="e">
        <f>IFERROR(INDEX(Table_Process_Details[[Y Start]:[Y Intentionally NA]],INT((ROW()-ROW(Table_Arrow_Coords[[#Headers],[Arrow_Y]])-1)/4)+1,MOD(ROW()-ROW(Table_Arrow_Coords[[#Headers],[Arrow_Y]])-1,4)+1),NA())</f>
        <v>#N/A</v>
      </c>
    </row>
    <row r="397" spans="19:20" x14ac:dyDescent="0.25">
      <c r="S397" t="e">
        <f>IFERROR(INDEX(Table_Process_Details[[X Start]:[X Intentionally NA]],INT((ROW()-ROW(Table_Arrow_Coords[[#Headers],[Arrow_X]])-1)/4)+1,MOD(ROW()-ROW(Table_Arrow_Coords[[#Headers],[Arrow_X]])-1,4)+1),NA())</f>
        <v>#N/A</v>
      </c>
      <c r="T397" t="e">
        <f>IFERROR(INDEX(Table_Process_Details[[Y Start]:[Y Intentionally NA]],INT((ROW()-ROW(Table_Arrow_Coords[[#Headers],[Arrow_Y]])-1)/4)+1,MOD(ROW()-ROW(Table_Arrow_Coords[[#Headers],[Arrow_Y]])-1,4)+1),NA())</f>
        <v>#N/A</v>
      </c>
    </row>
    <row r="398" spans="19:20" x14ac:dyDescent="0.25">
      <c r="S398" t="e">
        <f>IFERROR(INDEX(Table_Process_Details[[X Start]:[X Intentionally NA]],INT((ROW()-ROW(Table_Arrow_Coords[[#Headers],[Arrow_X]])-1)/4)+1,MOD(ROW()-ROW(Table_Arrow_Coords[[#Headers],[Arrow_X]])-1,4)+1),NA())</f>
        <v>#N/A</v>
      </c>
      <c r="T398" t="e">
        <f>IFERROR(INDEX(Table_Process_Details[[Y Start]:[Y Intentionally NA]],INT((ROW()-ROW(Table_Arrow_Coords[[#Headers],[Arrow_Y]])-1)/4)+1,MOD(ROW()-ROW(Table_Arrow_Coords[[#Headers],[Arrow_Y]])-1,4)+1),NA())</f>
        <v>#N/A</v>
      </c>
    </row>
    <row r="399" spans="19:20" x14ac:dyDescent="0.25">
      <c r="S399" t="e">
        <f>IFERROR(INDEX(Table_Process_Details[[X Start]:[X Intentionally NA]],INT((ROW()-ROW(Table_Arrow_Coords[[#Headers],[Arrow_X]])-1)/4)+1,MOD(ROW()-ROW(Table_Arrow_Coords[[#Headers],[Arrow_X]])-1,4)+1),NA())</f>
        <v>#N/A</v>
      </c>
      <c r="T399" t="e">
        <f>IFERROR(INDEX(Table_Process_Details[[Y Start]:[Y Intentionally NA]],INT((ROW()-ROW(Table_Arrow_Coords[[#Headers],[Arrow_Y]])-1)/4)+1,MOD(ROW()-ROW(Table_Arrow_Coords[[#Headers],[Arrow_Y]])-1,4)+1),NA())</f>
        <v>#N/A</v>
      </c>
    </row>
    <row r="400" spans="19:20" x14ac:dyDescent="0.25">
      <c r="S400" t="e">
        <f>IFERROR(INDEX(Table_Process_Details[[X Start]:[X Intentionally NA]],INT((ROW()-ROW(Table_Arrow_Coords[[#Headers],[Arrow_X]])-1)/4)+1,MOD(ROW()-ROW(Table_Arrow_Coords[[#Headers],[Arrow_X]])-1,4)+1),NA())</f>
        <v>#N/A</v>
      </c>
      <c r="T400" t="e">
        <f>IFERROR(INDEX(Table_Process_Details[[Y Start]:[Y Intentionally NA]],INT((ROW()-ROW(Table_Arrow_Coords[[#Headers],[Arrow_Y]])-1)/4)+1,MOD(ROW()-ROW(Table_Arrow_Coords[[#Headers],[Arrow_Y]])-1,4)+1),NA())</f>
        <v>#N/A</v>
      </c>
    </row>
    <row r="401" spans="19:20" x14ac:dyDescent="0.25">
      <c r="S401" t="e">
        <f>IFERROR(INDEX(Table_Process_Details[[X Start]:[X Intentionally NA]],INT((ROW()-ROW(Table_Arrow_Coords[[#Headers],[Arrow_X]])-1)/4)+1,MOD(ROW()-ROW(Table_Arrow_Coords[[#Headers],[Arrow_X]])-1,4)+1),NA())</f>
        <v>#N/A</v>
      </c>
      <c r="T401" t="e">
        <f>IFERROR(INDEX(Table_Process_Details[[Y Start]:[Y Intentionally NA]],INT((ROW()-ROW(Table_Arrow_Coords[[#Headers],[Arrow_Y]])-1)/4)+1,MOD(ROW()-ROW(Table_Arrow_Coords[[#Headers],[Arrow_Y]])-1,4)+1),NA())</f>
        <v>#N/A</v>
      </c>
    </row>
    <row r="402" spans="19:20" x14ac:dyDescent="0.25">
      <c r="S402" t="e">
        <f>IFERROR(INDEX(Table_Process_Details[[X Start]:[X Intentionally NA]],INT((ROW()-ROW(Table_Arrow_Coords[[#Headers],[Arrow_X]])-1)/4)+1,MOD(ROW()-ROW(Table_Arrow_Coords[[#Headers],[Arrow_X]])-1,4)+1),NA())</f>
        <v>#N/A</v>
      </c>
      <c r="T402" t="e">
        <f>IFERROR(INDEX(Table_Process_Details[[Y Start]:[Y Intentionally NA]],INT((ROW()-ROW(Table_Arrow_Coords[[#Headers],[Arrow_Y]])-1)/4)+1,MOD(ROW()-ROW(Table_Arrow_Coords[[#Headers],[Arrow_Y]])-1,4)+1),NA())</f>
        <v>#N/A</v>
      </c>
    </row>
    <row r="403" spans="19:20" x14ac:dyDescent="0.25">
      <c r="S403" t="e">
        <f>IFERROR(INDEX(Table_Process_Details[[X Start]:[X Intentionally NA]],INT((ROW()-ROW(Table_Arrow_Coords[[#Headers],[Arrow_X]])-1)/4)+1,MOD(ROW()-ROW(Table_Arrow_Coords[[#Headers],[Arrow_X]])-1,4)+1),NA())</f>
        <v>#N/A</v>
      </c>
      <c r="T403" t="e">
        <f>IFERROR(INDEX(Table_Process_Details[[Y Start]:[Y Intentionally NA]],INT((ROW()-ROW(Table_Arrow_Coords[[#Headers],[Arrow_Y]])-1)/4)+1,MOD(ROW()-ROW(Table_Arrow_Coords[[#Headers],[Arrow_Y]])-1,4)+1),NA())</f>
        <v>#N/A</v>
      </c>
    </row>
    <row r="404" spans="19:20" x14ac:dyDescent="0.25">
      <c r="S404" t="e">
        <f>IFERROR(INDEX(Table_Process_Details[[X Start]:[X Intentionally NA]],INT((ROW()-ROW(Table_Arrow_Coords[[#Headers],[Arrow_X]])-1)/4)+1,MOD(ROW()-ROW(Table_Arrow_Coords[[#Headers],[Arrow_X]])-1,4)+1),NA())</f>
        <v>#N/A</v>
      </c>
      <c r="T404" t="e">
        <f>IFERROR(INDEX(Table_Process_Details[[Y Start]:[Y Intentionally NA]],INT((ROW()-ROW(Table_Arrow_Coords[[#Headers],[Arrow_Y]])-1)/4)+1,MOD(ROW()-ROW(Table_Arrow_Coords[[#Headers],[Arrow_Y]])-1,4)+1),NA())</f>
        <v>#N/A</v>
      </c>
    </row>
    <row r="405" spans="19:20" x14ac:dyDescent="0.25">
      <c r="S405" t="e">
        <f>IFERROR(INDEX(Table_Process_Details[[X Start]:[X Intentionally NA]],INT((ROW()-ROW(Table_Arrow_Coords[[#Headers],[Arrow_X]])-1)/4)+1,MOD(ROW()-ROW(Table_Arrow_Coords[[#Headers],[Arrow_X]])-1,4)+1),NA())</f>
        <v>#N/A</v>
      </c>
      <c r="T405" t="e">
        <f>IFERROR(INDEX(Table_Process_Details[[Y Start]:[Y Intentionally NA]],INT((ROW()-ROW(Table_Arrow_Coords[[#Headers],[Arrow_Y]])-1)/4)+1,MOD(ROW()-ROW(Table_Arrow_Coords[[#Headers],[Arrow_Y]])-1,4)+1),NA())</f>
        <v>#N/A</v>
      </c>
    </row>
    <row r="406" spans="19:20" x14ac:dyDescent="0.25">
      <c r="S406" t="e">
        <f>IFERROR(INDEX(Table_Process_Details[[X Start]:[X Intentionally NA]],INT((ROW()-ROW(Table_Arrow_Coords[[#Headers],[Arrow_X]])-1)/4)+1,MOD(ROW()-ROW(Table_Arrow_Coords[[#Headers],[Arrow_X]])-1,4)+1),NA())</f>
        <v>#N/A</v>
      </c>
      <c r="T406" t="e">
        <f>IFERROR(INDEX(Table_Process_Details[[Y Start]:[Y Intentionally NA]],INT((ROW()-ROW(Table_Arrow_Coords[[#Headers],[Arrow_Y]])-1)/4)+1,MOD(ROW()-ROW(Table_Arrow_Coords[[#Headers],[Arrow_Y]])-1,4)+1),NA())</f>
        <v>#N/A</v>
      </c>
    </row>
    <row r="407" spans="19:20" x14ac:dyDescent="0.25">
      <c r="S407" t="e">
        <f>IFERROR(INDEX(Table_Process_Details[[X Start]:[X Intentionally NA]],INT((ROW()-ROW(Table_Arrow_Coords[[#Headers],[Arrow_X]])-1)/4)+1,MOD(ROW()-ROW(Table_Arrow_Coords[[#Headers],[Arrow_X]])-1,4)+1),NA())</f>
        <v>#N/A</v>
      </c>
      <c r="T407" t="e">
        <f>IFERROR(INDEX(Table_Process_Details[[Y Start]:[Y Intentionally NA]],INT((ROW()-ROW(Table_Arrow_Coords[[#Headers],[Arrow_Y]])-1)/4)+1,MOD(ROW()-ROW(Table_Arrow_Coords[[#Headers],[Arrow_Y]])-1,4)+1),NA())</f>
        <v>#N/A</v>
      </c>
    </row>
    <row r="408" spans="19:20" x14ac:dyDescent="0.25">
      <c r="S408" t="e">
        <f>IFERROR(INDEX(Table_Process_Details[[X Start]:[X Intentionally NA]],INT((ROW()-ROW(Table_Arrow_Coords[[#Headers],[Arrow_X]])-1)/4)+1,MOD(ROW()-ROW(Table_Arrow_Coords[[#Headers],[Arrow_X]])-1,4)+1),NA())</f>
        <v>#N/A</v>
      </c>
      <c r="T408" t="e">
        <f>IFERROR(INDEX(Table_Process_Details[[Y Start]:[Y Intentionally NA]],INT((ROW()-ROW(Table_Arrow_Coords[[#Headers],[Arrow_Y]])-1)/4)+1,MOD(ROW()-ROW(Table_Arrow_Coords[[#Headers],[Arrow_Y]])-1,4)+1),NA())</f>
        <v>#N/A</v>
      </c>
    </row>
    <row r="409" spans="19:20" x14ac:dyDescent="0.25">
      <c r="S409" t="e">
        <f>IFERROR(INDEX(Table_Process_Details[[X Start]:[X Intentionally NA]],INT((ROW()-ROW(Table_Arrow_Coords[[#Headers],[Arrow_X]])-1)/4)+1,MOD(ROW()-ROW(Table_Arrow_Coords[[#Headers],[Arrow_X]])-1,4)+1),NA())</f>
        <v>#N/A</v>
      </c>
      <c r="T409" t="e">
        <f>IFERROR(INDEX(Table_Process_Details[[Y Start]:[Y Intentionally NA]],INT((ROW()-ROW(Table_Arrow_Coords[[#Headers],[Arrow_Y]])-1)/4)+1,MOD(ROW()-ROW(Table_Arrow_Coords[[#Headers],[Arrow_Y]])-1,4)+1),NA())</f>
        <v>#N/A</v>
      </c>
    </row>
    <row r="410" spans="19:20" x14ac:dyDescent="0.25">
      <c r="S410" t="e">
        <f>IFERROR(INDEX(Table_Process_Details[[X Start]:[X Intentionally NA]],INT((ROW()-ROW(Table_Arrow_Coords[[#Headers],[Arrow_X]])-1)/4)+1,MOD(ROW()-ROW(Table_Arrow_Coords[[#Headers],[Arrow_X]])-1,4)+1),NA())</f>
        <v>#N/A</v>
      </c>
      <c r="T410" t="e">
        <f>IFERROR(INDEX(Table_Process_Details[[Y Start]:[Y Intentionally NA]],INT((ROW()-ROW(Table_Arrow_Coords[[#Headers],[Arrow_Y]])-1)/4)+1,MOD(ROW()-ROW(Table_Arrow_Coords[[#Headers],[Arrow_Y]])-1,4)+1),NA())</f>
        <v>#N/A</v>
      </c>
    </row>
    <row r="411" spans="19:20" x14ac:dyDescent="0.25">
      <c r="S411" t="e">
        <f>IFERROR(INDEX(Table_Process_Details[[X Start]:[X Intentionally NA]],INT((ROW()-ROW(Table_Arrow_Coords[[#Headers],[Arrow_X]])-1)/4)+1,MOD(ROW()-ROW(Table_Arrow_Coords[[#Headers],[Arrow_X]])-1,4)+1),NA())</f>
        <v>#N/A</v>
      </c>
      <c r="T411" t="e">
        <f>IFERROR(INDEX(Table_Process_Details[[Y Start]:[Y Intentionally NA]],INT((ROW()-ROW(Table_Arrow_Coords[[#Headers],[Arrow_Y]])-1)/4)+1,MOD(ROW()-ROW(Table_Arrow_Coords[[#Headers],[Arrow_Y]])-1,4)+1),NA())</f>
        <v>#N/A</v>
      </c>
    </row>
    <row r="412" spans="19:20" x14ac:dyDescent="0.25">
      <c r="S412" t="e">
        <f>IFERROR(INDEX(Table_Process_Details[[X Start]:[X Intentionally NA]],INT((ROW()-ROW(Table_Arrow_Coords[[#Headers],[Arrow_X]])-1)/4)+1,MOD(ROW()-ROW(Table_Arrow_Coords[[#Headers],[Arrow_X]])-1,4)+1),NA())</f>
        <v>#N/A</v>
      </c>
      <c r="T412" t="e">
        <f>IFERROR(INDEX(Table_Process_Details[[Y Start]:[Y Intentionally NA]],INT((ROW()-ROW(Table_Arrow_Coords[[#Headers],[Arrow_Y]])-1)/4)+1,MOD(ROW()-ROW(Table_Arrow_Coords[[#Headers],[Arrow_Y]])-1,4)+1),NA())</f>
        <v>#N/A</v>
      </c>
    </row>
    <row r="413" spans="19:20" x14ac:dyDescent="0.25">
      <c r="S413" t="e">
        <f>IFERROR(INDEX(Table_Process_Details[[X Start]:[X Intentionally NA]],INT((ROW()-ROW(Table_Arrow_Coords[[#Headers],[Arrow_X]])-1)/4)+1,MOD(ROW()-ROW(Table_Arrow_Coords[[#Headers],[Arrow_X]])-1,4)+1),NA())</f>
        <v>#N/A</v>
      </c>
      <c r="T413" t="e">
        <f>IFERROR(INDEX(Table_Process_Details[[Y Start]:[Y Intentionally NA]],INT((ROW()-ROW(Table_Arrow_Coords[[#Headers],[Arrow_Y]])-1)/4)+1,MOD(ROW()-ROW(Table_Arrow_Coords[[#Headers],[Arrow_Y]])-1,4)+1),NA())</f>
        <v>#N/A</v>
      </c>
    </row>
    <row r="414" spans="19:20" x14ac:dyDescent="0.25">
      <c r="S414" t="e">
        <f>IFERROR(INDEX(Table_Process_Details[[X Start]:[X Intentionally NA]],INT((ROW()-ROW(Table_Arrow_Coords[[#Headers],[Arrow_X]])-1)/4)+1,MOD(ROW()-ROW(Table_Arrow_Coords[[#Headers],[Arrow_X]])-1,4)+1),NA())</f>
        <v>#N/A</v>
      </c>
      <c r="T414" t="e">
        <f>IFERROR(INDEX(Table_Process_Details[[Y Start]:[Y Intentionally NA]],INT((ROW()-ROW(Table_Arrow_Coords[[#Headers],[Arrow_Y]])-1)/4)+1,MOD(ROW()-ROW(Table_Arrow_Coords[[#Headers],[Arrow_Y]])-1,4)+1),NA())</f>
        <v>#N/A</v>
      </c>
    </row>
    <row r="415" spans="19:20" x14ac:dyDescent="0.25">
      <c r="S415" t="e">
        <f>IFERROR(INDEX(Table_Process_Details[[X Start]:[X Intentionally NA]],INT((ROW()-ROW(Table_Arrow_Coords[[#Headers],[Arrow_X]])-1)/4)+1,MOD(ROW()-ROW(Table_Arrow_Coords[[#Headers],[Arrow_X]])-1,4)+1),NA())</f>
        <v>#N/A</v>
      </c>
      <c r="T415" t="e">
        <f>IFERROR(INDEX(Table_Process_Details[[Y Start]:[Y Intentionally NA]],INT((ROW()-ROW(Table_Arrow_Coords[[#Headers],[Arrow_Y]])-1)/4)+1,MOD(ROW()-ROW(Table_Arrow_Coords[[#Headers],[Arrow_Y]])-1,4)+1),NA())</f>
        <v>#N/A</v>
      </c>
    </row>
    <row r="416" spans="19:20" x14ac:dyDescent="0.25">
      <c r="S416" t="e">
        <f>IFERROR(INDEX(Table_Process_Details[[X Start]:[X Intentionally NA]],INT((ROW()-ROW(Table_Arrow_Coords[[#Headers],[Arrow_X]])-1)/4)+1,MOD(ROW()-ROW(Table_Arrow_Coords[[#Headers],[Arrow_X]])-1,4)+1),NA())</f>
        <v>#N/A</v>
      </c>
      <c r="T416" t="e">
        <f>IFERROR(INDEX(Table_Process_Details[[Y Start]:[Y Intentionally NA]],INT((ROW()-ROW(Table_Arrow_Coords[[#Headers],[Arrow_Y]])-1)/4)+1,MOD(ROW()-ROW(Table_Arrow_Coords[[#Headers],[Arrow_Y]])-1,4)+1),NA())</f>
        <v>#N/A</v>
      </c>
    </row>
    <row r="417" spans="19:20" x14ac:dyDescent="0.25">
      <c r="S417" t="e">
        <f>IFERROR(INDEX(Table_Process_Details[[X Start]:[X Intentionally NA]],INT((ROW()-ROW(Table_Arrow_Coords[[#Headers],[Arrow_X]])-1)/4)+1,MOD(ROW()-ROW(Table_Arrow_Coords[[#Headers],[Arrow_X]])-1,4)+1),NA())</f>
        <v>#N/A</v>
      </c>
      <c r="T417" t="e">
        <f>IFERROR(INDEX(Table_Process_Details[[Y Start]:[Y Intentionally NA]],INT((ROW()-ROW(Table_Arrow_Coords[[#Headers],[Arrow_Y]])-1)/4)+1,MOD(ROW()-ROW(Table_Arrow_Coords[[#Headers],[Arrow_Y]])-1,4)+1),NA())</f>
        <v>#N/A</v>
      </c>
    </row>
    <row r="418" spans="19:20" x14ac:dyDescent="0.25">
      <c r="S418" t="e">
        <f>IFERROR(INDEX(Table_Process_Details[[X Start]:[X Intentionally NA]],INT((ROW()-ROW(Table_Arrow_Coords[[#Headers],[Arrow_X]])-1)/4)+1,MOD(ROW()-ROW(Table_Arrow_Coords[[#Headers],[Arrow_X]])-1,4)+1),NA())</f>
        <v>#N/A</v>
      </c>
      <c r="T418" t="e">
        <f>IFERROR(INDEX(Table_Process_Details[[Y Start]:[Y Intentionally NA]],INT((ROW()-ROW(Table_Arrow_Coords[[#Headers],[Arrow_Y]])-1)/4)+1,MOD(ROW()-ROW(Table_Arrow_Coords[[#Headers],[Arrow_Y]])-1,4)+1),NA())</f>
        <v>#N/A</v>
      </c>
    </row>
    <row r="419" spans="19:20" x14ac:dyDescent="0.25">
      <c r="S419" t="e">
        <f>IFERROR(INDEX(Table_Process_Details[[X Start]:[X Intentionally NA]],INT((ROW()-ROW(Table_Arrow_Coords[[#Headers],[Arrow_X]])-1)/4)+1,MOD(ROW()-ROW(Table_Arrow_Coords[[#Headers],[Arrow_X]])-1,4)+1),NA())</f>
        <v>#N/A</v>
      </c>
      <c r="T419" t="e">
        <f>IFERROR(INDEX(Table_Process_Details[[Y Start]:[Y Intentionally NA]],INT((ROW()-ROW(Table_Arrow_Coords[[#Headers],[Arrow_Y]])-1)/4)+1,MOD(ROW()-ROW(Table_Arrow_Coords[[#Headers],[Arrow_Y]])-1,4)+1),NA())</f>
        <v>#N/A</v>
      </c>
    </row>
    <row r="420" spans="19:20" x14ac:dyDescent="0.25">
      <c r="S420" t="e">
        <f>IFERROR(INDEX(Table_Process_Details[[X Start]:[X Intentionally NA]],INT((ROW()-ROW(Table_Arrow_Coords[[#Headers],[Arrow_X]])-1)/4)+1,MOD(ROW()-ROW(Table_Arrow_Coords[[#Headers],[Arrow_X]])-1,4)+1),NA())</f>
        <v>#N/A</v>
      </c>
      <c r="T420" t="e">
        <f>IFERROR(INDEX(Table_Process_Details[[Y Start]:[Y Intentionally NA]],INT((ROW()-ROW(Table_Arrow_Coords[[#Headers],[Arrow_Y]])-1)/4)+1,MOD(ROW()-ROW(Table_Arrow_Coords[[#Headers],[Arrow_Y]])-1,4)+1),NA())</f>
        <v>#N/A</v>
      </c>
    </row>
    <row r="421" spans="19:20" x14ac:dyDescent="0.25">
      <c r="S421" t="e">
        <f>IFERROR(INDEX(Table_Process_Details[[X Start]:[X Intentionally NA]],INT((ROW()-ROW(Table_Arrow_Coords[[#Headers],[Arrow_X]])-1)/4)+1,MOD(ROW()-ROW(Table_Arrow_Coords[[#Headers],[Arrow_X]])-1,4)+1),NA())</f>
        <v>#N/A</v>
      </c>
      <c r="T421" t="e">
        <f>IFERROR(INDEX(Table_Process_Details[[Y Start]:[Y Intentionally NA]],INT((ROW()-ROW(Table_Arrow_Coords[[#Headers],[Arrow_Y]])-1)/4)+1,MOD(ROW()-ROW(Table_Arrow_Coords[[#Headers],[Arrow_Y]])-1,4)+1),NA())</f>
        <v>#N/A</v>
      </c>
    </row>
    <row r="422" spans="19:20" x14ac:dyDescent="0.25">
      <c r="S422" t="e">
        <f>IFERROR(INDEX(Table_Process_Details[[X Start]:[X Intentionally NA]],INT((ROW()-ROW(Table_Arrow_Coords[[#Headers],[Arrow_X]])-1)/4)+1,MOD(ROW()-ROW(Table_Arrow_Coords[[#Headers],[Arrow_X]])-1,4)+1),NA())</f>
        <v>#N/A</v>
      </c>
      <c r="T422" t="e">
        <f>IFERROR(INDEX(Table_Process_Details[[Y Start]:[Y Intentionally NA]],INT((ROW()-ROW(Table_Arrow_Coords[[#Headers],[Arrow_Y]])-1)/4)+1,MOD(ROW()-ROW(Table_Arrow_Coords[[#Headers],[Arrow_Y]])-1,4)+1),NA())</f>
        <v>#N/A</v>
      </c>
    </row>
    <row r="423" spans="19:20" x14ac:dyDescent="0.25">
      <c r="S423" t="e">
        <f>IFERROR(INDEX(Table_Process_Details[[X Start]:[X Intentionally NA]],INT((ROW()-ROW(Table_Arrow_Coords[[#Headers],[Arrow_X]])-1)/4)+1,MOD(ROW()-ROW(Table_Arrow_Coords[[#Headers],[Arrow_X]])-1,4)+1),NA())</f>
        <v>#N/A</v>
      </c>
      <c r="T423" t="e">
        <f>IFERROR(INDEX(Table_Process_Details[[Y Start]:[Y Intentionally NA]],INT((ROW()-ROW(Table_Arrow_Coords[[#Headers],[Arrow_Y]])-1)/4)+1,MOD(ROW()-ROW(Table_Arrow_Coords[[#Headers],[Arrow_Y]])-1,4)+1),NA())</f>
        <v>#N/A</v>
      </c>
    </row>
    <row r="424" spans="19:20" x14ac:dyDescent="0.25">
      <c r="S424" t="e">
        <f>IFERROR(INDEX(Table_Process_Details[[X Start]:[X Intentionally NA]],INT((ROW()-ROW(Table_Arrow_Coords[[#Headers],[Arrow_X]])-1)/4)+1,MOD(ROW()-ROW(Table_Arrow_Coords[[#Headers],[Arrow_X]])-1,4)+1),NA())</f>
        <v>#N/A</v>
      </c>
      <c r="T424" t="e">
        <f>IFERROR(INDEX(Table_Process_Details[[Y Start]:[Y Intentionally NA]],INT((ROW()-ROW(Table_Arrow_Coords[[#Headers],[Arrow_Y]])-1)/4)+1,MOD(ROW()-ROW(Table_Arrow_Coords[[#Headers],[Arrow_Y]])-1,4)+1),NA())</f>
        <v>#N/A</v>
      </c>
    </row>
    <row r="425" spans="19:20" x14ac:dyDescent="0.25">
      <c r="S425" t="e">
        <f>IFERROR(INDEX(Table_Process_Details[[X Start]:[X Intentionally NA]],INT((ROW()-ROW(Table_Arrow_Coords[[#Headers],[Arrow_X]])-1)/4)+1,MOD(ROW()-ROW(Table_Arrow_Coords[[#Headers],[Arrow_X]])-1,4)+1),NA())</f>
        <v>#N/A</v>
      </c>
      <c r="T425" t="e">
        <f>IFERROR(INDEX(Table_Process_Details[[Y Start]:[Y Intentionally NA]],INT((ROW()-ROW(Table_Arrow_Coords[[#Headers],[Arrow_Y]])-1)/4)+1,MOD(ROW()-ROW(Table_Arrow_Coords[[#Headers],[Arrow_Y]])-1,4)+1),NA())</f>
        <v>#N/A</v>
      </c>
    </row>
    <row r="426" spans="19:20" x14ac:dyDescent="0.25">
      <c r="S426" t="e">
        <f>IFERROR(INDEX(Table_Process_Details[[X Start]:[X Intentionally NA]],INT((ROW()-ROW(Table_Arrow_Coords[[#Headers],[Arrow_X]])-1)/4)+1,MOD(ROW()-ROW(Table_Arrow_Coords[[#Headers],[Arrow_X]])-1,4)+1),NA())</f>
        <v>#N/A</v>
      </c>
      <c r="T426" t="e">
        <f>IFERROR(INDEX(Table_Process_Details[[Y Start]:[Y Intentionally NA]],INT((ROW()-ROW(Table_Arrow_Coords[[#Headers],[Arrow_Y]])-1)/4)+1,MOD(ROW()-ROW(Table_Arrow_Coords[[#Headers],[Arrow_Y]])-1,4)+1),NA())</f>
        <v>#N/A</v>
      </c>
    </row>
    <row r="427" spans="19:20" x14ac:dyDescent="0.25">
      <c r="S427" t="e">
        <f>IFERROR(INDEX(Table_Process_Details[[X Start]:[X Intentionally NA]],INT((ROW()-ROW(Table_Arrow_Coords[[#Headers],[Arrow_X]])-1)/4)+1,MOD(ROW()-ROW(Table_Arrow_Coords[[#Headers],[Arrow_X]])-1,4)+1),NA())</f>
        <v>#N/A</v>
      </c>
      <c r="T427" t="e">
        <f>IFERROR(INDEX(Table_Process_Details[[Y Start]:[Y Intentionally NA]],INT((ROW()-ROW(Table_Arrow_Coords[[#Headers],[Arrow_Y]])-1)/4)+1,MOD(ROW()-ROW(Table_Arrow_Coords[[#Headers],[Arrow_Y]])-1,4)+1),NA())</f>
        <v>#N/A</v>
      </c>
    </row>
    <row r="428" spans="19:20" x14ac:dyDescent="0.25">
      <c r="S428" t="e">
        <f>IFERROR(INDEX(Table_Process_Details[[X Start]:[X Intentionally NA]],INT((ROW()-ROW(Table_Arrow_Coords[[#Headers],[Arrow_X]])-1)/4)+1,MOD(ROW()-ROW(Table_Arrow_Coords[[#Headers],[Arrow_X]])-1,4)+1),NA())</f>
        <v>#N/A</v>
      </c>
      <c r="T428" t="e">
        <f>IFERROR(INDEX(Table_Process_Details[[Y Start]:[Y Intentionally NA]],INT((ROW()-ROW(Table_Arrow_Coords[[#Headers],[Arrow_Y]])-1)/4)+1,MOD(ROW()-ROW(Table_Arrow_Coords[[#Headers],[Arrow_Y]])-1,4)+1),NA())</f>
        <v>#N/A</v>
      </c>
    </row>
    <row r="429" spans="19:20" x14ac:dyDescent="0.25">
      <c r="S429" t="e">
        <f>IFERROR(INDEX(Table_Process_Details[[X Start]:[X Intentionally NA]],INT((ROW()-ROW(Table_Arrow_Coords[[#Headers],[Arrow_X]])-1)/4)+1,MOD(ROW()-ROW(Table_Arrow_Coords[[#Headers],[Arrow_X]])-1,4)+1),NA())</f>
        <v>#N/A</v>
      </c>
      <c r="T429" t="e">
        <f>IFERROR(INDEX(Table_Process_Details[[Y Start]:[Y Intentionally NA]],INT((ROW()-ROW(Table_Arrow_Coords[[#Headers],[Arrow_Y]])-1)/4)+1,MOD(ROW()-ROW(Table_Arrow_Coords[[#Headers],[Arrow_Y]])-1,4)+1),NA())</f>
        <v>#N/A</v>
      </c>
    </row>
    <row r="430" spans="19:20" x14ac:dyDescent="0.25">
      <c r="S430" t="e">
        <f>IFERROR(INDEX(Table_Process_Details[[X Start]:[X Intentionally NA]],INT((ROW()-ROW(Table_Arrow_Coords[[#Headers],[Arrow_X]])-1)/4)+1,MOD(ROW()-ROW(Table_Arrow_Coords[[#Headers],[Arrow_X]])-1,4)+1),NA())</f>
        <v>#N/A</v>
      </c>
      <c r="T430" t="e">
        <f>IFERROR(INDEX(Table_Process_Details[[Y Start]:[Y Intentionally NA]],INT((ROW()-ROW(Table_Arrow_Coords[[#Headers],[Arrow_Y]])-1)/4)+1,MOD(ROW()-ROW(Table_Arrow_Coords[[#Headers],[Arrow_Y]])-1,4)+1),NA())</f>
        <v>#N/A</v>
      </c>
    </row>
    <row r="431" spans="19:20" x14ac:dyDescent="0.25">
      <c r="S431" t="e">
        <f>IFERROR(INDEX(Table_Process_Details[[X Start]:[X Intentionally NA]],INT((ROW()-ROW(Table_Arrow_Coords[[#Headers],[Arrow_X]])-1)/4)+1,MOD(ROW()-ROW(Table_Arrow_Coords[[#Headers],[Arrow_X]])-1,4)+1),NA())</f>
        <v>#N/A</v>
      </c>
      <c r="T431" t="e">
        <f>IFERROR(INDEX(Table_Process_Details[[Y Start]:[Y Intentionally NA]],INT((ROW()-ROW(Table_Arrow_Coords[[#Headers],[Arrow_Y]])-1)/4)+1,MOD(ROW()-ROW(Table_Arrow_Coords[[#Headers],[Arrow_Y]])-1,4)+1),NA())</f>
        <v>#N/A</v>
      </c>
    </row>
    <row r="432" spans="19:20" x14ac:dyDescent="0.25">
      <c r="S432" t="e">
        <f>IFERROR(INDEX(Table_Process_Details[[X Start]:[X Intentionally NA]],INT((ROW()-ROW(Table_Arrow_Coords[[#Headers],[Arrow_X]])-1)/4)+1,MOD(ROW()-ROW(Table_Arrow_Coords[[#Headers],[Arrow_X]])-1,4)+1),NA())</f>
        <v>#N/A</v>
      </c>
      <c r="T432" t="e">
        <f>IFERROR(INDEX(Table_Process_Details[[Y Start]:[Y Intentionally NA]],INT((ROW()-ROW(Table_Arrow_Coords[[#Headers],[Arrow_Y]])-1)/4)+1,MOD(ROW()-ROW(Table_Arrow_Coords[[#Headers],[Arrow_Y]])-1,4)+1),NA())</f>
        <v>#N/A</v>
      </c>
    </row>
    <row r="433" spans="19:20" x14ac:dyDescent="0.25">
      <c r="S433" t="e">
        <f>IFERROR(INDEX(Table_Process_Details[[X Start]:[X Intentionally NA]],INT((ROW()-ROW(Table_Arrow_Coords[[#Headers],[Arrow_X]])-1)/4)+1,MOD(ROW()-ROW(Table_Arrow_Coords[[#Headers],[Arrow_X]])-1,4)+1),NA())</f>
        <v>#N/A</v>
      </c>
      <c r="T433" t="e">
        <f>IFERROR(INDEX(Table_Process_Details[[Y Start]:[Y Intentionally NA]],INT((ROW()-ROW(Table_Arrow_Coords[[#Headers],[Arrow_Y]])-1)/4)+1,MOD(ROW()-ROW(Table_Arrow_Coords[[#Headers],[Arrow_Y]])-1,4)+1),NA())</f>
        <v>#N/A</v>
      </c>
    </row>
    <row r="434" spans="19:20" x14ac:dyDescent="0.25">
      <c r="S434" t="e">
        <f>IFERROR(INDEX(Table_Process_Details[[X Start]:[X Intentionally NA]],INT((ROW()-ROW(Table_Arrow_Coords[[#Headers],[Arrow_X]])-1)/4)+1,MOD(ROW()-ROW(Table_Arrow_Coords[[#Headers],[Arrow_X]])-1,4)+1),NA())</f>
        <v>#N/A</v>
      </c>
      <c r="T434" t="e">
        <f>IFERROR(INDEX(Table_Process_Details[[Y Start]:[Y Intentionally NA]],INT((ROW()-ROW(Table_Arrow_Coords[[#Headers],[Arrow_Y]])-1)/4)+1,MOD(ROW()-ROW(Table_Arrow_Coords[[#Headers],[Arrow_Y]])-1,4)+1),NA())</f>
        <v>#N/A</v>
      </c>
    </row>
    <row r="435" spans="19:20" x14ac:dyDescent="0.25">
      <c r="S435" t="e">
        <f>IFERROR(INDEX(Table_Process_Details[[X Start]:[X Intentionally NA]],INT((ROW()-ROW(Table_Arrow_Coords[[#Headers],[Arrow_X]])-1)/4)+1,MOD(ROW()-ROW(Table_Arrow_Coords[[#Headers],[Arrow_X]])-1,4)+1),NA())</f>
        <v>#N/A</v>
      </c>
      <c r="T435" t="e">
        <f>IFERROR(INDEX(Table_Process_Details[[Y Start]:[Y Intentionally NA]],INT((ROW()-ROW(Table_Arrow_Coords[[#Headers],[Arrow_Y]])-1)/4)+1,MOD(ROW()-ROW(Table_Arrow_Coords[[#Headers],[Arrow_Y]])-1,4)+1),NA())</f>
        <v>#N/A</v>
      </c>
    </row>
    <row r="436" spans="19:20" x14ac:dyDescent="0.25">
      <c r="S436" t="e">
        <f>IFERROR(INDEX(Table_Process_Details[[X Start]:[X Intentionally NA]],INT((ROW()-ROW(Table_Arrow_Coords[[#Headers],[Arrow_X]])-1)/4)+1,MOD(ROW()-ROW(Table_Arrow_Coords[[#Headers],[Arrow_X]])-1,4)+1),NA())</f>
        <v>#N/A</v>
      </c>
      <c r="T436" t="e">
        <f>IFERROR(INDEX(Table_Process_Details[[Y Start]:[Y Intentionally NA]],INT((ROW()-ROW(Table_Arrow_Coords[[#Headers],[Arrow_Y]])-1)/4)+1,MOD(ROW()-ROW(Table_Arrow_Coords[[#Headers],[Arrow_Y]])-1,4)+1),NA())</f>
        <v>#N/A</v>
      </c>
    </row>
    <row r="437" spans="19:20" x14ac:dyDescent="0.25">
      <c r="S437" t="e">
        <f>IFERROR(INDEX(Table_Process_Details[[X Start]:[X Intentionally NA]],INT((ROW()-ROW(Table_Arrow_Coords[[#Headers],[Arrow_X]])-1)/4)+1,MOD(ROW()-ROW(Table_Arrow_Coords[[#Headers],[Arrow_X]])-1,4)+1),NA())</f>
        <v>#N/A</v>
      </c>
      <c r="T437" t="e">
        <f>IFERROR(INDEX(Table_Process_Details[[Y Start]:[Y Intentionally NA]],INT((ROW()-ROW(Table_Arrow_Coords[[#Headers],[Arrow_Y]])-1)/4)+1,MOD(ROW()-ROW(Table_Arrow_Coords[[#Headers],[Arrow_Y]])-1,4)+1),NA())</f>
        <v>#N/A</v>
      </c>
    </row>
    <row r="438" spans="19:20" x14ac:dyDescent="0.25">
      <c r="S438" t="e">
        <f>IFERROR(INDEX(Table_Process_Details[[X Start]:[X Intentionally NA]],INT((ROW()-ROW(Table_Arrow_Coords[[#Headers],[Arrow_X]])-1)/4)+1,MOD(ROW()-ROW(Table_Arrow_Coords[[#Headers],[Arrow_X]])-1,4)+1),NA())</f>
        <v>#N/A</v>
      </c>
      <c r="T438" t="e">
        <f>IFERROR(INDEX(Table_Process_Details[[Y Start]:[Y Intentionally NA]],INT((ROW()-ROW(Table_Arrow_Coords[[#Headers],[Arrow_Y]])-1)/4)+1,MOD(ROW()-ROW(Table_Arrow_Coords[[#Headers],[Arrow_Y]])-1,4)+1),NA())</f>
        <v>#N/A</v>
      </c>
    </row>
    <row r="439" spans="19:20" x14ac:dyDescent="0.25">
      <c r="S439" t="e">
        <f>IFERROR(INDEX(Table_Process_Details[[X Start]:[X Intentionally NA]],INT((ROW()-ROW(Table_Arrow_Coords[[#Headers],[Arrow_X]])-1)/4)+1,MOD(ROW()-ROW(Table_Arrow_Coords[[#Headers],[Arrow_X]])-1,4)+1),NA())</f>
        <v>#N/A</v>
      </c>
      <c r="T439" t="e">
        <f>IFERROR(INDEX(Table_Process_Details[[Y Start]:[Y Intentionally NA]],INT((ROW()-ROW(Table_Arrow_Coords[[#Headers],[Arrow_Y]])-1)/4)+1,MOD(ROW()-ROW(Table_Arrow_Coords[[#Headers],[Arrow_Y]])-1,4)+1),NA())</f>
        <v>#N/A</v>
      </c>
    </row>
    <row r="440" spans="19:20" x14ac:dyDescent="0.25">
      <c r="S440" t="e">
        <f>IFERROR(INDEX(Table_Process_Details[[X Start]:[X Intentionally NA]],INT((ROW()-ROW(Table_Arrow_Coords[[#Headers],[Arrow_X]])-1)/4)+1,MOD(ROW()-ROW(Table_Arrow_Coords[[#Headers],[Arrow_X]])-1,4)+1),NA())</f>
        <v>#N/A</v>
      </c>
      <c r="T440" t="e">
        <f>IFERROR(INDEX(Table_Process_Details[[Y Start]:[Y Intentionally NA]],INT((ROW()-ROW(Table_Arrow_Coords[[#Headers],[Arrow_Y]])-1)/4)+1,MOD(ROW()-ROW(Table_Arrow_Coords[[#Headers],[Arrow_Y]])-1,4)+1),NA())</f>
        <v>#N/A</v>
      </c>
    </row>
    <row r="441" spans="19:20" x14ac:dyDescent="0.25">
      <c r="S441" t="e">
        <f>IFERROR(INDEX(Table_Process_Details[[X Start]:[X Intentionally NA]],INT((ROW()-ROW(Table_Arrow_Coords[[#Headers],[Arrow_X]])-1)/4)+1,MOD(ROW()-ROW(Table_Arrow_Coords[[#Headers],[Arrow_X]])-1,4)+1),NA())</f>
        <v>#N/A</v>
      </c>
      <c r="T441" t="e">
        <f>IFERROR(INDEX(Table_Process_Details[[Y Start]:[Y Intentionally NA]],INT((ROW()-ROW(Table_Arrow_Coords[[#Headers],[Arrow_Y]])-1)/4)+1,MOD(ROW()-ROW(Table_Arrow_Coords[[#Headers],[Arrow_Y]])-1,4)+1),NA())</f>
        <v>#N/A</v>
      </c>
    </row>
    <row r="442" spans="19:20" x14ac:dyDescent="0.25">
      <c r="S442" t="e">
        <f>IFERROR(INDEX(Table_Process_Details[[X Start]:[X Intentionally NA]],INT((ROW()-ROW(Table_Arrow_Coords[[#Headers],[Arrow_X]])-1)/4)+1,MOD(ROW()-ROW(Table_Arrow_Coords[[#Headers],[Arrow_X]])-1,4)+1),NA())</f>
        <v>#N/A</v>
      </c>
      <c r="T442" t="e">
        <f>IFERROR(INDEX(Table_Process_Details[[Y Start]:[Y Intentionally NA]],INT((ROW()-ROW(Table_Arrow_Coords[[#Headers],[Arrow_Y]])-1)/4)+1,MOD(ROW()-ROW(Table_Arrow_Coords[[#Headers],[Arrow_Y]])-1,4)+1),NA())</f>
        <v>#N/A</v>
      </c>
    </row>
    <row r="443" spans="19:20" x14ac:dyDescent="0.25">
      <c r="S443" t="e">
        <f>IFERROR(INDEX(Table_Process_Details[[X Start]:[X Intentionally NA]],INT((ROW()-ROW(Table_Arrow_Coords[[#Headers],[Arrow_X]])-1)/4)+1,MOD(ROW()-ROW(Table_Arrow_Coords[[#Headers],[Arrow_X]])-1,4)+1),NA())</f>
        <v>#N/A</v>
      </c>
      <c r="T443" t="e">
        <f>IFERROR(INDEX(Table_Process_Details[[Y Start]:[Y Intentionally NA]],INT((ROW()-ROW(Table_Arrow_Coords[[#Headers],[Arrow_Y]])-1)/4)+1,MOD(ROW()-ROW(Table_Arrow_Coords[[#Headers],[Arrow_Y]])-1,4)+1),NA())</f>
        <v>#N/A</v>
      </c>
    </row>
    <row r="444" spans="19:20" x14ac:dyDescent="0.25">
      <c r="S444" t="e">
        <f>IFERROR(INDEX(Table_Process_Details[[X Start]:[X Intentionally NA]],INT((ROW()-ROW(Table_Arrow_Coords[[#Headers],[Arrow_X]])-1)/4)+1,MOD(ROW()-ROW(Table_Arrow_Coords[[#Headers],[Arrow_X]])-1,4)+1),NA())</f>
        <v>#N/A</v>
      </c>
      <c r="T444" t="e">
        <f>IFERROR(INDEX(Table_Process_Details[[Y Start]:[Y Intentionally NA]],INT((ROW()-ROW(Table_Arrow_Coords[[#Headers],[Arrow_Y]])-1)/4)+1,MOD(ROW()-ROW(Table_Arrow_Coords[[#Headers],[Arrow_Y]])-1,4)+1),NA())</f>
        <v>#N/A</v>
      </c>
    </row>
    <row r="445" spans="19:20" x14ac:dyDescent="0.25">
      <c r="S445" t="e">
        <f>IFERROR(INDEX(Table_Process_Details[[X Start]:[X Intentionally NA]],INT((ROW()-ROW(Table_Arrow_Coords[[#Headers],[Arrow_X]])-1)/4)+1,MOD(ROW()-ROW(Table_Arrow_Coords[[#Headers],[Arrow_X]])-1,4)+1),NA())</f>
        <v>#N/A</v>
      </c>
      <c r="T445" t="e">
        <f>IFERROR(INDEX(Table_Process_Details[[Y Start]:[Y Intentionally NA]],INT((ROW()-ROW(Table_Arrow_Coords[[#Headers],[Arrow_Y]])-1)/4)+1,MOD(ROW()-ROW(Table_Arrow_Coords[[#Headers],[Arrow_Y]])-1,4)+1),NA())</f>
        <v>#N/A</v>
      </c>
    </row>
    <row r="446" spans="19:20" x14ac:dyDescent="0.25">
      <c r="S446" t="e">
        <f>IFERROR(INDEX(Table_Process_Details[[X Start]:[X Intentionally NA]],INT((ROW()-ROW(Table_Arrow_Coords[[#Headers],[Arrow_X]])-1)/4)+1,MOD(ROW()-ROW(Table_Arrow_Coords[[#Headers],[Arrow_X]])-1,4)+1),NA())</f>
        <v>#N/A</v>
      </c>
      <c r="T446" t="e">
        <f>IFERROR(INDEX(Table_Process_Details[[Y Start]:[Y Intentionally NA]],INT((ROW()-ROW(Table_Arrow_Coords[[#Headers],[Arrow_Y]])-1)/4)+1,MOD(ROW()-ROW(Table_Arrow_Coords[[#Headers],[Arrow_Y]])-1,4)+1),NA())</f>
        <v>#N/A</v>
      </c>
    </row>
    <row r="447" spans="19:20" x14ac:dyDescent="0.25">
      <c r="S447" t="e">
        <f>IFERROR(INDEX(Table_Process_Details[[X Start]:[X Intentionally NA]],INT((ROW()-ROW(Table_Arrow_Coords[[#Headers],[Arrow_X]])-1)/4)+1,MOD(ROW()-ROW(Table_Arrow_Coords[[#Headers],[Arrow_X]])-1,4)+1),NA())</f>
        <v>#N/A</v>
      </c>
      <c r="T447" t="e">
        <f>IFERROR(INDEX(Table_Process_Details[[Y Start]:[Y Intentionally NA]],INT((ROW()-ROW(Table_Arrow_Coords[[#Headers],[Arrow_Y]])-1)/4)+1,MOD(ROW()-ROW(Table_Arrow_Coords[[#Headers],[Arrow_Y]])-1,4)+1),NA())</f>
        <v>#N/A</v>
      </c>
    </row>
    <row r="448" spans="19:20" x14ac:dyDescent="0.25">
      <c r="S448" t="e">
        <f>IFERROR(INDEX(Table_Process_Details[[X Start]:[X Intentionally NA]],INT((ROW()-ROW(Table_Arrow_Coords[[#Headers],[Arrow_X]])-1)/4)+1,MOD(ROW()-ROW(Table_Arrow_Coords[[#Headers],[Arrow_X]])-1,4)+1),NA())</f>
        <v>#N/A</v>
      </c>
      <c r="T448" t="e">
        <f>IFERROR(INDEX(Table_Process_Details[[Y Start]:[Y Intentionally NA]],INT((ROW()-ROW(Table_Arrow_Coords[[#Headers],[Arrow_Y]])-1)/4)+1,MOD(ROW()-ROW(Table_Arrow_Coords[[#Headers],[Arrow_Y]])-1,4)+1),NA())</f>
        <v>#N/A</v>
      </c>
    </row>
    <row r="449" spans="19:20" x14ac:dyDescent="0.25">
      <c r="S449" t="e">
        <f>IFERROR(INDEX(Table_Process_Details[[X Start]:[X Intentionally NA]],INT((ROW()-ROW(Table_Arrow_Coords[[#Headers],[Arrow_X]])-1)/4)+1,MOD(ROW()-ROW(Table_Arrow_Coords[[#Headers],[Arrow_X]])-1,4)+1),NA())</f>
        <v>#N/A</v>
      </c>
      <c r="T449" t="e">
        <f>IFERROR(INDEX(Table_Process_Details[[Y Start]:[Y Intentionally NA]],INT((ROW()-ROW(Table_Arrow_Coords[[#Headers],[Arrow_Y]])-1)/4)+1,MOD(ROW()-ROW(Table_Arrow_Coords[[#Headers],[Arrow_Y]])-1,4)+1),NA())</f>
        <v>#N/A</v>
      </c>
    </row>
    <row r="450" spans="19:20" x14ac:dyDescent="0.25">
      <c r="S450" t="e">
        <f>IFERROR(INDEX(Table_Process_Details[[X Start]:[X Intentionally NA]],INT((ROW()-ROW(Table_Arrow_Coords[[#Headers],[Arrow_X]])-1)/4)+1,MOD(ROW()-ROW(Table_Arrow_Coords[[#Headers],[Arrow_X]])-1,4)+1),NA())</f>
        <v>#N/A</v>
      </c>
      <c r="T450" t="e">
        <f>IFERROR(INDEX(Table_Process_Details[[Y Start]:[Y Intentionally NA]],INT((ROW()-ROW(Table_Arrow_Coords[[#Headers],[Arrow_Y]])-1)/4)+1,MOD(ROW()-ROW(Table_Arrow_Coords[[#Headers],[Arrow_Y]])-1,4)+1),NA())</f>
        <v>#N/A</v>
      </c>
    </row>
    <row r="451" spans="19:20" x14ac:dyDescent="0.25">
      <c r="S451" t="e">
        <f>IFERROR(INDEX(Table_Process_Details[[X Start]:[X Intentionally NA]],INT((ROW()-ROW(Table_Arrow_Coords[[#Headers],[Arrow_X]])-1)/4)+1,MOD(ROW()-ROW(Table_Arrow_Coords[[#Headers],[Arrow_X]])-1,4)+1),NA())</f>
        <v>#N/A</v>
      </c>
      <c r="T451" t="e">
        <f>IFERROR(INDEX(Table_Process_Details[[Y Start]:[Y Intentionally NA]],INT((ROW()-ROW(Table_Arrow_Coords[[#Headers],[Arrow_Y]])-1)/4)+1,MOD(ROW()-ROW(Table_Arrow_Coords[[#Headers],[Arrow_Y]])-1,4)+1),NA())</f>
        <v>#N/A</v>
      </c>
    </row>
    <row r="452" spans="19:20" x14ac:dyDescent="0.25">
      <c r="S452" t="e">
        <f>IFERROR(INDEX(Table_Process_Details[[X Start]:[X Intentionally NA]],INT((ROW()-ROW(Table_Arrow_Coords[[#Headers],[Arrow_X]])-1)/4)+1,MOD(ROW()-ROW(Table_Arrow_Coords[[#Headers],[Arrow_X]])-1,4)+1),NA())</f>
        <v>#N/A</v>
      </c>
      <c r="T452" t="e">
        <f>IFERROR(INDEX(Table_Process_Details[[Y Start]:[Y Intentionally NA]],INT((ROW()-ROW(Table_Arrow_Coords[[#Headers],[Arrow_Y]])-1)/4)+1,MOD(ROW()-ROW(Table_Arrow_Coords[[#Headers],[Arrow_Y]])-1,4)+1),NA())</f>
        <v>#N/A</v>
      </c>
    </row>
    <row r="453" spans="19:20" x14ac:dyDescent="0.25">
      <c r="S453" t="e">
        <f>IFERROR(INDEX(Table_Process_Details[[X Start]:[X Intentionally NA]],INT((ROW()-ROW(Table_Arrow_Coords[[#Headers],[Arrow_X]])-1)/4)+1,MOD(ROW()-ROW(Table_Arrow_Coords[[#Headers],[Arrow_X]])-1,4)+1),NA())</f>
        <v>#N/A</v>
      </c>
      <c r="T453" t="e">
        <f>IFERROR(INDEX(Table_Process_Details[[Y Start]:[Y Intentionally NA]],INT((ROW()-ROW(Table_Arrow_Coords[[#Headers],[Arrow_Y]])-1)/4)+1,MOD(ROW()-ROW(Table_Arrow_Coords[[#Headers],[Arrow_Y]])-1,4)+1),NA())</f>
        <v>#N/A</v>
      </c>
    </row>
    <row r="454" spans="19:20" x14ac:dyDescent="0.25">
      <c r="S454" t="e">
        <f>IFERROR(INDEX(Table_Process_Details[[X Start]:[X Intentionally NA]],INT((ROW()-ROW(Table_Arrow_Coords[[#Headers],[Arrow_X]])-1)/4)+1,MOD(ROW()-ROW(Table_Arrow_Coords[[#Headers],[Arrow_X]])-1,4)+1),NA())</f>
        <v>#N/A</v>
      </c>
      <c r="T454" t="e">
        <f>IFERROR(INDEX(Table_Process_Details[[Y Start]:[Y Intentionally NA]],INT((ROW()-ROW(Table_Arrow_Coords[[#Headers],[Arrow_Y]])-1)/4)+1,MOD(ROW()-ROW(Table_Arrow_Coords[[#Headers],[Arrow_Y]])-1,4)+1),NA())</f>
        <v>#N/A</v>
      </c>
    </row>
    <row r="455" spans="19:20" x14ac:dyDescent="0.25">
      <c r="S455" t="e">
        <f>IFERROR(INDEX(Table_Process_Details[[X Start]:[X Intentionally NA]],INT((ROW()-ROW(Table_Arrow_Coords[[#Headers],[Arrow_X]])-1)/4)+1,MOD(ROW()-ROW(Table_Arrow_Coords[[#Headers],[Arrow_X]])-1,4)+1),NA())</f>
        <v>#N/A</v>
      </c>
      <c r="T455" t="e">
        <f>IFERROR(INDEX(Table_Process_Details[[Y Start]:[Y Intentionally NA]],INT((ROW()-ROW(Table_Arrow_Coords[[#Headers],[Arrow_Y]])-1)/4)+1,MOD(ROW()-ROW(Table_Arrow_Coords[[#Headers],[Arrow_Y]])-1,4)+1),NA())</f>
        <v>#N/A</v>
      </c>
    </row>
    <row r="456" spans="19:20" x14ac:dyDescent="0.25">
      <c r="S456" t="e">
        <f>IFERROR(INDEX(Table_Process_Details[[X Start]:[X Intentionally NA]],INT((ROW()-ROW(Table_Arrow_Coords[[#Headers],[Arrow_X]])-1)/4)+1,MOD(ROW()-ROW(Table_Arrow_Coords[[#Headers],[Arrow_X]])-1,4)+1),NA())</f>
        <v>#N/A</v>
      </c>
      <c r="T456" t="e">
        <f>IFERROR(INDEX(Table_Process_Details[[Y Start]:[Y Intentionally NA]],INT((ROW()-ROW(Table_Arrow_Coords[[#Headers],[Arrow_Y]])-1)/4)+1,MOD(ROW()-ROW(Table_Arrow_Coords[[#Headers],[Arrow_Y]])-1,4)+1),NA())</f>
        <v>#N/A</v>
      </c>
    </row>
    <row r="457" spans="19:20" x14ac:dyDescent="0.25">
      <c r="S457" t="e">
        <f>IFERROR(INDEX(Table_Process_Details[[X Start]:[X Intentionally NA]],INT((ROW()-ROW(Table_Arrow_Coords[[#Headers],[Arrow_X]])-1)/4)+1,MOD(ROW()-ROW(Table_Arrow_Coords[[#Headers],[Arrow_X]])-1,4)+1),NA())</f>
        <v>#N/A</v>
      </c>
      <c r="T457" t="e">
        <f>IFERROR(INDEX(Table_Process_Details[[Y Start]:[Y Intentionally NA]],INT((ROW()-ROW(Table_Arrow_Coords[[#Headers],[Arrow_Y]])-1)/4)+1,MOD(ROW()-ROW(Table_Arrow_Coords[[#Headers],[Arrow_Y]])-1,4)+1),NA())</f>
        <v>#N/A</v>
      </c>
    </row>
    <row r="458" spans="19:20" x14ac:dyDescent="0.25">
      <c r="S458" t="e">
        <f>IFERROR(INDEX(Table_Process_Details[[X Start]:[X Intentionally NA]],INT((ROW()-ROW(Table_Arrow_Coords[[#Headers],[Arrow_X]])-1)/4)+1,MOD(ROW()-ROW(Table_Arrow_Coords[[#Headers],[Arrow_X]])-1,4)+1),NA())</f>
        <v>#N/A</v>
      </c>
      <c r="T458" t="e">
        <f>IFERROR(INDEX(Table_Process_Details[[Y Start]:[Y Intentionally NA]],INT((ROW()-ROW(Table_Arrow_Coords[[#Headers],[Arrow_Y]])-1)/4)+1,MOD(ROW()-ROW(Table_Arrow_Coords[[#Headers],[Arrow_Y]])-1,4)+1),NA())</f>
        <v>#N/A</v>
      </c>
    </row>
    <row r="459" spans="19:20" x14ac:dyDescent="0.25">
      <c r="S459" t="e">
        <f>IFERROR(INDEX(Table_Process_Details[[X Start]:[X Intentionally NA]],INT((ROW()-ROW(Table_Arrow_Coords[[#Headers],[Arrow_X]])-1)/4)+1,MOD(ROW()-ROW(Table_Arrow_Coords[[#Headers],[Arrow_X]])-1,4)+1),NA())</f>
        <v>#N/A</v>
      </c>
      <c r="T459" t="e">
        <f>IFERROR(INDEX(Table_Process_Details[[Y Start]:[Y Intentionally NA]],INT((ROW()-ROW(Table_Arrow_Coords[[#Headers],[Arrow_Y]])-1)/4)+1,MOD(ROW()-ROW(Table_Arrow_Coords[[#Headers],[Arrow_Y]])-1,4)+1),NA())</f>
        <v>#N/A</v>
      </c>
    </row>
    <row r="460" spans="19:20" x14ac:dyDescent="0.25">
      <c r="S460" t="e">
        <f>IFERROR(INDEX(Table_Process_Details[[X Start]:[X Intentionally NA]],INT((ROW()-ROW(Table_Arrow_Coords[[#Headers],[Arrow_X]])-1)/4)+1,MOD(ROW()-ROW(Table_Arrow_Coords[[#Headers],[Arrow_X]])-1,4)+1),NA())</f>
        <v>#N/A</v>
      </c>
      <c r="T460" t="e">
        <f>IFERROR(INDEX(Table_Process_Details[[Y Start]:[Y Intentionally NA]],INT((ROW()-ROW(Table_Arrow_Coords[[#Headers],[Arrow_Y]])-1)/4)+1,MOD(ROW()-ROW(Table_Arrow_Coords[[#Headers],[Arrow_Y]])-1,4)+1),NA())</f>
        <v>#N/A</v>
      </c>
    </row>
    <row r="461" spans="19:20" x14ac:dyDescent="0.25">
      <c r="S461" t="e">
        <f>IFERROR(INDEX(Table_Process_Details[[X Start]:[X Intentionally NA]],INT((ROW()-ROW(Table_Arrow_Coords[[#Headers],[Arrow_X]])-1)/4)+1,MOD(ROW()-ROW(Table_Arrow_Coords[[#Headers],[Arrow_X]])-1,4)+1),NA())</f>
        <v>#N/A</v>
      </c>
      <c r="T461" t="e">
        <f>IFERROR(INDEX(Table_Process_Details[[Y Start]:[Y Intentionally NA]],INT((ROW()-ROW(Table_Arrow_Coords[[#Headers],[Arrow_Y]])-1)/4)+1,MOD(ROW()-ROW(Table_Arrow_Coords[[#Headers],[Arrow_Y]])-1,4)+1),NA())</f>
        <v>#N/A</v>
      </c>
    </row>
    <row r="462" spans="19:20" x14ac:dyDescent="0.25">
      <c r="S462" t="e">
        <f>IFERROR(INDEX(Table_Process_Details[[X Start]:[X Intentionally NA]],INT((ROW()-ROW(Table_Arrow_Coords[[#Headers],[Arrow_X]])-1)/4)+1,MOD(ROW()-ROW(Table_Arrow_Coords[[#Headers],[Arrow_X]])-1,4)+1),NA())</f>
        <v>#N/A</v>
      </c>
      <c r="T462" t="e">
        <f>IFERROR(INDEX(Table_Process_Details[[Y Start]:[Y Intentionally NA]],INT((ROW()-ROW(Table_Arrow_Coords[[#Headers],[Arrow_Y]])-1)/4)+1,MOD(ROW()-ROW(Table_Arrow_Coords[[#Headers],[Arrow_Y]])-1,4)+1),NA())</f>
        <v>#N/A</v>
      </c>
    </row>
    <row r="463" spans="19:20" x14ac:dyDescent="0.25">
      <c r="S463" t="e">
        <f>IFERROR(INDEX(Table_Process_Details[[X Start]:[X Intentionally NA]],INT((ROW()-ROW(Table_Arrow_Coords[[#Headers],[Arrow_X]])-1)/4)+1,MOD(ROW()-ROW(Table_Arrow_Coords[[#Headers],[Arrow_X]])-1,4)+1),NA())</f>
        <v>#N/A</v>
      </c>
      <c r="T463" t="e">
        <f>IFERROR(INDEX(Table_Process_Details[[Y Start]:[Y Intentionally NA]],INT((ROW()-ROW(Table_Arrow_Coords[[#Headers],[Arrow_Y]])-1)/4)+1,MOD(ROW()-ROW(Table_Arrow_Coords[[#Headers],[Arrow_Y]])-1,4)+1),NA())</f>
        <v>#N/A</v>
      </c>
    </row>
    <row r="464" spans="19:20" x14ac:dyDescent="0.25">
      <c r="S464" t="e">
        <f>IFERROR(INDEX(Table_Process_Details[[X Start]:[X Intentionally NA]],INT((ROW()-ROW(Table_Arrow_Coords[[#Headers],[Arrow_X]])-1)/4)+1,MOD(ROW()-ROW(Table_Arrow_Coords[[#Headers],[Arrow_X]])-1,4)+1),NA())</f>
        <v>#N/A</v>
      </c>
      <c r="T464" t="e">
        <f>IFERROR(INDEX(Table_Process_Details[[Y Start]:[Y Intentionally NA]],INT((ROW()-ROW(Table_Arrow_Coords[[#Headers],[Arrow_Y]])-1)/4)+1,MOD(ROW()-ROW(Table_Arrow_Coords[[#Headers],[Arrow_Y]])-1,4)+1),NA())</f>
        <v>#N/A</v>
      </c>
    </row>
    <row r="465" spans="19:20" x14ac:dyDescent="0.25">
      <c r="S465" t="e">
        <f>IFERROR(INDEX(Table_Process_Details[[X Start]:[X Intentionally NA]],INT((ROW()-ROW(Table_Arrow_Coords[[#Headers],[Arrow_X]])-1)/4)+1,MOD(ROW()-ROW(Table_Arrow_Coords[[#Headers],[Arrow_X]])-1,4)+1),NA())</f>
        <v>#N/A</v>
      </c>
      <c r="T465" t="e">
        <f>IFERROR(INDEX(Table_Process_Details[[Y Start]:[Y Intentionally NA]],INT((ROW()-ROW(Table_Arrow_Coords[[#Headers],[Arrow_Y]])-1)/4)+1,MOD(ROW()-ROW(Table_Arrow_Coords[[#Headers],[Arrow_Y]])-1,4)+1),NA())</f>
        <v>#N/A</v>
      </c>
    </row>
    <row r="466" spans="19:20" x14ac:dyDescent="0.25">
      <c r="S466" t="e">
        <f>IFERROR(INDEX(Table_Process_Details[[X Start]:[X Intentionally NA]],INT((ROW()-ROW(Table_Arrow_Coords[[#Headers],[Arrow_X]])-1)/4)+1,MOD(ROW()-ROW(Table_Arrow_Coords[[#Headers],[Arrow_X]])-1,4)+1),NA())</f>
        <v>#N/A</v>
      </c>
      <c r="T466" t="e">
        <f>IFERROR(INDEX(Table_Process_Details[[Y Start]:[Y Intentionally NA]],INT((ROW()-ROW(Table_Arrow_Coords[[#Headers],[Arrow_Y]])-1)/4)+1,MOD(ROW()-ROW(Table_Arrow_Coords[[#Headers],[Arrow_Y]])-1,4)+1),NA())</f>
        <v>#N/A</v>
      </c>
    </row>
    <row r="467" spans="19:20" x14ac:dyDescent="0.25">
      <c r="S467" t="e">
        <f>IFERROR(INDEX(Table_Process_Details[[X Start]:[X Intentionally NA]],INT((ROW()-ROW(Table_Arrow_Coords[[#Headers],[Arrow_X]])-1)/4)+1,MOD(ROW()-ROW(Table_Arrow_Coords[[#Headers],[Arrow_X]])-1,4)+1),NA())</f>
        <v>#N/A</v>
      </c>
      <c r="T467" t="e">
        <f>IFERROR(INDEX(Table_Process_Details[[Y Start]:[Y Intentionally NA]],INT((ROW()-ROW(Table_Arrow_Coords[[#Headers],[Arrow_Y]])-1)/4)+1,MOD(ROW()-ROW(Table_Arrow_Coords[[#Headers],[Arrow_Y]])-1,4)+1),NA())</f>
        <v>#N/A</v>
      </c>
    </row>
    <row r="468" spans="19:20" x14ac:dyDescent="0.25">
      <c r="S468" t="e">
        <f>IFERROR(INDEX(Table_Process_Details[[X Start]:[X Intentionally NA]],INT((ROW()-ROW(Table_Arrow_Coords[[#Headers],[Arrow_X]])-1)/4)+1,MOD(ROW()-ROW(Table_Arrow_Coords[[#Headers],[Arrow_X]])-1,4)+1),NA())</f>
        <v>#N/A</v>
      </c>
      <c r="T468" t="e">
        <f>IFERROR(INDEX(Table_Process_Details[[Y Start]:[Y Intentionally NA]],INT((ROW()-ROW(Table_Arrow_Coords[[#Headers],[Arrow_Y]])-1)/4)+1,MOD(ROW()-ROW(Table_Arrow_Coords[[#Headers],[Arrow_Y]])-1,4)+1),NA())</f>
        <v>#N/A</v>
      </c>
    </row>
    <row r="469" spans="19:20" x14ac:dyDescent="0.25">
      <c r="S469" t="e">
        <f>IFERROR(INDEX(Table_Process_Details[[X Start]:[X Intentionally NA]],INT((ROW()-ROW(Table_Arrow_Coords[[#Headers],[Arrow_X]])-1)/4)+1,MOD(ROW()-ROW(Table_Arrow_Coords[[#Headers],[Arrow_X]])-1,4)+1),NA())</f>
        <v>#N/A</v>
      </c>
      <c r="T469" t="e">
        <f>IFERROR(INDEX(Table_Process_Details[[Y Start]:[Y Intentionally NA]],INT((ROW()-ROW(Table_Arrow_Coords[[#Headers],[Arrow_Y]])-1)/4)+1,MOD(ROW()-ROW(Table_Arrow_Coords[[#Headers],[Arrow_Y]])-1,4)+1),NA())</f>
        <v>#N/A</v>
      </c>
    </row>
    <row r="470" spans="19:20" x14ac:dyDescent="0.25">
      <c r="S470" t="e">
        <f>IFERROR(INDEX(Table_Process_Details[[X Start]:[X Intentionally NA]],INT((ROW()-ROW(Table_Arrow_Coords[[#Headers],[Arrow_X]])-1)/4)+1,MOD(ROW()-ROW(Table_Arrow_Coords[[#Headers],[Arrow_X]])-1,4)+1),NA())</f>
        <v>#N/A</v>
      </c>
      <c r="T470" t="e">
        <f>IFERROR(INDEX(Table_Process_Details[[Y Start]:[Y Intentionally NA]],INT((ROW()-ROW(Table_Arrow_Coords[[#Headers],[Arrow_Y]])-1)/4)+1,MOD(ROW()-ROW(Table_Arrow_Coords[[#Headers],[Arrow_Y]])-1,4)+1),NA())</f>
        <v>#N/A</v>
      </c>
    </row>
    <row r="471" spans="19:20" x14ac:dyDescent="0.25">
      <c r="S471" t="e">
        <f>IFERROR(INDEX(Table_Process_Details[[X Start]:[X Intentionally NA]],INT((ROW()-ROW(Table_Arrow_Coords[[#Headers],[Arrow_X]])-1)/4)+1,MOD(ROW()-ROW(Table_Arrow_Coords[[#Headers],[Arrow_X]])-1,4)+1),NA())</f>
        <v>#N/A</v>
      </c>
      <c r="T471" t="e">
        <f>IFERROR(INDEX(Table_Process_Details[[Y Start]:[Y Intentionally NA]],INT((ROW()-ROW(Table_Arrow_Coords[[#Headers],[Arrow_Y]])-1)/4)+1,MOD(ROW()-ROW(Table_Arrow_Coords[[#Headers],[Arrow_Y]])-1,4)+1),NA())</f>
        <v>#N/A</v>
      </c>
    </row>
    <row r="472" spans="19:20" x14ac:dyDescent="0.25">
      <c r="S472" t="e">
        <f>IFERROR(INDEX(Table_Process_Details[[X Start]:[X Intentionally NA]],INT((ROW()-ROW(Table_Arrow_Coords[[#Headers],[Arrow_X]])-1)/4)+1,MOD(ROW()-ROW(Table_Arrow_Coords[[#Headers],[Arrow_X]])-1,4)+1),NA())</f>
        <v>#N/A</v>
      </c>
      <c r="T472" t="e">
        <f>IFERROR(INDEX(Table_Process_Details[[Y Start]:[Y Intentionally NA]],INT((ROW()-ROW(Table_Arrow_Coords[[#Headers],[Arrow_Y]])-1)/4)+1,MOD(ROW()-ROW(Table_Arrow_Coords[[#Headers],[Arrow_Y]])-1,4)+1),NA())</f>
        <v>#N/A</v>
      </c>
    </row>
    <row r="473" spans="19:20" x14ac:dyDescent="0.25">
      <c r="S473" t="e">
        <f>IFERROR(INDEX(Table_Process_Details[[X Start]:[X Intentionally NA]],INT((ROW()-ROW(Table_Arrow_Coords[[#Headers],[Arrow_X]])-1)/4)+1,MOD(ROW()-ROW(Table_Arrow_Coords[[#Headers],[Arrow_X]])-1,4)+1),NA())</f>
        <v>#N/A</v>
      </c>
      <c r="T473" t="e">
        <f>IFERROR(INDEX(Table_Process_Details[[Y Start]:[Y Intentionally NA]],INT((ROW()-ROW(Table_Arrow_Coords[[#Headers],[Arrow_Y]])-1)/4)+1,MOD(ROW()-ROW(Table_Arrow_Coords[[#Headers],[Arrow_Y]])-1,4)+1),NA())</f>
        <v>#N/A</v>
      </c>
    </row>
    <row r="474" spans="19:20" x14ac:dyDescent="0.25">
      <c r="S474" t="e">
        <f>IFERROR(INDEX(Table_Process_Details[[X Start]:[X Intentionally NA]],INT((ROW()-ROW(Table_Arrow_Coords[[#Headers],[Arrow_X]])-1)/4)+1,MOD(ROW()-ROW(Table_Arrow_Coords[[#Headers],[Arrow_X]])-1,4)+1),NA())</f>
        <v>#N/A</v>
      </c>
      <c r="T474" t="e">
        <f>IFERROR(INDEX(Table_Process_Details[[Y Start]:[Y Intentionally NA]],INT((ROW()-ROW(Table_Arrow_Coords[[#Headers],[Arrow_Y]])-1)/4)+1,MOD(ROW()-ROW(Table_Arrow_Coords[[#Headers],[Arrow_Y]])-1,4)+1),NA())</f>
        <v>#N/A</v>
      </c>
    </row>
    <row r="475" spans="19:20" x14ac:dyDescent="0.25">
      <c r="S475" t="e">
        <f>IFERROR(INDEX(Table_Process_Details[[X Start]:[X Intentionally NA]],INT((ROW()-ROW(Table_Arrow_Coords[[#Headers],[Arrow_X]])-1)/4)+1,MOD(ROW()-ROW(Table_Arrow_Coords[[#Headers],[Arrow_X]])-1,4)+1),NA())</f>
        <v>#N/A</v>
      </c>
      <c r="T475" t="e">
        <f>IFERROR(INDEX(Table_Process_Details[[Y Start]:[Y Intentionally NA]],INT((ROW()-ROW(Table_Arrow_Coords[[#Headers],[Arrow_Y]])-1)/4)+1,MOD(ROW()-ROW(Table_Arrow_Coords[[#Headers],[Arrow_Y]])-1,4)+1),NA())</f>
        <v>#N/A</v>
      </c>
    </row>
    <row r="476" spans="19:20" x14ac:dyDescent="0.25">
      <c r="S476" t="e">
        <f>IFERROR(INDEX(Table_Process_Details[[X Start]:[X Intentionally NA]],INT((ROW()-ROW(Table_Arrow_Coords[[#Headers],[Arrow_X]])-1)/4)+1,MOD(ROW()-ROW(Table_Arrow_Coords[[#Headers],[Arrow_X]])-1,4)+1),NA())</f>
        <v>#N/A</v>
      </c>
      <c r="T476" t="e">
        <f>IFERROR(INDEX(Table_Process_Details[[Y Start]:[Y Intentionally NA]],INT((ROW()-ROW(Table_Arrow_Coords[[#Headers],[Arrow_Y]])-1)/4)+1,MOD(ROW()-ROW(Table_Arrow_Coords[[#Headers],[Arrow_Y]])-1,4)+1),NA())</f>
        <v>#N/A</v>
      </c>
    </row>
    <row r="477" spans="19:20" x14ac:dyDescent="0.25">
      <c r="S477" t="e">
        <f>IFERROR(INDEX(Table_Process_Details[[X Start]:[X Intentionally NA]],INT((ROW()-ROW(Table_Arrow_Coords[[#Headers],[Arrow_X]])-1)/4)+1,MOD(ROW()-ROW(Table_Arrow_Coords[[#Headers],[Arrow_X]])-1,4)+1),NA())</f>
        <v>#N/A</v>
      </c>
      <c r="T477" t="e">
        <f>IFERROR(INDEX(Table_Process_Details[[Y Start]:[Y Intentionally NA]],INT((ROW()-ROW(Table_Arrow_Coords[[#Headers],[Arrow_Y]])-1)/4)+1,MOD(ROW()-ROW(Table_Arrow_Coords[[#Headers],[Arrow_Y]])-1,4)+1),NA())</f>
        <v>#N/A</v>
      </c>
    </row>
    <row r="478" spans="19:20" x14ac:dyDescent="0.25">
      <c r="S478" t="e">
        <f>IFERROR(INDEX(Table_Process_Details[[X Start]:[X Intentionally NA]],INT((ROW()-ROW(Table_Arrow_Coords[[#Headers],[Arrow_X]])-1)/4)+1,MOD(ROW()-ROW(Table_Arrow_Coords[[#Headers],[Arrow_X]])-1,4)+1),NA())</f>
        <v>#N/A</v>
      </c>
      <c r="T478" t="e">
        <f>IFERROR(INDEX(Table_Process_Details[[Y Start]:[Y Intentionally NA]],INT((ROW()-ROW(Table_Arrow_Coords[[#Headers],[Arrow_Y]])-1)/4)+1,MOD(ROW()-ROW(Table_Arrow_Coords[[#Headers],[Arrow_Y]])-1,4)+1),NA())</f>
        <v>#N/A</v>
      </c>
    </row>
    <row r="479" spans="19:20" x14ac:dyDescent="0.25">
      <c r="S479" t="e">
        <f>IFERROR(INDEX(Table_Process_Details[[X Start]:[X Intentionally NA]],INT((ROW()-ROW(Table_Arrow_Coords[[#Headers],[Arrow_X]])-1)/4)+1,MOD(ROW()-ROW(Table_Arrow_Coords[[#Headers],[Arrow_X]])-1,4)+1),NA())</f>
        <v>#N/A</v>
      </c>
      <c r="T479" t="e">
        <f>IFERROR(INDEX(Table_Process_Details[[Y Start]:[Y Intentionally NA]],INT((ROW()-ROW(Table_Arrow_Coords[[#Headers],[Arrow_Y]])-1)/4)+1,MOD(ROW()-ROW(Table_Arrow_Coords[[#Headers],[Arrow_Y]])-1,4)+1),NA())</f>
        <v>#N/A</v>
      </c>
    </row>
    <row r="480" spans="19:20" x14ac:dyDescent="0.25">
      <c r="S480" t="e">
        <f>IFERROR(INDEX(Table_Process_Details[[X Start]:[X Intentionally NA]],INT((ROW()-ROW(Table_Arrow_Coords[[#Headers],[Arrow_X]])-1)/4)+1,MOD(ROW()-ROW(Table_Arrow_Coords[[#Headers],[Arrow_X]])-1,4)+1),NA())</f>
        <v>#N/A</v>
      </c>
      <c r="T480" t="e">
        <f>IFERROR(INDEX(Table_Process_Details[[Y Start]:[Y Intentionally NA]],INT((ROW()-ROW(Table_Arrow_Coords[[#Headers],[Arrow_Y]])-1)/4)+1,MOD(ROW()-ROW(Table_Arrow_Coords[[#Headers],[Arrow_Y]])-1,4)+1),NA())</f>
        <v>#N/A</v>
      </c>
    </row>
    <row r="481" spans="19:20" x14ac:dyDescent="0.25">
      <c r="S481" t="e">
        <f>IFERROR(INDEX(Table_Process_Details[[X Start]:[X Intentionally NA]],INT((ROW()-ROW(Table_Arrow_Coords[[#Headers],[Arrow_X]])-1)/4)+1,MOD(ROW()-ROW(Table_Arrow_Coords[[#Headers],[Arrow_X]])-1,4)+1),NA())</f>
        <v>#N/A</v>
      </c>
      <c r="T481" t="e">
        <f>IFERROR(INDEX(Table_Process_Details[[Y Start]:[Y Intentionally NA]],INT((ROW()-ROW(Table_Arrow_Coords[[#Headers],[Arrow_Y]])-1)/4)+1,MOD(ROW()-ROW(Table_Arrow_Coords[[#Headers],[Arrow_Y]])-1,4)+1),NA())</f>
        <v>#N/A</v>
      </c>
    </row>
    <row r="482" spans="19:20" x14ac:dyDescent="0.25">
      <c r="S482" t="e">
        <f>IFERROR(INDEX(Table_Process_Details[[X Start]:[X Intentionally NA]],INT((ROW()-ROW(Table_Arrow_Coords[[#Headers],[Arrow_X]])-1)/4)+1,MOD(ROW()-ROW(Table_Arrow_Coords[[#Headers],[Arrow_X]])-1,4)+1),NA())</f>
        <v>#N/A</v>
      </c>
      <c r="T482" t="e">
        <f>IFERROR(INDEX(Table_Process_Details[[Y Start]:[Y Intentionally NA]],INT((ROW()-ROW(Table_Arrow_Coords[[#Headers],[Arrow_Y]])-1)/4)+1,MOD(ROW()-ROW(Table_Arrow_Coords[[#Headers],[Arrow_Y]])-1,4)+1),NA())</f>
        <v>#N/A</v>
      </c>
    </row>
    <row r="483" spans="19:20" x14ac:dyDescent="0.25">
      <c r="S483" t="e">
        <f>IFERROR(INDEX(Table_Process_Details[[X Start]:[X Intentionally NA]],INT((ROW()-ROW(Table_Arrow_Coords[[#Headers],[Arrow_X]])-1)/4)+1,MOD(ROW()-ROW(Table_Arrow_Coords[[#Headers],[Arrow_X]])-1,4)+1),NA())</f>
        <v>#N/A</v>
      </c>
      <c r="T483" t="e">
        <f>IFERROR(INDEX(Table_Process_Details[[Y Start]:[Y Intentionally NA]],INT((ROW()-ROW(Table_Arrow_Coords[[#Headers],[Arrow_Y]])-1)/4)+1,MOD(ROW()-ROW(Table_Arrow_Coords[[#Headers],[Arrow_Y]])-1,4)+1),NA())</f>
        <v>#N/A</v>
      </c>
    </row>
    <row r="484" spans="19:20" x14ac:dyDescent="0.25">
      <c r="S484" t="e">
        <f>IFERROR(INDEX(Table_Process_Details[[X Start]:[X Intentionally NA]],INT((ROW()-ROW(Table_Arrow_Coords[[#Headers],[Arrow_X]])-1)/4)+1,MOD(ROW()-ROW(Table_Arrow_Coords[[#Headers],[Arrow_X]])-1,4)+1),NA())</f>
        <v>#N/A</v>
      </c>
      <c r="T484" t="e">
        <f>IFERROR(INDEX(Table_Process_Details[[Y Start]:[Y Intentionally NA]],INT((ROW()-ROW(Table_Arrow_Coords[[#Headers],[Arrow_Y]])-1)/4)+1,MOD(ROW()-ROW(Table_Arrow_Coords[[#Headers],[Arrow_Y]])-1,4)+1),NA())</f>
        <v>#N/A</v>
      </c>
    </row>
    <row r="485" spans="19:20" x14ac:dyDescent="0.25">
      <c r="S485" t="e">
        <f>IFERROR(INDEX(Table_Process_Details[[X Start]:[X Intentionally NA]],INT((ROW()-ROW(Table_Arrow_Coords[[#Headers],[Arrow_X]])-1)/4)+1,MOD(ROW()-ROW(Table_Arrow_Coords[[#Headers],[Arrow_X]])-1,4)+1),NA())</f>
        <v>#N/A</v>
      </c>
      <c r="T485" t="e">
        <f>IFERROR(INDEX(Table_Process_Details[[Y Start]:[Y Intentionally NA]],INT((ROW()-ROW(Table_Arrow_Coords[[#Headers],[Arrow_Y]])-1)/4)+1,MOD(ROW()-ROW(Table_Arrow_Coords[[#Headers],[Arrow_Y]])-1,4)+1),NA())</f>
        <v>#N/A</v>
      </c>
    </row>
    <row r="486" spans="19:20" x14ac:dyDescent="0.25">
      <c r="S486" t="e">
        <f>IFERROR(INDEX(Table_Process_Details[[X Start]:[X Intentionally NA]],INT((ROW()-ROW(Table_Arrow_Coords[[#Headers],[Arrow_X]])-1)/4)+1,MOD(ROW()-ROW(Table_Arrow_Coords[[#Headers],[Arrow_X]])-1,4)+1),NA())</f>
        <v>#N/A</v>
      </c>
      <c r="T486" t="e">
        <f>IFERROR(INDEX(Table_Process_Details[[Y Start]:[Y Intentionally NA]],INT((ROW()-ROW(Table_Arrow_Coords[[#Headers],[Arrow_Y]])-1)/4)+1,MOD(ROW()-ROW(Table_Arrow_Coords[[#Headers],[Arrow_Y]])-1,4)+1),NA())</f>
        <v>#N/A</v>
      </c>
    </row>
    <row r="487" spans="19:20" x14ac:dyDescent="0.25">
      <c r="S487" t="e">
        <f>IFERROR(INDEX(Table_Process_Details[[X Start]:[X Intentionally NA]],INT((ROW()-ROW(Table_Arrow_Coords[[#Headers],[Arrow_X]])-1)/4)+1,MOD(ROW()-ROW(Table_Arrow_Coords[[#Headers],[Arrow_X]])-1,4)+1),NA())</f>
        <v>#N/A</v>
      </c>
      <c r="T487" t="e">
        <f>IFERROR(INDEX(Table_Process_Details[[Y Start]:[Y Intentionally NA]],INT((ROW()-ROW(Table_Arrow_Coords[[#Headers],[Arrow_Y]])-1)/4)+1,MOD(ROW()-ROW(Table_Arrow_Coords[[#Headers],[Arrow_Y]])-1,4)+1),NA())</f>
        <v>#N/A</v>
      </c>
    </row>
    <row r="488" spans="19:20" x14ac:dyDescent="0.25">
      <c r="S488" t="e">
        <f>IFERROR(INDEX(Table_Process_Details[[X Start]:[X Intentionally NA]],INT((ROW()-ROW(Table_Arrow_Coords[[#Headers],[Arrow_X]])-1)/4)+1,MOD(ROW()-ROW(Table_Arrow_Coords[[#Headers],[Arrow_X]])-1,4)+1),NA())</f>
        <v>#N/A</v>
      </c>
      <c r="T488" t="e">
        <f>IFERROR(INDEX(Table_Process_Details[[Y Start]:[Y Intentionally NA]],INT((ROW()-ROW(Table_Arrow_Coords[[#Headers],[Arrow_Y]])-1)/4)+1,MOD(ROW()-ROW(Table_Arrow_Coords[[#Headers],[Arrow_Y]])-1,4)+1),NA())</f>
        <v>#N/A</v>
      </c>
    </row>
    <row r="489" spans="19:20" x14ac:dyDescent="0.25">
      <c r="S489" t="e">
        <f>IFERROR(INDEX(Table_Process_Details[[X Start]:[X Intentionally NA]],INT((ROW()-ROW(Table_Arrow_Coords[[#Headers],[Arrow_X]])-1)/4)+1,MOD(ROW()-ROW(Table_Arrow_Coords[[#Headers],[Arrow_X]])-1,4)+1),NA())</f>
        <v>#N/A</v>
      </c>
      <c r="T489" t="e">
        <f>IFERROR(INDEX(Table_Process_Details[[Y Start]:[Y Intentionally NA]],INT((ROW()-ROW(Table_Arrow_Coords[[#Headers],[Arrow_Y]])-1)/4)+1,MOD(ROW()-ROW(Table_Arrow_Coords[[#Headers],[Arrow_Y]])-1,4)+1),NA())</f>
        <v>#N/A</v>
      </c>
    </row>
    <row r="490" spans="19:20" x14ac:dyDescent="0.25">
      <c r="S490" t="e">
        <f>IFERROR(INDEX(Table_Process_Details[[X Start]:[X Intentionally NA]],INT((ROW()-ROW(Table_Arrow_Coords[[#Headers],[Arrow_X]])-1)/4)+1,MOD(ROW()-ROW(Table_Arrow_Coords[[#Headers],[Arrow_X]])-1,4)+1),NA())</f>
        <v>#N/A</v>
      </c>
      <c r="T490" t="e">
        <f>IFERROR(INDEX(Table_Process_Details[[Y Start]:[Y Intentionally NA]],INT((ROW()-ROW(Table_Arrow_Coords[[#Headers],[Arrow_Y]])-1)/4)+1,MOD(ROW()-ROW(Table_Arrow_Coords[[#Headers],[Arrow_Y]])-1,4)+1),NA())</f>
        <v>#N/A</v>
      </c>
    </row>
    <row r="491" spans="19:20" x14ac:dyDescent="0.25">
      <c r="S491" t="e">
        <f>IFERROR(INDEX(Table_Process_Details[[X Start]:[X Intentionally NA]],INT((ROW()-ROW(Table_Arrow_Coords[[#Headers],[Arrow_X]])-1)/4)+1,MOD(ROW()-ROW(Table_Arrow_Coords[[#Headers],[Arrow_X]])-1,4)+1),NA())</f>
        <v>#N/A</v>
      </c>
      <c r="T491" t="e">
        <f>IFERROR(INDEX(Table_Process_Details[[Y Start]:[Y Intentionally NA]],INT((ROW()-ROW(Table_Arrow_Coords[[#Headers],[Arrow_Y]])-1)/4)+1,MOD(ROW()-ROW(Table_Arrow_Coords[[#Headers],[Arrow_Y]])-1,4)+1),NA())</f>
        <v>#N/A</v>
      </c>
    </row>
    <row r="492" spans="19:20" x14ac:dyDescent="0.25">
      <c r="S492" t="e">
        <f>IFERROR(INDEX(Table_Process_Details[[X Start]:[X Intentionally NA]],INT((ROW()-ROW(Table_Arrow_Coords[[#Headers],[Arrow_X]])-1)/4)+1,MOD(ROW()-ROW(Table_Arrow_Coords[[#Headers],[Arrow_X]])-1,4)+1),NA())</f>
        <v>#N/A</v>
      </c>
      <c r="T492" t="e">
        <f>IFERROR(INDEX(Table_Process_Details[[Y Start]:[Y Intentionally NA]],INT((ROW()-ROW(Table_Arrow_Coords[[#Headers],[Arrow_Y]])-1)/4)+1,MOD(ROW()-ROW(Table_Arrow_Coords[[#Headers],[Arrow_Y]])-1,4)+1),NA())</f>
        <v>#N/A</v>
      </c>
    </row>
    <row r="493" spans="19:20" x14ac:dyDescent="0.25">
      <c r="S493" t="e">
        <f>IFERROR(INDEX(Table_Process_Details[[X Start]:[X Intentionally NA]],INT((ROW()-ROW(Table_Arrow_Coords[[#Headers],[Arrow_X]])-1)/4)+1,MOD(ROW()-ROW(Table_Arrow_Coords[[#Headers],[Arrow_X]])-1,4)+1),NA())</f>
        <v>#N/A</v>
      </c>
      <c r="T493" t="e">
        <f>IFERROR(INDEX(Table_Process_Details[[Y Start]:[Y Intentionally NA]],INT((ROW()-ROW(Table_Arrow_Coords[[#Headers],[Arrow_Y]])-1)/4)+1,MOD(ROW()-ROW(Table_Arrow_Coords[[#Headers],[Arrow_Y]])-1,4)+1),NA())</f>
        <v>#N/A</v>
      </c>
    </row>
    <row r="494" spans="19:20" x14ac:dyDescent="0.25">
      <c r="S494" t="e">
        <f>IFERROR(INDEX(Table_Process_Details[[X Start]:[X Intentionally NA]],INT((ROW()-ROW(Table_Arrow_Coords[[#Headers],[Arrow_X]])-1)/4)+1,MOD(ROW()-ROW(Table_Arrow_Coords[[#Headers],[Arrow_X]])-1,4)+1),NA())</f>
        <v>#N/A</v>
      </c>
      <c r="T494" t="e">
        <f>IFERROR(INDEX(Table_Process_Details[[Y Start]:[Y Intentionally NA]],INT((ROW()-ROW(Table_Arrow_Coords[[#Headers],[Arrow_Y]])-1)/4)+1,MOD(ROW()-ROW(Table_Arrow_Coords[[#Headers],[Arrow_Y]])-1,4)+1),NA())</f>
        <v>#N/A</v>
      </c>
    </row>
    <row r="495" spans="19:20" x14ac:dyDescent="0.25">
      <c r="S495" t="e">
        <f>IFERROR(INDEX(Table_Process_Details[[X Start]:[X Intentionally NA]],INT((ROW()-ROW(Table_Arrow_Coords[[#Headers],[Arrow_X]])-1)/4)+1,MOD(ROW()-ROW(Table_Arrow_Coords[[#Headers],[Arrow_X]])-1,4)+1),NA())</f>
        <v>#N/A</v>
      </c>
      <c r="T495" t="e">
        <f>IFERROR(INDEX(Table_Process_Details[[Y Start]:[Y Intentionally NA]],INT((ROW()-ROW(Table_Arrow_Coords[[#Headers],[Arrow_Y]])-1)/4)+1,MOD(ROW()-ROW(Table_Arrow_Coords[[#Headers],[Arrow_Y]])-1,4)+1),NA())</f>
        <v>#N/A</v>
      </c>
    </row>
    <row r="496" spans="19:20" x14ac:dyDescent="0.25">
      <c r="S496" t="e">
        <f>IFERROR(INDEX(Table_Process_Details[[X Start]:[X Intentionally NA]],INT((ROW()-ROW(Table_Arrow_Coords[[#Headers],[Arrow_X]])-1)/4)+1,MOD(ROW()-ROW(Table_Arrow_Coords[[#Headers],[Arrow_X]])-1,4)+1),NA())</f>
        <v>#N/A</v>
      </c>
      <c r="T496" t="e">
        <f>IFERROR(INDEX(Table_Process_Details[[Y Start]:[Y Intentionally NA]],INT((ROW()-ROW(Table_Arrow_Coords[[#Headers],[Arrow_Y]])-1)/4)+1,MOD(ROW()-ROW(Table_Arrow_Coords[[#Headers],[Arrow_Y]])-1,4)+1),NA())</f>
        <v>#N/A</v>
      </c>
    </row>
    <row r="497" spans="19:20" x14ac:dyDescent="0.25">
      <c r="S497" t="e">
        <f>IFERROR(INDEX(Table_Process_Details[[X Start]:[X Intentionally NA]],INT((ROW()-ROW(Table_Arrow_Coords[[#Headers],[Arrow_X]])-1)/4)+1,MOD(ROW()-ROW(Table_Arrow_Coords[[#Headers],[Arrow_X]])-1,4)+1),NA())</f>
        <v>#N/A</v>
      </c>
      <c r="T497" t="e">
        <f>IFERROR(INDEX(Table_Process_Details[[Y Start]:[Y Intentionally NA]],INT((ROW()-ROW(Table_Arrow_Coords[[#Headers],[Arrow_Y]])-1)/4)+1,MOD(ROW()-ROW(Table_Arrow_Coords[[#Headers],[Arrow_Y]])-1,4)+1),NA())</f>
        <v>#N/A</v>
      </c>
    </row>
    <row r="498" spans="19:20" x14ac:dyDescent="0.25">
      <c r="S498" t="e">
        <f>IFERROR(INDEX(Table_Process_Details[[X Start]:[X Intentionally NA]],INT((ROW()-ROW(Table_Arrow_Coords[[#Headers],[Arrow_X]])-1)/4)+1,MOD(ROW()-ROW(Table_Arrow_Coords[[#Headers],[Arrow_X]])-1,4)+1),NA())</f>
        <v>#N/A</v>
      </c>
      <c r="T498" t="e">
        <f>IFERROR(INDEX(Table_Process_Details[[Y Start]:[Y Intentionally NA]],INT((ROW()-ROW(Table_Arrow_Coords[[#Headers],[Arrow_Y]])-1)/4)+1,MOD(ROW()-ROW(Table_Arrow_Coords[[#Headers],[Arrow_Y]])-1,4)+1),NA())</f>
        <v>#N/A</v>
      </c>
    </row>
    <row r="499" spans="19:20" x14ac:dyDescent="0.25">
      <c r="S499" t="e">
        <f>IFERROR(INDEX(Table_Process_Details[[X Start]:[X Intentionally NA]],INT((ROW()-ROW(Table_Arrow_Coords[[#Headers],[Arrow_X]])-1)/4)+1,MOD(ROW()-ROW(Table_Arrow_Coords[[#Headers],[Arrow_X]])-1,4)+1),NA())</f>
        <v>#N/A</v>
      </c>
      <c r="T499" t="e">
        <f>IFERROR(INDEX(Table_Process_Details[[Y Start]:[Y Intentionally NA]],INT((ROW()-ROW(Table_Arrow_Coords[[#Headers],[Arrow_Y]])-1)/4)+1,MOD(ROW()-ROW(Table_Arrow_Coords[[#Headers],[Arrow_Y]])-1,4)+1),NA())</f>
        <v>#N/A</v>
      </c>
    </row>
    <row r="500" spans="19:20" x14ac:dyDescent="0.25">
      <c r="S500" t="e">
        <f>IFERROR(INDEX(Table_Process_Details[[X Start]:[X Intentionally NA]],INT((ROW()-ROW(Table_Arrow_Coords[[#Headers],[Arrow_X]])-1)/4)+1,MOD(ROW()-ROW(Table_Arrow_Coords[[#Headers],[Arrow_X]])-1,4)+1),NA())</f>
        <v>#N/A</v>
      </c>
      <c r="T500" t="e">
        <f>IFERROR(INDEX(Table_Process_Details[[Y Start]:[Y Intentionally NA]],INT((ROW()-ROW(Table_Arrow_Coords[[#Headers],[Arrow_Y]])-1)/4)+1,MOD(ROW()-ROW(Table_Arrow_Coords[[#Headers],[Arrow_Y]])-1,4)+1),NA())</f>
        <v>#N/A</v>
      </c>
    </row>
    <row r="501" spans="19:20" x14ac:dyDescent="0.25">
      <c r="S501" t="e">
        <f>IFERROR(INDEX(Table_Process_Details[[X Start]:[X Intentionally NA]],INT((ROW()-ROW(Table_Arrow_Coords[[#Headers],[Arrow_X]])-1)/4)+1,MOD(ROW()-ROW(Table_Arrow_Coords[[#Headers],[Arrow_X]])-1,4)+1),NA())</f>
        <v>#N/A</v>
      </c>
      <c r="T501" t="e">
        <f>IFERROR(INDEX(Table_Process_Details[[Y Start]:[Y Intentionally NA]],INT((ROW()-ROW(Table_Arrow_Coords[[#Headers],[Arrow_Y]])-1)/4)+1,MOD(ROW()-ROW(Table_Arrow_Coords[[#Headers],[Arrow_Y]])-1,4)+1),NA())</f>
        <v>#N/A</v>
      </c>
    </row>
    <row r="502" spans="19:20" x14ac:dyDescent="0.25">
      <c r="S502" t="e">
        <f>IFERROR(INDEX(Table_Process_Details[[X Start]:[X Intentionally NA]],INT((ROW()-ROW(Table_Arrow_Coords[[#Headers],[Arrow_X]])-1)/4)+1,MOD(ROW()-ROW(Table_Arrow_Coords[[#Headers],[Arrow_X]])-1,4)+1),NA())</f>
        <v>#N/A</v>
      </c>
      <c r="T502" t="e">
        <f>IFERROR(INDEX(Table_Process_Details[[Y Start]:[Y Intentionally NA]],INT((ROW()-ROW(Table_Arrow_Coords[[#Headers],[Arrow_Y]])-1)/4)+1,MOD(ROW()-ROW(Table_Arrow_Coords[[#Headers],[Arrow_Y]])-1,4)+1),NA())</f>
        <v>#N/A</v>
      </c>
    </row>
    <row r="503" spans="19:20" x14ac:dyDescent="0.25">
      <c r="S503" t="e">
        <f>IFERROR(INDEX(Table_Process_Details[[X Start]:[X Intentionally NA]],INT((ROW()-ROW(Table_Arrow_Coords[[#Headers],[Arrow_X]])-1)/4)+1,MOD(ROW()-ROW(Table_Arrow_Coords[[#Headers],[Arrow_X]])-1,4)+1),NA())</f>
        <v>#N/A</v>
      </c>
      <c r="T503" t="e">
        <f>IFERROR(INDEX(Table_Process_Details[[Y Start]:[Y Intentionally NA]],INT((ROW()-ROW(Table_Arrow_Coords[[#Headers],[Arrow_Y]])-1)/4)+1,MOD(ROW()-ROW(Table_Arrow_Coords[[#Headers],[Arrow_Y]])-1,4)+1),NA())</f>
        <v>#N/A</v>
      </c>
    </row>
    <row r="504" spans="19:20" x14ac:dyDescent="0.25">
      <c r="S504" t="e">
        <f>IFERROR(INDEX(Table_Process_Details[[X Start]:[X Intentionally NA]],INT((ROW()-ROW(Table_Arrow_Coords[[#Headers],[Arrow_X]])-1)/4)+1,MOD(ROW()-ROW(Table_Arrow_Coords[[#Headers],[Arrow_X]])-1,4)+1),NA())</f>
        <v>#N/A</v>
      </c>
      <c r="T504" t="e">
        <f>IFERROR(INDEX(Table_Process_Details[[Y Start]:[Y Intentionally NA]],INT((ROW()-ROW(Table_Arrow_Coords[[#Headers],[Arrow_Y]])-1)/4)+1,MOD(ROW()-ROW(Table_Arrow_Coords[[#Headers],[Arrow_Y]])-1,4)+1),NA())</f>
        <v>#N/A</v>
      </c>
    </row>
    <row r="505" spans="19:20" x14ac:dyDescent="0.25">
      <c r="S505" t="e">
        <f>IFERROR(INDEX(Table_Process_Details[[X Start]:[X Intentionally NA]],INT((ROW()-ROW(Table_Arrow_Coords[[#Headers],[Arrow_X]])-1)/4)+1,MOD(ROW()-ROW(Table_Arrow_Coords[[#Headers],[Arrow_X]])-1,4)+1),NA())</f>
        <v>#N/A</v>
      </c>
      <c r="T505" t="e">
        <f>IFERROR(INDEX(Table_Process_Details[[Y Start]:[Y Intentionally NA]],INT((ROW()-ROW(Table_Arrow_Coords[[#Headers],[Arrow_Y]])-1)/4)+1,MOD(ROW()-ROW(Table_Arrow_Coords[[#Headers],[Arrow_Y]])-1,4)+1),NA())</f>
        <v>#N/A</v>
      </c>
    </row>
  </sheetData>
  <pageMargins left="0.7" right="0.7" top="0.75" bottom="0.75" header="0.3" footer="0.3"/>
  <pageSetup orientation="portrait" r:id="rId1"/>
  <legacyDrawing r:id="rId2"/>
  <tableParts count="9">
    <tablePart r:id="rId3"/>
    <tablePart r:id="rId4"/>
    <tablePart r:id="rId5"/>
    <tablePart r:id="rId6"/>
    <tablePart r:id="rId7"/>
    <tablePart r:id="rId8"/>
    <tablePart r:id="rId9"/>
    <tablePart r:id="rId10"/>
    <tablePart r:id="rId1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919F-813E-4797-B416-72E6D2B728D5}">
  <sheetPr codeName="Sheet5">
    <tabColor rgb="FF4C7389"/>
    <pageSetUpPr autoPageBreaks="0"/>
  </sheetPr>
  <dimension ref="B1:K68"/>
  <sheetViews>
    <sheetView topLeftCell="B1" workbookViewId="0">
      <selection activeCell="E3" sqref="E3"/>
    </sheetView>
  </sheetViews>
  <sheetFormatPr defaultRowHeight="15" x14ac:dyDescent="0.25"/>
  <cols>
    <col min="2" max="2" width="44.7109375" bestFit="1" customWidth="1"/>
    <col min="3" max="3" width="10" bestFit="1" customWidth="1"/>
    <col min="4" max="4" width="9.140625" bestFit="1" customWidth="1"/>
    <col min="5" max="6" width="23.42578125" bestFit="1" customWidth="1"/>
    <col min="7" max="7" width="22" bestFit="1" customWidth="1"/>
    <col min="8" max="8" width="28.7109375" bestFit="1" customWidth="1"/>
    <col min="9" max="9" width="35.5703125" bestFit="1" customWidth="1"/>
    <col min="10" max="10" width="23.42578125" bestFit="1" customWidth="1"/>
    <col min="11" max="11" width="44.7109375" bestFit="1" customWidth="1"/>
  </cols>
  <sheetData>
    <row r="1" spans="2:11" x14ac:dyDescent="0.25">
      <c r="B1" t="s">
        <v>285</v>
      </c>
    </row>
    <row r="2" spans="2:11" x14ac:dyDescent="0.25">
      <c r="B2" s="162" t="s">
        <v>6</v>
      </c>
      <c r="C2" s="162"/>
      <c r="D2" s="162"/>
      <c r="E2" s="162"/>
      <c r="F2" s="162"/>
      <c r="G2" s="162"/>
      <c r="H2" s="162"/>
      <c r="I2" s="162"/>
      <c r="J2" s="162"/>
      <c r="K2" s="162"/>
    </row>
    <row r="3" spans="2:11" ht="90" x14ac:dyDescent="0.25">
      <c r="E3" s="44" t="s">
        <v>741</v>
      </c>
      <c r="F3" t="s">
        <v>29</v>
      </c>
      <c r="G3" t="s">
        <v>30</v>
      </c>
      <c r="H3" t="s">
        <v>31</v>
      </c>
      <c r="I3" t="s">
        <v>31</v>
      </c>
      <c r="J3" t="s">
        <v>29</v>
      </c>
      <c r="K3" t="s">
        <v>742</v>
      </c>
    </row>
    <row r="4" spans="2:11" x14ac:dyDescent="0.25">
      <c r="B4" t="s">
        <v>21</v>
      </c>
      <c r="C4" t="s">
        <v>9</v>
      </c>
      <c r="D4" t="s">
        <v>10</v>
      </c>
      <c r="E4" t="s">
        <v>23</v>
      </c>
      <c r="F4" t="s">
        <v>24</v>
      </c>
      <c r="G4" t="s">
        <v>25</v>
      </c>
      <c r="H4" t="s">
        <v>26</v>
      </c>
      <c r="I4" t="s">
        <v>27</v>
      </c>
      <c r="J4" t="s">
        <v>28</v>
      </c>
      <c r="K4" t="s">
        <v>676</v>
      </c>
    </row>
    <row r="5" spans="2:11" x14ac:dyDescent="0.25">
      <c r="B5" s="3" t="s">
        <v>11</v>
      </c>
      <c r="C5" s="5">
        <v>0.81</v>
      </c>
      <c r="D5" s="5" t="s">
        <v>16</v>
      </c>
      <c r="E5" s="8">
        <v>1.8266275000000001</v>
      </c>
      <c r="F5" s="8">
        <v>81.026713999999998</v>
      </c>
      <c r="G5" s="8">
        <v>2.6089470000000001</v>
      </c>
      <c r="H5" s="9">
        <v>6.8231383E-3</v>
      </c>
      <c r="I5" s="9">
        <v>2.0198920000000001E-3</v>
      </c>
      <c r="J5" s="8">
        <v>4.9695999999999998</v>
      </c>
      <c r="K5" s="10" t="s">
        <v>679</v>
      </c>
    </row>
    <row r="6" spans="2:11" x14ac:dyDescent="0.25">
      <c r="B6" s="3" t="s">
        <v>12</v>
      </c>
      <c r="C6" s="5">
        <v>0.88249999999999995</v>
      </c>
      <c r="D6" s="5" t="s">
        <v>17</v>
      </c>
      <c r="E6" s="8">
        <v>2.4690175000000001</v>
      </c>
      <c r="F6" s="8">
        <v>95.950246000000007</v>
      </c>
      <c r="G6" s="8">
        <v>3.5353813999999999</v>
      </c>
      <c r="H6" s="9">
        <v>1.0858422E-2</v>
      </c>
      <c r="I6" s="9">
        <v>3.8920167000000001E-3</v>
      </c>
      <c r="J6" s="8">
        <v>10.35355</v>
      </c>
      <c r="K6" s="10" t="s">
        <v>680</v>
      </c>
    </row>
    <row r="7" spans="2:11" x14ac:dyDescent="0.25">
      <c r="B7" s="3" t="s">
        <v>13</v>
      </c>
      <c r="C7" s="5">
        <v>1.03</v>
      </c>
      <c r="D7" s="6" t="s">
        <v>18</v>
      </c>
      <c r="E7" s="8">
        <v>2.5850070000000001</v>
      </c>
      <c r="F7" s="8">
        <v>87.114219000000006</v>
      </c>
      <c r="G7" s="8">
        <v>3.9422928000000002</v>
      </c>
      <c r="H7" s="9">
        <v>1.2561905999999999E-2</v>
      </c>
      <c r="I7" s="9">
        <v>4.8895966999999999E-2</v>
      </c>
      <c r="J7" s="8">
        <v>14.34158</v>
      </c>
      <c r="K7" s="10" t="s">
        <v>681</v>
      </c>
    </row>
    <row r="8" spans="2:11" x14ac:dyDescent="0.25">
      <c r="B8" s="4" t="s">
        <v>14</v>
      </c>
      <c r="C8" s="5">
        <v>0.81399999999999995</v>
      </c>
      <c r="D8" s="5" t="s">
        <v>19</v>
      </c>
      <c r="E8" s="8">
        <v>2.4368675</v>
      </c>
      <c r="F8" s="8">
        <v>101.01528999999999</v>
      </c>
      <c r="G8" s="8">
        <v>4.5347147999999997</v>
      </c>
      <c r="H8" s="9">
        <v>1.2674229E-2</v>
      </c>
      <c r="I8" s="9">
        <v>3.3654052000000002E-3</v>
      </c>
      <c r="J8" s="8">
        <v>10.05743</v>
      </c>
      <c r="K8" s="10" t="s">
        <v>682</v>
      </c>
    </row>
    <row r="9" spans="2:11" x14ac:dyDescent="0.25">
      <c r="B9" s="3" t="s">
        <v>15</v>
      </c>
      <c r="C9" s="5">
        <v>0.80300000000000005</v>
      </c>
      <c r="D9" s="5" t="s">
        <v>20</v>
      </c>
      <c r="E9" s="8">
        <v>2.9086335000000001</v>
      </c>
      <c r="F9" s="8">
        <v>105.99708</v>
      </c>
      <c r="G9" s="8">
        <v>3.8062140000000002</v>
      </c>
      <c r="H9" s="9">
        <v>1.4328952000000001E-2</v>
      </c>
      <c r="I9" s="9">
        <v>5.7574527000000004E-3</v>
      </c>
      <c r="J9" s="8">
        <v>16.615829999999999</v>
      </c>
      <c r="K9" s="10" t="s">
        <v>683</v>
      </c>
    </row>
    <row r="10" spans="2:11" x14ac:dyDescent="0.25">
      <c r="B10" s="4" t="s">
        <v>32</v>
      </c>
      <c r="C10" s="5">
        <v>0.80600000000000005</v>
      </c>
      <c r="D10" s="6" t="s">
        <v>33</v>
      </c>
      <c r="E10" s="8">
        <v>2.2949874000000001</v>
      </c>
      <c r="F10" s="8">
        <v>98.843307999999993</v>
      </c>
      <c r="G10" s="8">
        <v>4.0254935999999999</v>
      </c>
      <c r="H10" s="9">
        <v>1.0602811E-2</v>
      </c>
      <c r="I10" s="9">
        <v>2.3858803E-3</v>
      </c>
      <c r="J10" s="8">
        <v>19.843499999999999</v>
      </c>
      <c r="K10" s="10" t="s">
        <v>684</v>
      </c>
    </row>
    <row r="11" spans="2:11" x14ac:dyDescent="0.25">
      <c r="B11" s="4" t="s">
        <v>34</v>
      </c>
      <c r="C11" s="5">
        <v>0.81499999999999995</v>
      </c>
      <c r="D11" s="6" t="s">
        <v>35</v>
      </c>
      <c r="E11" s="8">
        <v>2.4368591999999998</v>
      </c>
      <c r="F11" s="8">
        <v>101.01488999999999</v>
      </c>
      <c r="G11" s="8">
        <v>4.5346108000000003</v>
      </c>
      <c r="H11" s="9">
        <v>1.2674104E-2</v>
      </c>
      <c r="I11" s="9">
        <v>3.3652933999999998E-3</v>
      </c>
      <c r="J11" s="8">
        <v>10.057130000000001</v>
      </c>
      <c r="K11" s="10" t="s">
        <v>685</v>
      </c>
    </row>
    <row r="12" spans="2:11" x14ac:dyDescent="0.25">
      <c r="B12" s="3" t="s">
        <v>36</v>
      </c>
      <c r="C12" s="5">
        <v>0.80200000000000005</v>
      </c>
      <c r="D12" s="5" t="s">
        <v>37</v>
      </c>
      <c r="E12" s="8">
        <v>1.8265558</v>
      </c>
      <c r="F12" s="8">
        <v>81.023651000000001</v>
      </c>
      <c r="G12" s="8">
        <v>2.6088350999999999</v>
      </c>
      <c r="H12" s="9">
        <v>6.8228200999999999E-3</v>
      </c>
      <c r="I12" s="9">
        <v>2.0198293E-3</v>
      </c>
      <c r="J12" s="8">
        <v>4.9693699999999996</v>
      </c>
      <c r="K12" s="10" t="s">
        <v>686</v>
      </c>
    </row>
    <row r="13" spans="2:11" x14ac:dyDescent="0.25">
      <c r="B13" s="4" t="s">
        <v>38</v>
      </c>
      <c r="C13" s="5">
        <v>0.65300000000000002</v>
      </c>
      <c r="D13" s="6" t="s">
        <v>39</v>
      </c>
      <c r="E13" s="8">
        <v>1.7638252999999999</v>
      </c>
      <c r="F13" s="8">
        <v>66.338201999999995</v>
      </c>
      <c r="G13" s="8">
        <v>1.1827535</v>
      </c>
      <c r="H13" s="9">
        <v>8.4484412999999998E-3</v>
      </c>
      <c r="I13" s="9">
        <v>2.2993826999999998E-3</v>
      </c>
      <c r="J13" s="8">
        <v>6.933859</v>
      </c>
      <c r="K13" s="10" t="s">
        <v>687</v>
      </c>
    </row>
    <row r="14" spans="2:11" x14ac:dyDescent="0.25">
      <c r="B14" s="3" t="s">
        <v>40</v>
      </c>
      <c r="C14" s="5">
        <v>0.78600000000000003</v>
      </c>
      <c r="D14" s="5" t="s">
        <v>41</v>
      </c>
      <c r="E14" s="8">
        <v>1.4435939</v>
      </c>
      <c r="F14" s="8">
        <v>62.750433000000001</v>
      </c>
      <c r="G14" s="8">
        <v>1.8481797</v>
      </c>
      <c r="H14" s="9">
        <v>7.7436759999999997E-3</v>
      </c>
      <c r="I14" s="9">
        <v>4.2209470999999997E-3</v>
      </c>
      <c r="J14" s="8">
        <v>17.318069999999999</v>
      </c>
      <c r="K14" s="10" t="s">
        <v>688</v>
      </c>
    </row>
    <row r="15" spans="2:11" x14ac:dyDescent="0.25">
      <c r="B15" s="3" t="s">
        <v>42</v>
      </c>
      <c r="C15" s="5">
        <v>0.81</v>
      </c>
      <c r="D15" s="5" t="s">
        <v>43</v>
      </c>
      <c r="E15" s="8">
        <v>2.4369741</v>
      </c>
      <c r="F15" s="8">
        <v>101.02025</v>
      </c>
      <c r="G15" s="8">
        <v>4.5347273000000001</v>
      </c>
      <c r="H15" s="9">
        <v>1.2674405E-2</v>
      </c>
      <c r="I15" s="9">
        <v>3.3654196999999999E-3</v>
      </c>
      <c r="J15" s="8">
        <v>10.05744</v>
      </c>
      <c r="K15" s="10" t="s">
        <v>689</v>
      </c>
    </row>
    <row r="16" spans="2:11" x14ac:dyDescent="0.25">
      <c r="B16" s="3" t="s">
        <v>44</v>
      </c>
      <c r="C16" s="5">
        <v>0.80200000000000005</v>
      </c>
      <c r="D16" s="5" t="s">
        <v>45</v>
      </c>
      <c r="E16" s="8">
        <v>2.6720554000000001</v>
      </c>
      <c r="F16" s="8">
        <v>114.57762</v>
      </c>
      <c r="G16" s="8">
        <v>4.1416433000000001</v>
      </c>
      <c r="H16" s="9">
        <v>1.8802391000000002E-2</v>
      </c>
      <c r="I16" s="9">
        <v>1.5561679E-2</v>
      </c>
      <c r="J16" s="8">
        <v>9.5545200000000001</v>
      </c>
      <c r="K16" s="10" t="s">
        <v>690</v>
      </c>
    </row>
    <row r="17" spans="2:11" x14ac:dyDescent="0.25">
      <c r="B17" s="4" t="s">
        <v>46</v>
      </c>
      <c r="C17" s="5">
        <v>0.78800000000000003</v>
      </c>
      <c r="D17" s="6" t="s">
        <v>47</v>
      </c>
      <c r="E17" s="8">
        <v>1.2071137999999999</v>
      </c>
      <c r="F17" s="8">
        <v>51.330531000000001</v>
      </c>
      <c r="G17" s="8">
        <v>1.3696419</v>
      </c>
      <c r="H17" s="9">
        <v>4.8723202000000004E-3</v>
      </c>
      <c r="I17" s="9">
        <v>9.7589602999999996E-4</v>
      </c>
      <c r="J17" s="8">
        <v>2.4913702</v>
      </c>
      <c r="K17" s="10" t="s">
        <v>691</v>
      </c>
    </row>
    <row r="18" spans="2:11" x14ac:dyDescent="0.25">
      <c r="B18" s="3" t="s">
        <v>48</v>
      </c>
      <c r="C18" s="5">
        <v>1.05</v>
      </c>
      <c r="D18" s="5" t="s">
        <v>49</v>
      </c>
      <c r="E18" s="8">
        <v>1.4673864999999999</v>
      </c>
      <c r="F18" s="8">
        <v>53.351762000000001</v>
      </c>
      <c r="G18" s="8">
        <v>1.5429349000000001</v>
      </c>
      <c r="H18" s="9">
        <v>6.3820088999999997E-3</v>
      </c>
      <c r="I18" s="9">
        <v>3.0455332000000001E-3</v>
      </c>
      <c r="J18" s="8">
        <v>8.84558</v>
      </c>
      <c r="K18" s="10" t="s">
        <v>692</v>
      </c>
    </row>
    <row r="19" spans="2:11" x14ac:dyDescent="0.25">
      <c r="B19" s="3" t="s">
        <v>50</v>
      </c>
      <c r="C19" s="5">
        <v>0.78400000000000003</v>
      </c>
      <c r="D19" s="5" t="s">
        <v>51</v>
      </c>
      <c r="E19" s="8">
        <v>1.3947503999999999</v>
      </c>
      <c r="F19" s="8">
        <v>67.376226000000003</v>
      </c>
      <c r="G19" s="8">
        <v>2.2325891000000002</v>
      </c>
      <c r="H19" s="9">
        <v>1.0610221E-2</v>
      </c>
      <c r="I19" s="9">
        <v>1.1087387E-3</v>
      </c>
      <c r="J19" s="8">
        <v>3.2578070000000001</v>
      </c>
      <c r="K19" s="10" t="s">
        <v>693</v>
      </c>
    </row>
    <row r="20" spans="2:11" x14ac:dyDescent="0.25">
      <c r="B20" s="4" t="s">
        <v>52</v>
      </c>
      <c r="C20" s="5">
        <v>0.78600000000000003</v>
      </c>
      <c r="D20" s="5" t="s">
        <v>53</v>
      </c>
      <c r="E20" s="8">
        <v>2.0349157</v>
      </c>
      <c r="F20" s="8">
        <v>86.671193000000002</v>
      </c>
      <c r="G20" s="8">
        <v>3.0474101999999998</v>
      </c>
      <c r="H20" s="9">
        <v>1.4095072E-2</v>
      </c>
      <c r="I20" s="9">
        <v>8.3054054000000002E-3</v>
      </c>
      <c r="J20" s="8">
        <v>11.94215</v>
      </c>
      <c r="K20" s="10" t="s">
        <v>694</v>
      </c>
    </row>
    <row r="21" spans="2:11" x14ac:dyDescent="0.25">
      <c r="B21" s="4" t="s">
        <v>54</v>
      </c>
      <c r="C21" s="5">
        <v>0.876</v>
      </c>
      <c r="D21" s="6" t="s">
        <v>55</v>
      </c>
      <c r="E21" s="8">
        <v>1.3581228000000001</v>
      </c>
      <c r="F21" s="8">
        <v>67.655203999999998</v>
      </c>
      <c r="G21" s="8">
        <v>1.7888805999999999</v>
      </c>
      <c r="H21" s="9">
        <v>6.5079926E-3</v>
      </c>
      <c r="I21" s="9">
        <v>4.3112488000000002E-4</v>
      </c>
      <c r="J21" s="8">
        <v>1.1663760999999999</v>
      </c>
      <c r="K21" s="10" t="s">
        <v>695</v>
      </c>
    </row>
    <row r="22" spans="2:11" x14ac:dyDescent="0.25">
      <c r="B22" s="4" t="s">
        <v>56</v>
      </c>
      <c r="C22" s="5">
        <v>1.04</v>
      </c>
      <c r="D22" s="6" t="s">
        <v>57</v>
      </c>
      <c r="E22" s="8">
        <v>4.4773717</v>
      </c>
      <c r="F22" s="8">
        <v>100.47552</v>
      </c>
      <c r="G22" s="8">
        <v>4.1413900999999997</v>
      </c>
      <c r="H22" s="9">
        <v>1.5237545E-2</v>
      </c>
      <c r="I22" s="9">
        <v>5.9242276999999996E-3</v>
      </c>
      <c r="J22" s="8">
        <v>42.540999999999997</v>
      </c>
      <c r="K22" s="10" t="s">
        <v>696</v>
      </c>
    </row>
    <row r="23" spans="2:11" x14ac:dyDescent="0.25">
      <c r="B23" s="4" t="s">
        <v>58</v>
      </c>
      <c r="C23" s="5">
        <v>1.1000000000000001</v>
      </c>
      <c r="D23" s="6" t="s">
        <v>59</v>
      </c>
      <c r="E23" s="8">
        <v>2.4055064000000002</v>
      </c>
      <c r="F23" s="8">
        <v>72.473871000000003</v>
      </c>
      <c r="G23" s="8">
        <v>2.5173847</v>
      </c>
      <c r="H23" s="9">
        <v>8.2147482999999997E-3</v>
      </c>
      <c r="I23" s="9">
        <v>3.4602472000000001E-3</v>
      </c>
      <c r="J23" s="8">
        <v>11.37172</v>
      </c>
      <c r="K23" s="10" t="s">
        <v>697</v>
      </c>
    </row>
    <row r="24" spans="2:11" x14ac:dyDescent="0.25">
      <c r="B24" s="4" t="s">
        <v>60</v>
      </c>
      <c r="C24" s="5">
        <v>1.59</v>
      </c>
      <c r="D24" s="6" t="s">
        <v>61</v>
      </c>
      <c r="E24" s="8">
        <v>1.6348632000000001</v>
      </c>
      <c r="F24" s="8">
        <v>34.858317</v>
      </c>
      <c r="G24" s="8">
        <v>1.6440638999999999</v>
      </c>
      <c r="H24" s="9">
        <v>1.2178504999999999E-2</v>
      </c>
      <c r="I24" s="9">
        <v>1.1812871999999999E-3</v>
      </c>
      <c r="J24" s="8">
        <v>9.3516133999999997</v>
      </c>
      <c r="K24" s="10" t="s">
        <v>698</v>
      </c>
    </row>
    <row r="25" spans="2:11" x14ac:dyDescent="0.25">
      <c r="B25" s="4" t="s">
        <v>62</v>
      </c>
      <c r="C25" s="5">
        <v>1.58</v>
      </c>
      <c r="D25" s="6" t="s">
        <v>63</v>
      </c>
      <c r="E25" s="8">
        <v>2.5988338999999998</v>
      </c>
      <c r="F25" s="8">
        <v>57.413929000000003</v>
      </c>
      <c r="G25" s="8">
        <v>2.1405485999999998</v>
      </c>
      <c r="H25" s="9">
        <v>9.5096667000000006E-3</v>
      </c>
      <c r="I25" s="9">
        <v>5.3049376999999998E-3</v>
      </c>
      <c r="J25" s="8">
        <v>18.236459</v>
      </c>
      <c r="K25" s="10" t="s">
        <v>699</v>
      </c>
    </row>
    <row r="26" spans="2:11" x14ac:dyDescent="0.25">
      <c r="B26" s="4" t="s">
        <v>64</v>
      </c>
      <c r="C26" s="5">
        <v>0.77900000000000003</v>
      </c>
      <c r="D26" s="5" t="s">
        <v>65</v>
      </c>
      <c r="E26" s="8">
        <v>1.7032551</v>
      </c>
      <c r="F26" s="8">
        <v>76.649219000000002</v>
      </c>
      <c r="G26" s="8">
        <v>2.3098467999999999</v>
      </c>
      <c r="H26" s="9">
        <v>8.0872127000000005E-3</v>
      </c>
      <c r="I26" s="9">
        <v>1.1501838E-3</v>
      </c>
      <c r="J26" s="8">
        <v>4.1013700000000002</v>
      </c>
      <c r="K26" s="10" t="s">
        <v>700</v>
      </c>
    </row>
    <row r="27" spans="2:11" x14ac:dyDescent="0.25">
      <c r="B27" s="4" t="s">
        <v>66</v>
      </c>
      <c r="C27" s="5">
        <v>0.96199999999999997</v>
      </c>
      <c r="D27" s="6" t="s">
        <v>67</v>
      </c>
      <c r="E27" s="8">
        <v>2.3517347000000002</v>
      </c>
      <c r="F27" s="8">
        <v>94.646046999999996</v>
      </c>
      <c r="G27" s="8">
        <v>3.0898037999999999</v>
      </c>
      <c r="H27" s="9">
        <v>1.0096740999999999E-2</v>
      </c>
      <c r="I27" s="9">
        <v>3.2097507000000002E-3</v>
      </c>
      <c r="J27" s="8">
        <v>26.671379999999999</v>
      </c>
      <c r="K27" s="10" t="s">
        <v>701</v>
      </c>
    </row>
    <row r="28" spans="2:11" x14ac:dyDescent="0.25">
      <c r="B28" s="4" t="s">
        <v>68</v>
      </c>
      <c r="C28" s="5">
        <v>0.94799999999999995</v>
      </c>
      <c r="D28" s="6" t="s">
        <v>69</v>
      </c>
      <c r="E28" s="8">
        <v>2.6531889999999998</v>
      </c>
      <c r="F28" s="8">
        <v>107.56086999999999</v>
      </c>
      <c r="G28" s="8">
        <v>4.3994327000000002</v>
      </c>
      <c r="H28" s="9">
        <v>1.4103815E-2</v>
      </c>
      <c r="I28" s="9">
        <v>3.2757988000000002E-3</v>
      </c>
      <c r="J28" s="8">
        <v>8.2338000000000005</v>
      </c>
      <c r="K28" s="10" t="s">
        <v>702</v>
      </c>
    </row>
    <row r="29" spans="2:11" x14ac:dyDescent="0.25">
      <c r="B29" s="3" t="s">
        <v>70</v>
      </c>
      <c r="C29" s="5">
        <v>1.33</v>
      </c>
      <c r="D29" s="5" t="s">
        <v>71</v>
      </c>
      <c r="E29" s="8">
        <v>2.0203869000000001</v>
      </c>
      <c r="F29" s="8">
        <v>40.564081000000002</v>
      </c>
      <c r="G29" s="8">
        <v>3.3926037999999998</v>
      </c>
      <c r="H29" s="9">
        <v>2.2789599000000001E-2</v>
      </c>
      <c r="I29" s="9">
        <v>2.1155594000000001E-3</v>
      </c>
      <c r="J29" s="8">
        <v>5.6757257000000001</v>
      </c>
      <c r="K29" s="10" t="s">
        <v>703</v>
      </c>
    </row>
    <row r="30" spans="2:11" x14ac:dyDescent="0.25">
      <c r="B30" s="4" t="s">
        <v>72</v>
      </c>
      <c r="C30" s="5">
        <v>1.0900000000000001</v>
      </c>
      <c r="D30" s="6" t="s">
        <v>73</v>
      </c>
      <c r="E30" s="8">
        <v>2.5343889000000002</v>
      </c>
      <c r="F30" s="8">
        <v>96.590501000000003</v>
      </c>
      <c r="G30" s="8">
        <v>3.6570621999999999</v>
      </c>
      <c r="H30" s="9">
        <v>1.3948431000000001E-2</v>
      </c>
      <c r="I30" s="9">
        <v>6.1292784999999999E-3</v>
      </c>
      <c r="J30" s="8">
        <v>11.099773000000001</v>
      </c>
      <c r="K30" s="10" t="s">
        <v>704</v>
      </c>
    </row>
    <row r="31" spans="2:11" x14ac:dyDescent="0.25">
      <c r="B31" s="3" t="s">
        <v>74</v>
      </c>
      <c r="C31" s="5">
        <v>0.71299999999999997</v>
      </c>
      <c r="D31" s="5" t="s">
        <v>75</v>
      </c>
      <c r="E31" s="8">
        <v>1.0933147999999999</v>
      </c>
      <c r="F31" s="8">
        <v>47.769697000000001</v>
      </c>
      <c r="G31" s="8">
        <v>1.2474889</v>
      </c>
      <c r="H31" s="9">
        <v>3.611717E-3</v>
      </c>
      <c r="I31" s="9">
        <v>1.7070557999999999E-3</v>
      </c>
      <c r="J31" s="8">
        <v>3.0981100000000001</v>
      </c>
      <c r="K31" s="10" t="s">
        <v>705</v>
      </c>
    </row>
    <row r="32" spans="2:11" x14ac:dyDescent="0.25">
      <c r="B32" s="4" t="s">
        <v>76</v>
      </c>
      <c r="C32" s="5">
        <v>1.1200000000000001</v>
      </c>
      <c r="D32" s="6" t="s">
        <v>77</v>
      </c>
      <c r="E32" s="8">
        <v>0.93422444000000004</v>
      </c>
      <c r="F32" s="8">
        <v>35.441583999999999</v>
      </c>
      <c r="G32" s="8">
        <v>1.067358</v>
      </c>
      <c r="H32" s="9">
        <v>3.5805873000000002E-3</v>
      </c>
      <c r="I32" s="9">
        <v>1.5597911999999999E-3</v>
      </c>
      <c r="J32" s="8">
        <v>8.4342401999999996</v>
      </c>
      <c r="K32" s="10" t="s">
        <v>706</v>
      </c>
    </row>
    <row r="33" spans="2:11" x14ac:dyDescent="0.25">
      <c r="B33" s="3" t="s">
        <v>78</v>
      </c>
      <c r="C33" s="5">
        <v>2.11</v>
      </c>
      <c r="D33" s="5" t="s">
        <v>79</v>
      </c>
      <c r="E33" s="8">
        <v>1.4081277999999999</v>
      </c>
      <c r="F33" s="8">
        <v>63.022345999999999</v>
      </c>
      <c r="G33" s="8">
        <v>1.5177205</v>
      </c>
      <c r="H33" s="9">
        <v>3.4036026000000001E-3</v>
      </c>
      <c r="I33" s="9">
        <v>1.8081312E-3</v>
      </c>
      <c r="J33" s="8">
        <v>11.23808</v>
      </c>
      <c r="K33" s="10" t="s">
        <v>707</v>
      </c>
    </row>
    <row r="34" spans="2:11" x14ac:dyDescent="0.25">
      <c r="B34" s="3" t="s">
        <v>80</v>
      </c>
      <c r="C34" s="5">
        <v>1.1000000000000001</v>
      </c>
      <c r="D34" s="5" t="s">
        <v>81</v>
      </c>
      <c r="E34" s="8">
        <v>1.7152289999999999</v>
      </c>
      <c r="F34" s="8">
        <v>46.043156000000003</v>
      </c>
      <c r="G34" s="8">
        <v>1.3019982999999999</v>
      </c>
      <c r="H34" s="9">
        <v>4.7655691E-2</v>
      </c>
      <c r="I34" s="9">
        <v>1.9021577E-3</v>
      </c>
      <c r="J34" s="8">
        <v>5.2576200000000002</v>
      </c>
      <c r="K34" s="10" t="s">
        <v>708</v>
      </c>
    </row>
    <row r="35" spans="2:11" x14ac:dyDescent="0.25">
      <c r="B35" s="3" t="s">
        <v>82</v>
      </c>
      <c r="C35" s="5">
        <v>0.94</v>
      </c>
      <c r="D35" s="5" t="s">
        <v>83</v>
      </c>
      <c r="E35" s="8">
        <v>1.9850516</v>
      </c>
      <c r="F35" s="8">
        <v>69.194125999999997</v>
      </c>
      <c r="G35" s="8">
        <v>2.3245550000000001</v>
      </c>
      <c r="H35" s="9">
        <v>8.7943594999999996E-3</v>
      </c>
      <c r="I35" s="9">
        <v>7.5687978000000003E-2</v>
      </c>
      <c r="J35" s="8">
        <v>11.34219</v>
      </c>
      <c r="K35" s="10" t="s">
        <v>709</v>
      </c>
    </row>
    <row r="36" spans="2:11" x14ac:dyDescent="0.25">
      <c r="B36" s="4" t="s">
        <v>84</v>
      </c>
      <c r="C36" s="5">
        <v>0.67</v>
      </c>
      <c r="D36" s="6" t="s">
        <v>85</v>
      </c>
      <c r="E36" s="8">
        <v>1.0062283000000001</v>
      </c>
      <c r="F36" s="8">
        <v>41.135821999999997</v>
      </c>
      <c r="G36" s="8">
        <v>1.2802868000000001</v>
      </c>
      <c r="H36" s="9">
        <v>4.8103944999999997E-3</v>
      </c>
      <c r="I36" s="9">
        <v>0.13282473</v>
      </c>
      <c r="J36" s="8">
        <v>4.4576599999999997</v>
      </c>
      <c r="K36" s="10" t="s">
        <v>710</v>
      </c>
    </row>
    <row r="37" spans="2:11" x14ac:dyDescent="0.25">
      <c r="B37" s="4" t="s">
        <v>86</v>
      </c>
      <c r="C37" s="5">
        <v>1.03</v>
      </c>
      <c r="D37" s="5" t="s">
        <v>87</v>
      </c>
      <c r="E37" s="8">
        <v>2.1925940000000002</v>
      </c>
      <c r="F37" s="8">
        <v>78.408877000000004</v>
      </c>
      <c r="G37" s="8">
        <v>3.4522984000000001</v>
      </c>
      <c r="H37" s="9">
        <v>1.0520181999999999E-2</v>
      </c>
      <c r="I37" s="9">
        <v>4.2872602000000003E-3</v>
      </c>
      <c r="J37" s="8">
        <v>15.712237</v>
      </c>
      <c r="K37" s="10" t="s">
        <v>711</v>
      </c>
    </row>
    <row r="38" spans="2:11" x14ac:dyDescent="0.25">
      <c r="B38" s="3" t="s">
        <v>88</v>
      </c>
      <c r="C38" s="5">
        <v>0.78900000000000003</v>
      </c>
      <c r="D38" s="5" t="s">
        <v>89</v>
      </c>
      <c r="E38" s="8">
        <v>1.0938386</v>
      </c>
      <c r="F38" s="8">
        <v>47.792563000000001</v>
      </c>
      <c r="G38" s="8">
        <v>1.2480895000000001</v>
      </c>
      <c r="H38" s="9">
        <v>3.6134803000000002E-3</v>
      </c>
      <c r="I38" s="9">
        <v>1.7079577E-3</v>
      </c>
      <c r="J38" s="8">
        <v>3.0995300000000001</v>
      </c>
      <c r="K38" s="10" t="s">
        <v>712</v>
      </c>
    </row>
    <row r="39" spans="2:11" x14ac:dyDescent="0.25">
      <c r="B39" s="3" t="s">
        <v>90</v>
      </c>
      <c r="C39" s="5">
        <v>0.89700000000000002</v>
      </c>
      <c r="D39" s="5" t="s">
        <v>91</v>
      </c>
      <c r="E39" s="8">
        <v>2.2226973999999999</v>
      </c>
      <c r="F39" s="8">
        <v>82.366253</v>
      </c>
      <c r="G39" s="8">
        <v>2.8292581000000001</v>
      </c>
      <c r="H39" s="9">
        <v>9.7892198999999999E-3</v>
      </c>
      <c r="I39" s="9">
        <v>4.2747792000000003E-3</v>
      </c>
      <c r="J39" s="8">
        <v>10.57835</v>
      </c>
      <c r="K39" s="10" t="s">
        <v>713</v>
      </c>
    </row>
    <row r="40" spans="2:11" x14ac:dyDescent="0.25">
      <c r="B40" s="4" t="s">
        <v>92</v>
      </c>
      <c r="C40" s="5">
        <v>0.86599999999999999</v>
      </c>
      <c r="D40" s="6" t="s">
        <v>93</v>
      </c>
      <c r="E40" s="8">
        <v>1.7503145</v>
      </c>
      <c r="F40" s="8">
        <v>77.405140000000003</v>
      </c>
      <c r="G40" s="8">
        <v>2.2295411999999999</v>
      </c>
      <c r="H40" s="9">
        <v>7.4757282999999997E-3</v>
      </c>
      <c r="I40" s="9">
        <v>1.5675674999999999E-3</v>
      </c>
      <c r="J40" s="8">
        <v>15.780018999999999</v>
      </c>
      <c r="K40" s="10" t="s">
        <v>714</v>
      </c>
    </row>
    <row r="41" spans="2:11" x14ac:dyDescent="0.25">
      <c r="B41" s="4" t="s">
        <v>94</v>
      </c>
      <c r="C41" s="5">
        <v>0.84099999999999997</v>
      </c>
      <c r="D41" s="6" t="s">
        <v>95</v>
      </c>
      <c r="E41" s="8">
        <v>3.2849759000000001</v>
      </c>
      <c r="F41" s="8">
        <v>88.014228000000003</v>
      </c>
      <c r="G41" s="8">
        <v>3.2377726</v>
      </c>
      <c r="H41" s="9">
        <v>1.1114621999999999E-2</v>
      </c>
      <c r="I41" s="9">
        <v>6.3885286000000003E-3</v>
      </c>
      <c r="J41" s="8">
        <v>18.39526</v>
      </c>
      <c r="K41" s="10" t="s">
        <v>715</v>
      </c>
    </row>
    <row r="42" spans="2:11" x14ac:dyDescent="0.25">
      <c r="B42" s="3" t="s">
        <v>96</v>
      </c>
      <c r="C42" s="5">
        <v>1.1100000000000001</v>
      </c>
      <c r="D42" s="5" t="s">
        <v>97</v>
      </c>
      <c r="E42" s="8">
        <v>1.3750538999999999</v>
      </c>
      <c r="F42" s="8">
        <v>52.165362000000002</v>
      </c>
      <c r="G42" s="8">
        <v>1.5710033000000001</v>
      </c>
      <c r="H42" s="9">
        <v>5.2701259000000004E-3</v>
      </c>
      <c r="I42" s="9">
        <v>2.2957339000000002E-3</v>
      </c>
      <c r="J42" s="8">
        <v>12.414066</v>
      </c>
      <c r="K42" s="10" t="s">
        <v>716</v>
      </c>
    </row>
    <row r="43" spans="2:11" x14ac:dyDescent="0.25">
      <c r="B43" s="4" t="s">
        <v>98</v>
      </c>
      <c r="C43" s="5">
        <v>0.81499999999999995</v>
      </c>
      <c r="D43" s="6" t="s">
        <v>99</v>
      </c>
      <c r="E43" s="8">
        <v>1.0324012</v>
      </c>
      <c r="F43" s="8">
        <v>45.589238000000002</v>
      </c>
      <c r="G43" s="8">
        <v>1.1055781</v>
      </c>
      <c r="H43" s="9">
        <v>2.4852109000000002E-3</v>
      </c>
      <c r="I43" s="9">
        <v>1.0975473E-3</v>
      </c>
      <c r="J43" s="8">
        <v>3.6511399999999998</v>
      </c>
      <c r="K43" s="10" t="s">
        <v>717</v>
      </c>
    </row>
    <row r="44" spans="2:11" x14ac:dyDescent="0.25">
      <c r="B44" s="4" t="s">
        <v>100</v>
      </c>
      <c r="C44" s="5">
        <v>0.68400000000000005</v>
      </c>
      <c r="D44" s="6" t="s">
        <v>101</v>
      </c>
      <c r="E44" s="8">
        <v>1.5568960999999999</v>
      </c>
      <c r="F44" s="8">
        <v>61.264076000000003</v>
      </c>
      <c r="G44" s="8">
        <v>0.89751601999999997</v>
      </c>
      <c r="H44" s="9">
        <v>7.5269880000000001E-3</v>
      </c>
      <c r="I44" s="9">
        <v>1.4736479999999999E-3</v>
      </c>
      <c r="J44" s="8">
        <v>5.6778659999999999</v>
      </c>
      <c r="K44" s="10" t="s">
        <v>718</v>
      </c>
    </row>
    <row r="45" spans="2:11" x14ac:dyDescent="0.25">
      <c r="B45" s="3" t="s">
        <v>102</v>
      </c>
      <c r="C45" s="5">
        <v>0.65500000000000003</v>
      </c>
      <c r="D45" s="5" t="s">
        <v>103</v>
      </c>
      <c r="E45" s="8">
        <v>1.5569075000000001</v>
      </c>
      <c r="F45" s="8">
        <v>61.264521999999999</v>
      </c>
      <c r="G45" s="8">
        <v>0.89753715999999995</v>
      </c>
      <c r="H45" s="9">
        <v>7.5271208000000003E-3</v>
      </c>
      <c r="I45" s="9">
        <v>1.4736810999999999E-3</v>
      </c>
      <c r="J45" s="8">
        <v>5.6780759999999999</v>
      </c>
      <c r="K45" s="10" t="s">
        <v>719</v>
      </c>
    </row>
    <row r="46" spans="2:11" x14ac:dyDescent="0.25">
      <c r="B46" s="3" t="s">
        <v>104</v>
      </c>
      <c r="C46" s="5">
        <v>0.80200000000000005</v>
      </c>
      <c r="D46" s="5" t="s">
        <v>105</v>
      </c>
      <c r="E46" s="8">
        <v>1.8265558</v>
      </c>
      <c r="F46" s="8">
        <v>81.023651000000001</v>
      </c>
      <c r="G46" s="8">
        <v>2.6088350999999999</v>
      </c>
      <c r="H46" s="9">
        <v>6.8228200999999999E-3</v>
      </c>
      <c r="I46" s="9">
        <v>2.0198293E-3</v>
      </c>
      <c r="J46" s="8">
        <v>4.9693699999999996</v>
      </c>
      <c r="K46" s="10" t="s">
        <v>686</v>
      </c>
    </row>
    <row r="47" spans="2:11" x14ac:dyDescent="0.25">
      <c r="B47" s="4" t="s">
        <v>106</v>
      </c>
      <c r="C47" s="5">
        <v>0.875</v>
      </c>
      <c r="D47" s="6" t="s">
        <v>107</v>
      </c>
      <c r="E47" s="8">
        <v>2.5508844000000002</v>
      </c>
      <c r="F47" s="8">
        <v>99.319993999999994</v>
      </c>
      <c r="G47" s="8">
        <v>3.6400619000000001</v>
      </c>
      <c r="H47" s="9">
        <v>1.1184596E-2</v>
      </c>
      <c r="I47" s="9">
        <v>4.0143356000000002E-3</v>
      </c>
      <c r="J47" s="8">
        <v>10.684570000000001</v>
      </c>
      <c r="K47" s="10" t="s">
        <v>720</v>
      </c>
    </row>
    <row r="48" spans="2:11" x14ac:dyDescent="0.25">
      <c r="B48" s="3" t="s">
        <v>108</v>
      </c>
      <c r="C48" s="5">
        <v>0.87</v>
      </c>
      <c r="D48" s="5" t="s">
        <v>109</v>
      </c>
      <c r="E48" s="8">
        <v>2.3296575000000002</v>
      </c>
      <c r="F48" s="8">
        <v>87.770601999999997</v>
      </c>
      <c r="G48" s="8">
        <v>3.1386162</v>
      </c>
      <c r="H48" s="9">
        <v>1.187937E-2</v>
      </c>
      <c r="I48" s="9">
        <v>5.4830353000000004E-3</v>
      </c>
      <c r="J48" s="8">
        <v>18.738430000000001</v>
      </c>
      <c r="K48" s="10" t="s">
        <v>721</v>
      </c>
    </row>
    <row r="49" spans="2:11" x14ac:dyDescent="0.25">
      <c r="B49" s="3" t="s">
        <v>110</v>
      </c>
      <c r="C49" s="5">
        <v>0.79200000000000004</v>
      </c>
      <c r="D49" s="5" t="s">
        <v>111</v>
      </c>
      <c r="E49" s="8">
        <v>0.69945004</v>
      </c>
      <c r="F49" s="8">
        <v>37.552323999999999</v>
      </c>
      <c r="G49" s="8">
        <v>0.74417988000000002</v>
      </c>
      <c r="H49" s="9">
        <v>1.2483868E-3</v>
      </c>
      <c r="I49" s="9">
        <v>4.0846278999999999E-4</v>
      </c>
      <c r="J49" s="8">
        <v>1.8455699999999999</v>
      </c>
      <c r="K49" s="10" t="s">
        <v>722</v>
      </c>
    </row>
    <row r="50" spans="2:11" x14ac:dyDescent="0.25">
      <c r="B50" s="3" t="s">
        <v>112</v>
      </c>
      <c r="C50" s="5">
        <v>0.93200000000000005</v>
      </c>
      <c r="D50" s="5" t="s">
        <v>113</v>
      </c>
      <c r="E50" s="8">
        <v>1.1927732</v>
      </c>
      <c r="F50" s="8">
        <v>46.658956000000003</v>
      </c>
      <c r="G50" s="8">
        <v>1.1778274</v>
      </c>
      <c r="H50" s="9">
        <v>3.8801051E-3</v>
      </c>
      <c r="I50" s="9">
        <v>1.4019251999999999E-3</v>
      </c>
      <c r="J50" s="8">
        <v>8.4596099999999996</v>
      </c>
      <c r="K50" s="10" t="s">
        <v>723</v>
      </c>
    </row>
    <row r="51" spans="2:11" x14ac:dyDescent="0.25">
      <c r="B51" s="3" t="s">
        <v>114</v>
      </c>
      <c r="C51" s="5">
        <v>0.77</v>
      </c>
      <c r="D51" s="5" t="s">
        <v>115</v>
      </c>
      <c r="E51" s="8">
        <v>1.5567937999999999</v>
      </c>
      <c r="F51" s="8">
        <v>61.259419999999999</v>
      </c>
      <c r="G51" s="8">
        <v>0.89750260000000004</v>
      </c>
      <c r="H51" s="9">
        <v>7.5268627000000003E-3</v>
      </c>
      <c r="I51" s="9">
        <v>1.4736466999999999E-3</v>
      </c>
      <c r="J51" s="8">
        <v>5.6778659999999999</v>
      </c>
      <c r="K51" s="10" t="s">
        <v>724</v>
      </c>
    </row>
    <row r="52" spans="2:11" x14ac:dyDescent="0.25">
      <c r="B52" s="3" t="s">
        <v>116</v>
      </c>
      <c r="C52" s="5">
        <v>0.80500000000000005</v>
      </c>
      <c r="D52" s="5" t="s">
        <v>117</v>
      </c>
      <c r="E52" s="8">
        <v>1.4169806</v>
      </c>
      <c r="F52" s="8">
        <v>61.837713999999998</v>
      </c>
      <c r="G52" s="8">
        <v>1.7647199</v>
      </c>
      <c r="H52" s="9">
        <v>4.6386149999999996E-3</v>
      </c>
      <c r="I52" s="9">
        <v>1.4954394E-3</v>
      </c>
      <c r="J52" s="8">
        <v>9.3800708999999998</v>
      </c>
      <c r="K52" s="10" t="s">
        <v>725</v>
      </c>
    </row>
    <row r="53" spans="2:11" x14ac:dyDescent="0.25">
      <c r="B53" s="3" t="s">
        <v>118</v>
      </c>
      <c r="C53" s="5">
        <v>0.74</v>
      </c>
      <c r="D53" s="5" t="s">
        <v>119</v>
      </c>
      <c r="E53" s="8">
        <v>1.3639098999999999</v>
      </c>
      <c r="F53" s="8">
        <v>59.198616000000001</v>
      </c>
      <c r="G53" s="8">
        <v>1.1469062000000001</v>
      </c>
      <c r="H53" s="9">
        <v>3.7370403000000002E-3</v>
      </c>
      <c r="I53" s="9">
        <v>7.3900449999999998E-4</v>
      </c>
      <c r="J53" s="8">
        <v>2.4828549999999998</v>
      </c>
      <c r="K53" s="10" t="s">
        <v>726</v>
      </c>
    </row>
    <row r="54" spans="2:11" x14ac:dyDescent="0.25">
      <c r="B54" s="3" t="s">
        <v>120</v>
      </c>
      <c r="C54" s="5">
        <v>1.01</v>
      </c>
      <c r="D54" s="11" t="s">
        <v>121</v>
      </c>
      <c r="E54" s="8">
        <v>2.3475313999999998</v>
      </c>
      <c r="F54" s="8">
        <v>88.813715000000002</v>
      </c>
      <c r="G54" s="8">
        <v>3.4385664999999999</v>
      </c>
      <c r="H54" s="9">
        <v>1.3293031E-2</v>
      </c>
      <c r="I54" s="9">
        <v>5.9079318999999998E-3</v>
      </c>
      <c r="J54" s="8">
        <v>10.461550000000001</v>
      </c>
      <c r="K54" s="10" t="s">
        <v>727</v>
      </c>
    </row>
    <row r="55" spans="2:11" x14ac:dyDescent="0.25">
      <c r="B55" s="4" t="s">
        <v>122</v>
      </c>
      <c r="C55" s="5">
        <v>0.94399999999999995</v>
      </c>
      <c r="D55" s="6" t="s">
        <v>123</v>
      </c>
      <c r="E55" s="8">
        <v>1.6613169000000001</v>
      </c>
      <c r="F55" s="8">
        <v>57.590679999999999</v>
      </c>
      <c r="G55" s="8">
        <v>1.8856040999999999</v>
      </c>
      <c r="H55" s="9">
        <v>8.3330487999999994E-3</v>
      </c>
      <c r="I55" s="9">
        <v>8.8847363999999998E-2</v>
      </c>
      <c r="J55" s="8">
        <v>9.6611399999999996</v>
      </c>
      <c r="K55" s="10" t="s">
        <v>728</v>
      </c>
    </row>
    <row r="56" spans="2:11" x14ac:dyDescent="0.25">
      <c r="B56" s="3" t="s">
        <v>124</v>
      </c>
      <c r="C56" s="5">
        <v>0.626</v>
      </c>
      <c r="D56" s="5" t="s">
        <v>125</v>
      </c>
      <c r="E56" s="8">
        <v>1.8647530999999999</v>
      </c>
      <c r="F56" s="8">
        <v>86.654698999999994</v>
      </c>
      <c r="G56" s="8">
        <v>1.1070176</v>
      </c>
      <c r="H56" s="9">
        <v>4.2757526000000001E-3</v>
      </c>
      <c r="I56" s="9">
        <v>3.3844525999999998E-4</v>
      </c>
      <c r="J56" s="8">
        <v>0.85580179000000001</v>
      </c>
      <c r="K56" s="10" t="s">
        <v>729</v>
      </c>
    </row>
    <row r="57" spans="2:11" x14ac:dyDescent="0.25">
      <c r="B57" s="4" t="s">
        <v>126</v>
      </c>
      <c r="C57" s="5">
        <v>0.81499999999999995</v>
      </c>
      <c r="D57" s="6" t="s">
        <v>127</v>
      </c>
      <c r="E57" s="8">
        <v>2.5173068999999999</v>
      </c>
      <c r="F57" s="8">
        <v>107.34532</v>
      </c>
      <c r="G57" s="8">
        <v>3.2509869999999998</v>
      </c>
      <c r="H57" s="9">
        <v>9.7920417000000003E-3</v>
      </c>
      <c r="I57" s="9">
        <v>1.9589439999999998E-3</v>
      </c>
      <c r="J57" s="8">
        <v>5.4904500000000001</v>
      </c>
      <c r="K57" s="10" t="s">
        <v>730</v>
      </c>
    </row>
    <row r="58" spans="2:11" x14ac:dyDescent="0.25">
      <c r="B58" s="3" t="s">
        <v>128</v>
      </c>
      <c r="C58" s="5">
        <v>0.88900000000000001</v>
      </c>
      <c r="D58" s="5" t="s">
        <v>129</v>
      </c>
      <c r="E58" s="8">
        <v>3.6934474000000002</v>
      </c>
      <c r="F58" s="8">
        <v>126.46064</v>
      </c>
      <c r="G58" s="8">
        <v>5.7202025000000001</v>
      </c>
      <c r="H58" s="9">
        <v>1.8442177000000001E-2</v>
      </c>
      <c r="I58" s="9">
        <v>7.2296193999999998E-3</v>
      </c>
      <c r="J58" s="8">
        <v>20.122689999999999</v>
      </c>
      <c r="K58" s="10" t="s">
        <v>731</v>
      </c>
    </row>
    <row r="59" spans="2:11" x14ac:dyDescent="0.25">
      <c r="B59" s="3" t="s">
        <v>130</v>
      </c>
      <c r="C59" s="5">
        <v>0.86699999999999999</v>
      </c>
      <c r="D59" s="5" t="s">
        <v>131</v>
      </c>
      <c r="E59" s="8">
        <v>1.2626287</v>
      </c>
      <c r="F59" s="8">
        <v>63.394986000000003</v>
      </c>
      <c r="G59" s="8">
        <v>1.4990618</v>
      </c>
      <c r="H59" s="9">
        <v>3.7884225999999998E-3</v>
      </c>
      <c r="I59" s="9">
        <v>3.1912181999999999E-4</v>
      </c>
      <c r="J59" s="8">
        <v>1.0436776999999999</v>
      </c>
      <c r="K59" s="10" t="s">
        <v>732</v>
      </c>
    </row>
    <row r="60" spans="2:11" x14ac:dyDescent="0.25">
      <c r="B60" s="4" t="s">
        <v>132</v>
      </c>
      <c r="C60" s="5">
        <v>1.49</v>
      </c>
      <c r="D60" s="6" t="s">
        <v>133</v>
      </c>
      <c r="E60" s="8">
        <v>2.1622004000000001</v>
      </c>
      <c r="F60" s="8">
        <v>46.706671</v>
      </c>
      <c r="G60" s="8">
        <v>3.7289463</v>
      </c>
      <c r="H60" s="9">
        <v>6.8246632E-3</v>
      </c>
      <c r="I60" s="9">
        <v>4.1924233999999999E-3</v>
      </c>
      <c r="J60" s="8">
        <v>14.958499</v>
      </c>
      <c r="K60" s="10" t="s">
        <v>733</v>
      </c>
    </row>
    <row r="61" spans="2:11" x14ac:dyDescent="0.25">
      <c r="B61" s="4" t="s">
        <v>134</v>
      </c>
      <c r="C61" s="5">
        <v>1.1299999999999999</v>
      </c>
      <c r="D61" s="11" t="s">
        <v>135</v>
      </c>
      <c r="E61" s="8">
        <v>2.6072981</v>
      </c>
      <c r="F61" s="8">
        <v>99.625647999999998</v>
      </c>
      <c r="G61" s="8">
        <v>3.7422691000000001</v>
      </c>
      <c r="H61" s="9">
        <v>1.4203933E-2</v>
      </c>
      <c r="I61" s="9">
        <v>6.2155924E-3</v>
      </c>
      <c r="J61" s="8">
        <v>11.348572000000001</v>
      </c>
      <c r="K61" s="10" t="s">
        <v>734</v>
      </c>
    </row>
    <row r="62" spans="2:11" x14ac:dyDescent="0.25">
      <c r="B62" s="3" t="s">
        <v>136</v>
      </c>
      <c r="C62" s="5">
        <v>1.1000000000000001</v>
      </c>
      <c r="D62" s="5" t="s">
        <v>137</v>
      </c>
      <c r="E62" s="8">
        <v>2.6692060999999998</v>
      </c>
      <c r="F62" s="8">
        <v>101.26130999999999</v>
      </c>
      <c r="G62" s="8">
        <v>3.0495999999999999</v>
      </c>
      <c r="H62" s="9">
        <v>1.0230304000000001E-2</v>
      </c>
      <c r="I62" s="9">
        <v>4.4565400999999998E-3</v>
      </c>
      <c r="J62" s="8">
        <v>24.097985999999999</v>
      </c>
      <c r="K62" s="10" t="s">
        <v>735</v>
      </c>
    </row>
    <row r="63" spans="2:11" x14ac:dyDescent="0.25">
      <c r="B63" s="4" t="s">
        <v>138</v>
      </c>
      <c r="C63" s="5">
        <v>1.246</v>
      </c>
      <c r="D63" s="6" t="s">
        <v>139</v>
      </c>
      <c r="E63" s="8">
        <v>8.5858478999999992</v>
      </c>
      <c r="F63" s="8">
        <v>139.12324000000001</v>
      </c>
      <c r="G63" s="8">
        <v>9.6375519000000001</v>
      </c>
      <c r="H63" s="9">
        <v>0.10512659000000001</v>
      </c>
      <c r="I63" s="9">
        <v>1.6112009E-2</v>
      </c>
      <c r="J63" s="8">
        <v>289.86338000000001</v>
      </c>
      <c r="K63" s="10" t="s">
        <v>736</v>
      </c>
    </row>
    <row r="64" spans="2:11" x14ac:dyDescent="0.25">
      <c r="B64" s="3" t="s">
        <v>140</v>
      </c>
      <c r="C64" s="5">
        <v>0.86099999999999999</v>
      </c>
      <c r="D64" s="5" t="s">
        <v>141</v>
      </c>
      <c r="E64" s="8">
        <v>1.313231</v>
      </c>
      <c r="F64" s="8">
        <v>65.819766999999999</v>
      </c>
      <c r="G64" s="8">
        <v>1.6380840000000001</v>
      </c>
      <c r="H64" s="9">
        <v>4.5441567000000004E-3</v>
      </c>
      <c r="I64" s="9">
        <v>3.7097581999999998E-4</v>
      </c>
      <c r="J64" s="8">
        <v>1.2059242999999999</v>
      </c>
      <c r="K64" s="10" t="s">
        <v>737</v>
      </c>
    </row>
    <row r="65" spans="2:11" x14ac:dyDescent="0.25">
      <c r="B65" s="4" t="s">
        <v>142</v>
      </c>
      <c r="C65" s="6">
        <v>1.458</v>
      </c>
      <c r="D65" s="12" t="s">
        <v>143</v>
      </c>
      <c r="E65" s="8">
        <v>2.2834555000000001</v>
      </c>
      <c r="F65" s="8">
        <v>61.592440000000003</v>
      </c>
      <c r="G65" s="8">
        <v>2.0554709</v>
      </c>
      <c r="H65" s="9">
        <v>8.6162102999999997E-3</v>
      </c>
      <c r="I65" s="9">
        <v>1.0675596000000001E-2</v>
      </c>
      <c r="J65" s="8">
        <v>12.44431</v>
      </c>
      <c r="K65" s="10" t="s">
        <v>738</v>
      </c>
    </row>
    <row r="66" spans="2:11" x14ac:dyDescent="0.25">
      <c r="B66" s="13" t="s">
        <v>144</v>
      </c>
      <c r="C66" s="6">
        <v>1.306</v>
      </c>
      <c r="D66" s="12" t="s">
        <v>145</v>
      </c>
      <c r="E66" s="8">
        <v>2.2835839</v>
      </c>
      <c r="F66" s="8">
        <v>61.595337000000001</v>
      </c>
      <c r="G66" s="8">
        <v>2.0556211000000002</v>
      </c>
      <c r="H66" s="9">
        <v>8.6167211000000004E-3</v>
      </c>
      <c r="I66" s="9">
        <v>1.0676201E-2</v>
      </c>
      <c r="J66" s="8">
        <v>12.44502</v>
      </c>
      <c r="K66" s="10" t="s">
        <v>739</v>
      </c>
    </row>
    <row r="67" spans="2:11" x14ac:dyDescent="0.25">
      <c r="B67" s="13" t="s">
        <v>148</v>
      </c>
      <c r="C67" s="6">
        <v>0.9</v>
      </c>
      <c r="D67" s="14">
        <v>0</v>
      </c>
      <c r="E67" s="15">
        <v>2.0861208174193546</v>
      </c>
      <c r="F67" s="15">
        <v>74.867288612903238</v>
      </c>
      <c r="G67" s="15">
        <v>2.6244035558064511</v>
      </c>
      <c r="H67" s="15">
        <v>1.1223113743548388E-2</v>
      </c>
      <c r="I67" s="15">
        <v>8.9864536225806452E-3</v>
      </c>
      <c r="J67" s="15">
        <v>14.695319198225807</v>
      </c>
      <c r="K67" s="13" t="s">
        <v>149</v>
      </c>
    </row>
    <row r="68" spans="2:11" x14ac:dyDescent="0.25">
      <c r="B68" s="13" t="s">
        <v>146</v>
      </c>
      <c r="C68" s="6">
        <v>1</v>
      </c>
      <c r="D68" s="12" t="s">
        <v>147</v>
      </c>
      <c r="E68" s="9">
        <v>1.5302652999999999E-3</v>
      </c>
      <c r="F68" s="9">
        <v>1.9058192000000002E-2</v>
      </c>
      <c r="G68" s="9">
        <v>1.015742E-3</v>
      </c>
      <c r="H68" s="9">
        <v>3.8914349999999996E-6</v>
      </c>
      <c r="I68" s="9">
        <v>2.3181694000000001E-6</v>
      </c>
      <c r="J68" s="8">
        <v>1.2633490999999999</v>
      </c>
      <c r="K68" s="10" t="s">
        <v>740</v>
      </c>
    </row>
  </sheetData>
  <mergeCells count="1">
    <mergeCell ref="B2:K2"/>
  </mergeCells>
  <pageMargins left="0.7" right="0.7" top="0.75" bottom="0.75" header="0.3" footer="0.3"/>
  <pageSetup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AA542-3DB1-4990-838B-5BD519DB0ADA}">
  <sheetPr codeName="Sheet6">
    <tabColor rgb="FF5F6B72"/>
    <pageSetUpPr autoPageBreaks="0"/>
  </sheetPr>
  <dimension ref="B2:W38"/>
  <sheetViews>
    <sheetView workbookViewId="0">
      <selection activeCell="F13" sqref="F13"/>
    </sheetView>
  </sheetViews>
  <sheetFormatPr defaultColWidth="33" defaultRowHeight="15" x14ac:dyDescent="0.25"/>
  <cols>
    <col min="1" max="1" width="4.140625" customWidth="1"/>
    <col min="2" max="2" width="34.7109375" bestFit="1" customWidth="1"/>
    <col min="3" max="3" width="12.7109375" bestFit="1" customWidth="1"/>
    <col min="4" max="4" width="8.140625" bestFit="1" customWidth="1"/>
    <col min="5" max="6" width="23.42578125" bestFit="1" customWidth="1"/>
    <col min="7" max="7" width="21.28515625" customWidth="1"/>
    <col min="8" max="8" width="28" customWidth="1"/>
    <col min="9" max="9" width="34.7109375" customWidth="1"/>
    <col min="10" max="10" width="23.42578125" bestFit="1" customWidth="1"/>
    <col min="11" max="11" width="32.28515625" customWidth="1"/>
    <col min="12" max="12" width="12.140625" bestFit="1" customWidth="1"/>
    <col min="15" max="15" width="13.28515625" bestFit="1" customWidth="1"/>
    <col min="16" max="16" width="11.42578125" bestFit="1" customWidth="1"/>
    <col min="17" max="17" width="19.7109375" bestFit="1" customWidth="1"/>
    <col min="18" max="18" width="26.42578125" bestFit="1" customWidth="1"/>
    <col min="19" max="19" width="33.28515625" bestFit="1" customWidth="1"/>
    <col min="20" max="20" width="10.5703125" bestFit="1" customWidth="1"/>
  </cols>
  <sheetData>
    <row r="2" spans="2:13" x14ac:dyDescent="0.25">
      <c r="B2" s="162" t="s">
        <v>153</v>
      </c>
      <c r="C2" s="162"/>
      <c r="D2" s="162"/>
      <c r="E2" s="162"/>
      <c r="F2" s="162"/>
      <c r="G2" s="162"/>
      <c r="H2" s="162"/>
      <c r="I2" s="162"/>
      <c r="J2" s="162"/>
      <c r="K2" s="162"/>
    </row>
    <row r="3" spans="2:13" x14ac:dyDescent="0.25">
      <c r="B3" t="s">
        <v>21</v>
      </c>
      <c r="C3" t="s">
        <v>9</v>
      </c>
      <c r="D3" t="s">
        <v>10</v>
      </c>
      <c r="E3" t="s">
        <v>23</v>
      </c>
      <c r="F3" t="s">
        <v>24</v>
      </c>
      <c r="G3" t="s">
        <v>25</v>
      </c>
      <c r="H3" t="s">
        <v>26</v>
      </c>
      <c r="I3" t="s">
        <v>27</v>
      </c>
      <c r="J3" t="s">
        <v>28</v>
      </c>
      <c r="K3" t="s">
        <v>676</v>
      </c>
    </row>
    <row r="4" spans="2:13" x14ac:dyDescent="0.25">
      <c r="B4" s="3" t="s">
        <v>156</v>
      </c>
      <c r="C4" s="5"/>
      <c r="D4" s="5" t="s">
        <v>151</v>
      </c>
      <c r="E4" s="8">
        <v>2.0861208174193546</v>
      </c>
      <c r="F4" s="8">
        <v>74.867288612903238</v>
      </c>
      <c r="G4" s="8">
        <v>2.6244035558064511</v>
      </c>
      <c r="H4" s="9">
        <v>1.1223113743548388E-2</v>
      </c>
      <c r="I4" s="9">
        <v>8.9864536225806452E-3</v>
      </c>
      <c r="J4" s="8">
        <v>14.695319198225807</v>
      </c>
      <c r="K4" s="10"/>
      <c r="L4" s="10"/>
      <c r="M4" s="10"/>
    </row>
    <row r="6" spans="2:13" x14ac:dyDescent="0.25">
      <c r="B6" s="162" t="s">
        <v>154</v>
      </c>
      <c r="C6" s="162"/>
      <c r="D6" s="162"/>
      <c r="E6" s="162"/>
      <c r="F6" s="162"/>
      <c r="G6" s="162"/>
      <c r="H6" s="162"/>
      <c r="I6" s="162"/>
      <c r="J6" s="162"/>
      <c r="K6" s="162"/>
    </row>
    <row r="7" spans="2:13" x14ac:dyDescent="0.25">
      <c r="B7" t="s">
        <v>21</v>
      </c>
      <c r="C7" t="s">
        <v>9</v>
      </c>
      <c r="D7" t="s">
        <v>10</v>
      </c>
      <c r="E7" t="s">
        <v>23</v>
      </c>
      <c r="F7" t="s">
        <v>24</v>
      </c>
      <c r="G7" t="s">
        <v>25</v>
      </c>
      <c r="H7" t="s">
        <v>26</v>
      </c>
      <c r="I7" t="s">
        <v>27</v>
      </c>
      <c r="J7" t="s">
        <v>28</v>
      </c>
      <c r="K7" t="s">
        <v>676</v>
      </c>
    </row>
    <row r="8" spans="2:13" ht="25.5" x14ac:dyDescent="0.25">
      <c r="B8" s="3" t="s">
        <v>157</v>
      </c>
      <c r="C8" s="5"/>
      <c r="D8" s="5" t="s">
        <v>151</v>
      </c>
      <c r="E8" s="8">
        <v>48.190170129999998</v>
      </c>
      <c r="F8" s="8">
        <v>961.9640832</v>
      </c>
      <c r="G8" s="8">
        <v>97.3</v>
      </c>
      <c r="H8" s="9">
        <v>0.80562192799999999</v>
      </c>
      <c r="I8" s="9">
        <v>9.5644612000000004E-2</v>
      </c>
      <c r="J8" s="8">
        <v>16.102432669999999</v>
      </c>
      <c r="K8" s="10"/>
      <c r="L8" s="10"/>
      <c r="M8" s="10"/>
    </row>
    <row r="10" spans="2:13" x14ac:dyDescent="0.25">
      <c r="B10" s="162" t="s">
        <v>7</v>
      </c>
      <c r="C10" s="162"/>
      <c r="D10" s="162"/>
      <c r="E10" s="162"/>
      <c r="F10" s="162"/>
      <c r="G10" s="162"/>
      <c r="H10" s="162"/>
      <c r="I10" s="162"/>
      <c r="J10" s="162"/>
      <c r="K10" s="162"/>
    </row>
    <row r="11" spans="2:13" x14ac:dyDescent="0.25">
      <c r="B11" t="s">
        <v>21</v>
      </c>
      <c r="C11" t="s">
        <v>9</v>
      </c>
      <c r="D11" t="s">
        <v>10</v>
      </c>
      <c r="E11" t="s">
        <v>23</v>
      </c>
      <c r="F11" t="s">
        <v>24</v>
      </c>
      <c r="G11" t="s">
        <v>25</v>
      </c>
      <c r="H11" t="s">
        <v>26</v>
      </c>
      <c r="I11" t="s">
        <v>27</v>
      </c>
      <c r="J11" t="s">
        <v>28</v>
      </c>
      <c r="K11" t="s">
        <v>676</v>
      </c>
    </row>
    <row r="12" spans="2:13" x14ac:dyDescent="0.25">
      <c r="B12" t="s">
        <v>158</v>
      </c>
      <c r="D12" t="s">
        <v>151</v>
      </c>
      <c r="E12">
        <v>1.34</v>
      </c>
      <c r="F12">
        <v>10.63</v>
      </c>
      <c r="G12">
        <v>1.3854</v>
      </c>
      <c r="H12">
        <v>1.3899999999999999E-2</v>
      </c>
      <c r="I12">
        <v>6.9999999999999999E-4</v>
      </c>
      <c r="J12">
        <v>0.69123000000000001</v>
      </c>
    </row>
    <row r="14" spans="2:13" x14ac:dyDescent="0.25">
      <c r="B14" s="162" t="s">
        <v>328</v>
      </c>
      <c r="C14" s="162"/>
      <c r="D14" s="162"/>
      <c r="E14" s="162"/>
      <c r="F14" s="162"/>
      <c r="G14" s="162"/>
      <c r="H14" s="162"/>
      <c r="I14" s="162"/>
      <c r="J14" s="162"/>
      <c r="K14" s="162"/>
    </row>
    <row r="15" spans="2:13" x14ac:dyDescent="0.25">
      <c r="B15" t="s">
        <v>21</v>
      </c>
      <c r="C15" t="s">
        <v>9</v>
      </c>
      <c r="D15" t="s">
        <v>10</v>
      </c>
      <c r="E15" t="s">
        <v>23</v>
      </c>
      <c r="F15" t="s">
        <v>24</v>
      </c>
      <c r="G15" t="s">
        <v>25</v>
      </c>
      <c r="H15" t="s">
        <v>26</v>
      </c>
      <c r="I15" t="s">
        <v>27</v>
      </c>
      <c r="J15" t="s">
        <v>28</v>
      </c>
      <c r="K15" t="s">
        <v>676</v>
      </c>
    </row>
    <row r="16" spans="2:13" x14ac:dyDescent="0.25">
      <c r="B16" t="s">
        <v>743</v>
      </c>
      <c r="D16" t="s">
        <v>151</v>
      </c>
      <c r="E16">
        <v>77.349000000000004</v>
      </c>
      <c r="F16">
        <v>121.9376</v>
      </c>
      <c r="G16">
        <v>12.917299999999999</v>
      </c>
      <c r="H16">
        <v>8.5199999999999998E-2</v>
      </c>
      <c r="I16">
        <v>0.1691</v>
      </c>
      <c r="J16">
        <v>317.88730299999997</v>
      </c>
    </row>
    <row r="18" spans="2:23" x14ac:dyDescent="0.25">
      <c r="B18" s="162" t="s">
        <v>656</v>
      </c>
      <c r="C18" s="162"/>
      <c r="D18" s="162"/>
      <c r="E18" s="162"/>
      <c r="F18" s="162"/>
      <c r="G18" s="162"/>
      <c r="H18" s="162"/>
      <c r="I18" s="162"/>
      <c r="J18" s="162"/>
      <c r="K18" s="162"/>
      <c r="L18" s="162"/>
    </row>
    <row r="19" spans="2:23" x14ac:dyDescent="0.25">
      <c r="B19" t="s">
        <v>21</v>
      </c>
      <c r="C19" t="s">
        <v>348</v>
      </c>
      <c r="D19" t="s">
        <v>9</v>
      </c>
      <c r="E19" t="s">
        <v>10</v>
      </c>
      <c r="F19" t="s">
        <v>23</v>
      </c>
      <c r="G19" t="s">
        <v>24</v>
      </c>
      <c r="H19" t="s">
        <v>25</v>
      </c>
      <c r="I19" t="s">
        <v>26</v>
      </c>
      <c r="J19" t="s">
        <v>27</v>
      </c>
      <c r="K19" t="s">
        <v>28</v>
      </c>
      <c r="L19" t="s">
        <v>676</v>
      </c>
    </row>
    <row r="20" spans="2:23" x14ac:dyDescent="0.25">
      <c r="B20" t="s">
        <v>152</v>
      </c>
      <c r="C20" t="s">
        <v>351</v>
      </c>
      <c r="E20" t="s">
        <v>151</v>
      </c>
    </row>
    <row r="21" spans="2:23" x14ac:dyDescent="0.25">
      <c r="B21" t="s">
        <v>356</v>
      </c>
      <c r="C21" t="s">
        <v>354</v>
      </c>
      <c r="E21" t="s">
        <v>151</v>
      </c>
    </row>
    <row r="22" spans="2:23" x14ac:dyDescent="0.25">
      <c r="B22" t="s">
        <v>359</v>
      </c>
      <c r="C22" t="s">
        <v>350</v>
      </c>
      <c r="E22" t="s">
        <v>151</v>
      </c>
    </row>
    <row r="23" spans="2:23" x14ac:dyDescent="0.25">
      <c r="B23" t="s">
        <v>357</v>
      </c>
      <c r="C23" t="s">
        <v>352</v>
      </c>
      <c r="E23" t="s">
        <v>151</v>
      </c>
    </row>
    <row r="24" spans="2:23" x14ac:dyDescent="0.25">
      <c r="B24" t="s">
        <v>358</v>
      </c>
      <c r="C24" t="s">
        <v>353</v>
      </c>
      <c r="E24" t="s">
        <v>151</v>
      </c>
    </row>
    <row r="25" spans="2:23" x14ac:dyDescent="0.25">
      <c r="B25" t="s">
        <v>360</v>
      </c>
      <c r="C25" t="s">
        <v>355</v>
      </c>
      <c r="E25" t="s">
        <v>151</v>
      </c>
    </row>
    <row r="27" spans="2:23" x14ac:dyDescent="0.25">
      <c r="B27" s="162" t="s">
        <v>8</v>
      </c>
      <c r="C27" s="162"/>
      <c r="D27" s="162"/>
      <c r="E27" s="162"/>
      <c r="F27" s="162"/>
      <c r="G27" s="162"/>
      <c r="H27" s="162"/>
      <c r="I27" s="162"/>
      <c r="J27" s="162"/>
      <c r="K27" s="162"/>
      <c r="O27" s="163" t="s">
        <v>305</v>
      </c>
      <c r="P27" s="163"/>
      <c r="Q27" s="163"/>
      <c r="R27" s="163"/>
      <c r="S27" s="163"/>
      <c r="T27" s="163"/>
    </row>
    <row r="28" spans="2:23" ht="30" x14ac:dyDescent="0.25">
      <c r="B28" t="s">
        <v>21</v>
      </c>
      <c r="C28" t="s">
        <v>9</v>
      </c>
      <c r="D28" t="s">
        <v>10</v>
      </c>
      <c r="E28" s="44" t="s">
        <v>288</v>
      </c>
      <c r="F28" s="44" t="s">
        <v>287</v>
      </c>
      <c r="G28" s="44" t="s">
        <v>306</v>
      </c>
      <c r="H28" s="44" t="s">
        <v>286</v>
      </c>
      <c r="I28" s="44" t="s">
        <v>289</v>
      </c>
      <c r="J28" s="44" t="s">
        <v>290</v>
      </c>
      <c r="K28" t="s">
        <v>676</v>
      </c>
      <c r="L28" t="s">
        <v>183</v>
      </c>
      <c r="M28" t="s">
        <v>238</v>
      </c>
      <c r="N28" t="s">
        <v>296</v>
      </c>
      <c r="O28" t="s">
        <v>23</v>
      </c>
      <c r="P28" t="s">
        <v>24</v>
      </c>
      <c r="Q28" t="s">
        <v>25</v>
      </c>
      <c r="R28" t="s">
        <v>26</v>
      </c>
      <c r="S28" t="s">
        <v>27</v>
      </c>
      <c r="T28" t="s">
        <v>28</v>
      </c>
    </row>
    <row r="29" spans="2:23" x14ac:dyDescent="0.25">
      <c r="B29" s="16" t="s">
        <v>161</v>
      </c>
      <c r="D29" t="s">
        <v>151</v>
      </c>
      <c r="E29">
        <v>2.9834144</v>
      </c>
      <c r="F29">
        <v>33.959387</v>
      </c>
      <c r="G29">
        <v>1.8772078999999999</v>
      </c>
      <c r="H29">
        <v>0.13961381</v>
      </c>
      <c r="I29">
        <v>0.16472514999999999</v>
      </c>
      <c r="J29">
        <v>53.625492999999999</v>
      </c>
      <c r="K29" s="17" t="s">
        <v>744</v>
      </c>
      <c r="L29" s="46">
        <v>0.9</v>
      </c>
      <c r="M29" s="42" t="s">
        <v>292</v>
      </c>
      <c r="N29" s="43" t="s">
        <v>291</v>
      </c>
      <c r="O29" s="19">
        <f>Special_Metal[[#This Row],[Mass Net (kg)
(Pre-Recycling)]]*(1-Special_Metal[[#This Row],[Recycle Rate]:[Recycle Rate]])</f>
        <v>0.29834143999999996</v>
      </c>
      <c r="P29" s="19">
        <f>Special_Metal[[#This Row],[Energy (MJ)
(Pre-Recycling)]]*(1-Special_Metal[[#This Row],[Recycle Rate]:[Recycle Rate]])</f>
        <v>3.3959386999999994</v>
      </c>
      <c r="Q29" s="19">
        <f>Special_Metal[[#This Row],[GWP (kg CO2 equiv.)
(Pre-Recycling)]]*(1-Special_Metal[[#This Row],[Recycle Rate]:[Recycle Rate]])</f>
        <v>0.18772078999999994</v>
      </c>
      <c r="R29" s="19">
        <f>Special_Metal[[#This Row],[Acidification (kg SO2 equiv.)
(Pre-Recycling)]]*(1-Special_Metal[[#This Row],[Recycle Rate]:[Recycle Rate]])</f>
        <v>1.3961380999999997E-2</v>
      </c>
      <c r="S29" s="19">
        <f>Special_Metal[[#This Row],[Eutrophication (kg posphate equiv.)
(Pre-Recycling)]]*(1-Special_Metal[[#This Row],[Recycle Rate]:[Recycle Rate]])</f>
        <v>1.6472514999999997E-2</v>
      </c>
      <c r="T29" s="19">
        <f>Special_Metal[[#This Row],[Water (kg)
(Pre-Recycling)]]*(1-Special_Metal[[#This Row],[Recycle Rate]:[Recycle Rate]])</f>
        <v>5.3625492999999986</v>
      </c>
      <c r="V29" s="32"/>
      <c r="W29" s="32"/>
    </row>
    <row r="30" spans="2:23" x14ac:dyDescent="0.25">
      <c r="B30" s="16" t="s">
        <v>162</v>
      </c>
      <c r="D30" t="s">
        <v>151</v>
      </c>
      <c r="E30">
        <v>8858.2453000000005</v>
      </c>
      <c r="F30">
        <v>218202.32</v>
      </c>
      <c r="G30">
        <v>13081.154</v>
      </c>
      <c r="H30">
        <v>116.61353</v>
      </c>
      <c r="I30">
        <v>750.83348999999998</v>
      </c>
      <c r="J30">
        <v>308747.23</v>
      </c>
      <c r="K30" s="17" t="s">
        <v>745</v>
      </c>
      <c r="L30" s="46">
        <v>0.9</v>
      </c>
      <c r="M30" s="45"/>
      <c r="N30" s="43"/>
      <c r="O30" s="19">
        <f>Special_Metal[[#This Row],[Mass Net (kg)
(Pre-Recycling)]]*(1-Special_Metal[[#This Row],[Recycle Rate]:[Recycle Rate]])</f>
        <v>885.82452999999987</v>
      </c>
      <c r="P30" s="19">
        <f>Special_Metal[[#This Row],[Energy (MJ)
(Pre-Recycling)]]*(1-Special_Metal[[#This Row],[Recycle Rate]:[Recycle Rate]])</f>
        <v>21820.231999999996</v>
      </c>
      <c r="Q30" s="19">
        <f>Special_Metal[[#This Row],[GWP (kg CO2 equiv.)
(Pre-Recycling)]]*(1-Special_Metal[[#This Row],[Recycle Rate]:[Recycle Rate]])</f>
        <v>1308.1153999999997</v>
      </c>
      <c r="R30" s="19">
        <f>Special_Metal[[#This Row],[Acidification (kg SO2 equiv.)
(Pre-Recycling)]]*(1-Special_Metal[[#This Row],[Recycle Rate]:[Recycle Rate]])</f>
        <v>11.661352999999997</v>
      </c>
      <c r="S30" s="19">
        <f>Special_Metal[[#This Row],[Eutrophication (kg posphate equiv.)
(Pre-Recycling)]]*(1-Special_Metal[[#This Row],[Recycle Rate]:[Recycle Rate]])</f>
        <v>75.083348999999984</v>
      </c>
      <c r="T30" s="19">
        <f>Special_Metal[[#This Row],[Water (kg)
(Pre-Recycling)]]*(1-Special_Metal[[#This Row],[Recycle Rate]:[Recycle Rate]])</f>
        <v>30874.722999999991</v>
      </c>
      <c r="V30" s="32"/>
      <c r="W30" s="32"/>
    </row>
    <row r="31" spans="2:23" x14ac:dyDescent="0.25">
      <c r="B31" s="16" t="s">
        <v>163</v>
      </c>
      <c r="D31" t="s">
        <v>151</v>
      </c>
      <c r="E31">
        <v>331.78007000000002</v>
      </c>
      <c r="F31">
        <v>2573.3231000000001</v>
      </c>
      <c r="G31">
        <v>153.76156</v>
      </c>
      <c r="H31">
        <v>2.0035649000000002</v>
      </c>
      <c r="I31">
        <v>0.92035937999999995</v>
      </c>
      <c r="J31">
        <v>3571.2069999999999</v>
      </c>
      <c r="K31" s="17" t="s">
        <v>746</v>
      </c>
      <c r="L31" s="46">
        <v>0.98</v>
      </c>
      <c r="M31" s="42" t="s">
        <v>293</v>
      </c>
      <c r="N31" s="43" t="s">
        <v>753</v>
      </c>
      <c r="O31" s="19">
        <f>Special_Metal[[#This Row],[Mass Net (kg)
(Pre-Recycling)]]*(1-Special_Metal[[#This Row],[Recycle Rate]:[Recycle Rate]])</f>
        <v>6.6356014000000068</v>
      </c>
      <c r="P31" s="19">
        <f>Special_Metal[[#This Row],[Energy (MJ)
(Pre-Recycling)]]*(1-Special_Metal[[#This Row],[Recycle Rate]:[Recycle Rate]])</f>
        <v>51.46646200000005</v>
      </c>
      <c r="Q31" s="19">
        <f>Special_Metal[[#This Row],[GWP (kg CO2 equiv.)
(Pre-Recycling)]]*(1-Special_Metal[[#This Row],[Recycle Rate]:[Recycle Rate]])</f>
        <v>3.0752312000000028</v>
      </c>
      <c r="R31" s="19">
        <f>Special_Metal[[#This Row],[Acidification (kg SO2 equiv.)
(Pre-Recycling)]]*(1-Special_Metal[[#This Row],[Recycle Rate]:[Recycle Rate]])</f>
        <v>4.007129800000004E-2</v>
      </c>
      <c r="S31" s="19">
        <f>Special_Metal[[#This Row],[Eutrophication (kg posphate equiv.)
(Pre-Recycling)]]*(1-Special_Metal[[#This Row],[Recycle Rate]:[Recycle Rate]])</f>
        <v>1.8407187600000017E-2</v>
      </c>
      <c r="T31" s="19">
        <f>Special_Metal[[#This Row],[Water (kg)
(Pre-Recycling)]]*(1-Special_Metal[[#This Row],[Recycle Rate]:[Recycle Rate]])</f>
        <v>71.424140000000065</v>
      </c>
      <c r="V31" s="32"/>
      <c r="W31" s="32"/>
    </row>
    <row r="32" spans="2:23" x14ac:dyDescent="0.25">
      <c r="B32" s="16" t="s">
        <v>164</v>
      </c>
      <c r="D32" t="s">
        <v>151</v>
      </c>
      <c r="E32">
        <v>2.4484802000000001</v>
      </c>
      <c r="F32">
        <v>24.975451</v>
      </c>
      <c r="G32">
        <v>1.4720352000000001</v>
      </c>
      <c r="H32">
        <v>5.8959041E-3</v>
      </c>
      <c r="I32">
        <v>3.1424726000000001E-3</v>
      </c>
      <c r="J32">
        <v>11.446826</v>
      </c>
      <c r="K32" s="17" t="s">
        <v>747</v>
      </c>
      <c r="L32" s="46">
        <v>0.28999999999999998</v>
      </c>
      <c r="M32" s="42" t="s">
        <v>294</v>
      </c>
      <c r="N32" s="43" t="s">
        <v>295</v>
      </c>
      <c r="O32" s="19">
        <f>Special_Metal[[#This Row],[Mass Net (kg)
(Pre-Recycling)]]*(1-Special_Metal[[#This Row],[Recycle Rate]:[Recycle Rate]])</f>
        <v>1.7384209420000001</v>
      </c>
      <c r="P32" s="19">
        <f>Special_Metal[[#This Row],[Energy (MJ)
(Pre-Recycling)]]*(1-Special_Metal[[#This Row],[Recycle Rate]:[Recycle Rate]])</f>
        <v>17.732570209999999</v>
      </c>
      <c r="Q32" s="19">
        <f>Special_Metal[[#This Row],[GWP (kg CO2 equiv.)
(Pre-Recycling)]]*(1-Special_Metal[[#This Row],[Recycle Rate]:[Recycle Rate]])</f>
        <v>1.045144992</v>
      </c>
      <c r="R32" s="19">
        <f>Special_Metal[[#This Row],[Acidification (kg SO2 equiv.)
(Pre-Recycling)]]*(1-Special_Metal[[#This Row],[Recycle Rate]:[Recycle Rate]])</f>
        <v>4.1860919109999997E-3</v>
      </c>
      <c r="S32" s="19">
        <f>Special_Metal[[#This Row],[Eutrophication (kg posphate equiv.)
(Pre-Recycling)]]*(1-Special_Metal[[#This Row],[Recycle Rate]:[Recycle Rate]])</f>
        <v>2.2311555459999998E-3</v>
      </c>
      <c r="T32" s="19">
        <f>Special_Metal[[#This Row],[Water (kg)
(Pre-Recycling)]]*(1-Special_Metal[[#This Row],[Recycle Rate]:[Recycle Rate]])</f>
        <v>8.1272464600000003</v>
      </c>
      <c r="V32" s="32"/>
      <c r="W32" s="32"/>
    </row>
    <row r="33" spans="2:23" x14ac:dyDescent="0.25">
      <c r="B33" s="16" t="s">
        <v>165</v>
      </c>
      <c r="D33" t="s">
        <v>151</v>
      </c>
      <c r="E33">
        <v>51.107129999999998</v>
      </c>
      <c r="F33">
        <v>187.22169</v>
      </c>
      <c r="G33">
        <v>10.873378000000001</v>
      </c>
      <c r="H33">
        <v>1.7069075</v>
      </c>
      <c r="I33">
        <v>0.13458572999999999</v>
      </c>
      <c r="J33">
        <v>280.77994000000001</v>
      </c>
      <c r="K33" s="17" t="s">
        <v>748</v>
      </c>
      <c r="L33" s="46">
        <v>0.95</v>
      </c>
      <c r="M33" s="42" t="s">
        <v>298</v>
      </c>
      <c r="N33" s="45" t="s">
        <v>297</v>
      </c>
      <c r="O33" s="19">
        <f>Special_Metal[[#This Row],[Mass Net (kg)
(Pre-Recycling)]]*(1-Special_Metal[[#This Row],[Recycle Rate]:[Recycle Rate]])</f>
        <v>2.555356500000002</v>
      </c>
      <c r="P33" s="19">
        <f>Special_Metal[[#This Row],[Energy (MJ)
(Pre-Recycling)]]*(1-Special_Metal[[#This Row],[Recycle Rate]:[Recycle Rate]])</f>
        <v>9.3610845000000076</v>
      </c>
      <c r="Q33" s="19">
        <f>Special_Metal[[#This Row],[GWP (kg CO2 equiv.)
(Pre-Recycling)]]*(1-Special_Metal[[#This Row],[Recycle Rate]:[Recycle Rate]])</f>
        <v>0.54366890000000057</v>
      </c>
      <c r="R33" s="19">
        <f>Special_Metal[[#This Row],[Acidification (kg SO2 equiv.)
(Pre-Recycling)]]*(1-Special_Metal[[#This Row],[Recycle Rate]:[Recycle Rate]])</f>
        <v>8.534537500000007E-2</v>
      </c>
      <c r="S33" s="19">
        <f>Special_Metal[[#This Row],[Eutrophication (kg posphate equiv.)
(Pre-Recycling)]]*(1-Special_Metal[[#This Row],[Recycle Rate]:[Recycle Rate]])</f>
        <v>6.7292865000000051E-3</v>
      </c>
      <c r="T33" s="19">
        <f>Special_Metal[[#This Row],[Water (kg)
(Pre-Recycling)]]*(1-Special_Metal[[#This Row],[Recycle Rate]:[Recycle Rate]])</f>
        <v>14.038997000000013</v>
      </c>
      <c r="V33" s="32"/>
      <c r="W33" s="32"/>
    </row>
    <row r="34" spans="2:23" x14ac:dyDescent="0.25">
      <c r="B34" s="16" t="s">
        <v>668</v>
      </c>
      <c r="D34" t="s">
        <v>151</v>
      </c>
      <c r="E34" s="111">
        <v>14.89</v>
      </c>
      <c r="F34" s="111">
        <v>59.5</v>
      </c>
      <c r="G34" s="111">
        <v>11.18</v>
      </c>
      <c r="H34" s="111">
        <v>0.1053</v>
      </c>
      <c r="I34" s="111">
        <v>7.7000000000000002E-3</v>
      </c>
      <c r="J34" s="111">
        <v>19.600000000000001</v>
      </c>
      <c r="K34" s="17"/>
      <c r="L34" s="46"/>
      <c r="M34" s="45"/>
      <c r="N34" s="45"/>
      <c r="O34" s="19">
        <f>Special_Metal[[#This Row],[Mass Net (kg)
(Pre-Recycling)]]*(1-Special_Metal[[#This Row],[Recycle Rate]:[Recycle Rate]])</f>
        <v>14.89</v>
      </c>
      <c r="P34" s="19">
        <f>Special_Metal[[#This Row],[Energy (MJ)
(Pre-Recycling)]]*(1-Special_Metal[[#This Row],[Recycle Rate]:[Recycle Rate]])</f>
        <v>59.5</v>
      </c>
      <c r="Q34" s="19">
        <f>Special_Metal[[#This Row],[GWP (kg CO2 equiv.)
(Pre-Recycling)]]*(1-Special_Metal[[#This Row],[Recycle Rate]:[Recycle Rate]])</f>
        <v>11.18</v>
      </c>
      <c r="R34" s="19">
        <f>Special_Metal[[#This Row],[Acidification (kg SO2 equiv.)
(Pre-Recycling)]]*(1-Special_Metal[[#This Row],[Recycle Rate]:[Recycle Rate]])</f>
        <v>0.1053</v>
      </c>
      <c r="S34" s="19">
        <f>Special_Metal[[#This Row],[Eutrophication (kg posphate equiv.)
(Pre-Recycling)]]*(1-Special_Metal[[#This Row],[Recycle Rate]:[Recycle Rate]])</f>
        <v>7.7000000000000002E-3</v>
      </c>
      <c r="T34" s="19">
        <f>Special_Metal[[#This Row],[Water (kg)
(Pre-Recycling)]]*(1-Special_Metal[[#This Row],[Recycle Rate]:[Recycle Rate]])</f>
        <v>19.600000000000001</v>
      </c>
      <c r="V34" s="32"/>
      <c r="W34" s="32"/>
    </row>
    <row r="35" spans="2:23" x14ac:dyDescent="0.25">
      <c r="B35" s="16" t="s">
        <v>166</v>
      </c>
      <c r="D35" t="s">
        <v>151</v>
      </c>
      <c r="E35">
        <v>8668.6579999999994</v>
      </c>
      <c r="F35">
        <v>181513.71</v>
      </c>
      <c r="G35">
        <v>9710.1082000000006</v>
      </c>
      <c r="H35">
        <v>7072.1427999999996</v>
      </c>
      <c r="I35">
        <v>69.714274000000003</v>
      </c>
      <c r="J35">
        <v>307880.45</v>
      </c>
      <c r="K35" s="17" t="s">
        <v>749</v>
      </c>
      <c r="L35" s="46">
        <v>0.9</v>
      </c>
      <c r="M35" s="42" t="s">
        <v>300</v>
      </c>
      <c r="N35" s="45" t="s">
        <v>299</v>
      </c>
      <c r="O35" s="19">
        <f>Special_Metal[[#This Row],[Mass Net (kg)
(Pre-Recycling)]]*(1-Special_Metal[[#This Row],[Recycle Rate]:[Recycle Rate]])</f>
        <v>866.86579999999981</v>
      </c>
      <c r="P35" s="19">
        <f>Special_Metal[[#This Row],[Energy (MJ)
(Pre-Recycling)]]*(1-Special_Metal[[#This Row],[Recycle Rate]:[Recycle Rate]])</f>
        <v>18151.370999999996</v>
      </c>
      <c r="Q35" s="19">
        <f>Special_Metal[[#This Row],[GWP (kg CO2 equiv.)
(Pre-Recycling)]]*(1-Special_Metal[[#This Row],[Recycle Rate]:[Recycle Rate]])</f>
        <v>971.01081999999985</v>
      </c>
      <c r="R35" s="19">
        <f>Special_Metal[[#This Row],[Acidification (kg SO2 equiv.)
(Pre-Recycling)]]*(1-Special_Metal[[#This Row],[Recycle Rate]:[Recycle Rate]])</f>
        <v>707.2142799999998</v>
      </c>
      <c r="S35" s="19">
        <f>Special_Metal[[#This Row],[Eutrophication (kg posphate equiv.)
(Pre-Recycling)]]*(1-Special_Metal[[#This Row],[Recycle Rate]:[Recycle Rate]])</f>
        <v>6.9714273999999987</v>
      </c>
      <c r="T35" s="19">
        <f>Special_Metal[[#This Row],[Water (kg)
(Pre-Recycling)]]*(1-Special_Metal[[#This Row],[Recycle Rate]:[Recycle Rate]])</f>
        <v>30788.044999999995</v>
      </c>
      <c r="V35" s="32"/>
      <c r="W35" s="32"/>
    </row>
    <row r="36" spans="2:23" x14ac:dyDescent="0.25">
      <c r="B36" s="16" t="s">
        <v>167</v>
      </c>
      <c r="D36" t="s">
        <v>151</v>
      </c>
      <c r="E36">
        <v>11902.662</v>
      </c>
      <c r="F36">
        <v>287794.88</v>
      </c>
      <c r="G36">
        <v>14780.197</v>
      </c>
      <c r="H36">
        <v>3377.3202999999999</v>
      </c>
      <c r="I36">
        <v>193.80238</v>
      </c>
      <c r="J36">
        <v>326489.96999999997</v>
      </c>
      <c r="K36" s="17" t="s">
        <v>750</v>
      </c>
      <c r="L36" s="46">
        <v>0.9</v>
      </c>
      <c r="M36" s="45" t="s">
        <v>301</v>
      </c>
      <c r="N36" s="45" t="s">
        <v>302</v>
      </c>
      <c r="O36" s="19">
        <f>Special_Metal[[#This Row],[Mass Net (kg)
(Pre-Recycling)]]*(1-Special_Metal[[#This Row],[Recycle Rate]:[Recycle Rate]])</f>
        <v>1190.2661999999998</v>
      </c>
      <c r="P36" s="19">
        <f>Special_Metal[[#This Row],[Energy (MJ)
(Pre-Recycling)]]*(1-Special_Metal[[#This Row],[Recycle Rate]:[Recycle Rate]])</f>
        <v>28779.487999999994</v>
      </c>
      <c r="Q36" s="19">
        <f>Special_Metal[[#This Row],[GWP (kg CO2 equiv.)
(Pre-Recycling)]]*(1-Special_Metal[[#This Row],[Recycle Rate]:[Recycle Rate]])</f>
        <v>1478.0196999999996</v>
      </c>
      <c r="R36" s="19">
        <f>Special_Metal[[#This Row],[Acidification (kg SO2 equiv.)
(Pre-Recycling)]]*(1-Special_Metal[[#This Row],[Recycle Rate]:[Recycle Rate]])</f>
        <v>337.7320299999999</v>
      </c>
      <c r="S36" s="19">
        <f>Special_Metal[[#This Row],[Eutrophication (kg posphate equiv.)
(Pre-Recycling)]]*(1-Special_Metal[[#This Row],[Recycle Rate]:[Recycle Rate]])</f>
        <v>19.380237999999995</v>
      </c>
      <c r="T36" s="19">
        <f>Special_Metal[[#This Row],[Water (kg)
(Pre-Recycling)]]*(1-Special_Metal[[#This Row],[Recycle Rate]:[Recycle Rate]])</f>
        <v>32648.996999999988</v>
      </c>
      <c r="V36" s="32"/>
      <c r="W36" s="32"/>
    </row>
    <row r="37" spans="2:23" x14ac:dyDescent="0.25">
      <c r="B37" s="17" t="s">
        <v>168</v>
      </c>
      <c r="D37" t="s">
        <v>151</v>
      </c>
      <c r="E37">
        <v>23425.960999999999</v>
      </c>
      <c r="F37">
        <v>562193.02</v>
      </c>
      <c r="G37">
        <v>28924.794999999998</v>
      </c>
      <c r="H37">
        <v>7300.5279</v>
      </c>
      <c r="I37">
        <v>370.87338999999997</v>
      </c>
      <c r="J37">
        <v>652135.65</v>
      </c>
      <c r="K37" s="17" t="s">
        <v>751</v>
      </c>
      <c r="L37" s="46">
        <v>0.9</v>
      </c>
      <c r="M37" s="21" t="s">
        <v>300</v>
      </c>
      <c r="N37" s="45" t="s">
        <v>299</v>
      </c>
      <c r="O37" s="19">
        <f>Special_Metal[[#This Row],[Mass Net (kg)
(Pre-Recycling)]]*(1-Special_Metal[[#This Row],[Recycle Rate]:[Recycle Rate]])</f>
        <v>2342.5960999999993</v>
      </c>
      <c r="P37" s="19">
        <f>Special_Metal[[#This Row],[Energy (MJ)
(Pre-Recycling)]]*(1-Special_Metal[[#This Row],[Recycle Rate]:[Recycle Rate]])</f>
        <v>56219.301999999989</v>
      </c>
      <c r="Q37" s="19">
        <f>Special_Metal[[#This Row],[GWP (kg CO2 equiv.)
(Pre-Recycling)]]*(1-Special_Metal[[#This Row],[Recycle Rate]:[Recycle Rate]])</f>
        <v>2892.479499999999</v>
      </c>
      <c r="R37" s="19">
        <f>Special_Metal[[#This Row],[Acidification (kg SO2 equiv.)
(Pre-Recycling)]]*(1-Special_Metal[[#This Row],[Recycle Rate]:[Recycle Rate]])</f>
        <v>730.05278999999985</v>
      </c>
      <c r="S37" s="19">
        <f>Special_Metal[[#This Row],[Eutrophication (kg posphate equiv.)
(Pre-Recycling)]]*(1-Special_Metal[[#This Row],[Recycle Rate]:[Recycle Rate]])</f>
        <v>37.087338999999986</v>
      </c>
      <c r="T37" s="19">
        <f>Special_Metal[[#This Row],[Water (kg)
(Pre-Recycling)]]*(1-Special_Metal[[#This Row],[Recycle Rate]:[Recycle Rate]])</f>
        <v>65213.564999999988</v>
      </c>
      <c r="V37" s="32"/>
      <c r="W37" s="32"/>
    </row>
    <row r="38" spans="2:23" x14ac:dyDescent="0.25">
      <c r="B38" s="18" t="s">
        <v>169</v>
      </c>
      <c r="D38" t="s">
        <v>151</v>
      </c>
      <c r="E38">
        <v>8.5626160000000002</v>
      </c>
      <c r="F38">
        <v>56.055712999999997</v>
      </c>
      <c r="G38">
        <v>3.3713416</v>
      </c>
      <c r="H38">
        <v>4.6303603999999998E-2</v>
      </c>
      <c r="I38">
        <v>2.1633286000000002E-2</v>
      </c>
      <c r="J38">
        <v>84.91516</v>
      </c>
      <c r="K38" s="17" t="s">
        <v>752</v>
      </c>
      <c r="L38" s="46">
        <v>0.99099999999999999</v>
      </c>
      <c r="M38" s="21" t="s">
        <v>303</v>
      </c>
      <c r="N38" s="45" t="s">
        <v>304</v>
      </c>
      <c r="O38" s="19">
        <f>Special_Metal[[#This Row],[Mass Net (kg)
(Pre-Recycling)]]*(1-Special_Metal[[#This Row],[Recycle Rate]:[Recycle Rate]])</f>
        <v>7.7063544000000067E-2</v>
      </c>
      <c r="P38" s="19">
        <f>Special_Metal[[#This Row],[Energy (MJ)
(Pre-Recycling)]]*(1-Special_Metal[[#This Row],[Recycle Rate]:[Recycle Rate]])</f>
        <v>0.5045014170000004</v>
      </c>
      <c r="Q38" s="19">
        <f>Special_Metal[[#This Row],[GWP (kg CO2 equiv.)
(Pre-Recycling)]]*(1-Special_Metal[[#This Row],[Recycle Rate]:[Recycle Rate]])</f>
        <v>3.0342074400000026E-2</v>
      </c>
      <c r="R38" s="19">
        <f>Special_Metal[[#This Row],[Acidification (kg SO2 equiv.)
(Pre-Recycling)]]*(1-Special_Metal[[#This Row],[Recycle Rate]:[Recycle Rate]])</f>
        <v>4.1673243600000038E-4</v>
      </c>
      <c r="S38" s="19">
        <f>Special_Metal[[#This Row],[Eutrophication (kg posphate equiv.)
(Pre-Recycling)]]*(1-Special_Metal[[#This Row],[Recycle Rate]:[Recycle Rate]])</f>
        <v>1.946995740000002E-4</v>
      </c>
      <c r="T38" s="19">
        <f>Special_Metal[[#This Row],[Water (kg)
(Pre-Recycling)]]*(1-Special_Metal[[#This Row],[Recycle Rate]:[Recycle Rate]])</f>
        <v>0.76423644000000068</v>
      </c>
      <c r="V38" s="32"/>
      <c r="W38" s="32"/>
    </row>
  </sheetData>
  <mergeCells count="7">
    <mergeCell ref="O27:T27"/>
    <mergeCell ref="B2:K2"/>
    <mergeCell ref="B6:K6"/>
    <mergeCell ref="B10:K10"/>
    <mergeCell ref="B27:K27"/>
    <mergeCell ref="B14:K14"/>
    <mergeCell ref="B18:L18"/>
  </mergeCells>
  <dataValidations disablePrompts="1" count="1">
    <dataValidation type="list" allowBlank="1" showInputMessage="1" showErrorMessage="1" promptTitle="Instructions:" prompt="Use the in-cell dropdown to select the LCA classification for this material._x000a__x000a_Tap 'Esc' to close this popup." sqref="C20:C25" xr:uid="{9B334E90-3FF8-4F99-A554-622BD70ECCE1}">
      <formula1>INDIRECT("Classes")</formula1>
    </dataValidation>
  </dataValidations>
  <pageMargins left="0.7" right="0.7" top="0.75" bottom="0.75" header="0.3" footer="0.3"/>
  <pageSetup orientation="portrait"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
</file>

<file path=customXml/item10.xml>
</file>

<file path=customXml/item11.xml>
</file>

<file path=customXml/item12.xml>
</file>

<file path=customXml/item13.xml>
</file>

<file path=customXml/item14.xml>
</file>

<file path=customXml/item15.xml>
</file>

<file path=customXml/item16.xml>
</file>

<file path=customXml/item17.xml>
</file>

<file path=customXml/item18.xml><?xml version="1.0" encoding="utf-8"?>
<ct:contentTypeSchema xmlns:ct="http://schemas.microsoft.com/office/2006/metadata/contentType" xmlns:ma="http://schemas.microsoft.com/office/2006/metadata/properties/metaAttributes" ct:_="" ma:_="" ma:contentTypeName="Document" ma:contentTypeID="0x01010048BCA3253A9AAC4E9DF1EBB856F3BCA3" ma:contentTypeVersion="43" ma:contentTypeDescription="Create a new document." ma:contentTypeScope="" ma:versionID="fa9ca96f39a01e1a11f3eebcb4d36370">
  <xsd:schema xmlns:xsd="http://www.w3.org/2001/XMLSchema" xmlns:xs="http://www.w3.org/2001/XMLSchema" xmlns:p="http://schemas.microsoft.com/office/2006/metadata/properties" targetNamespace="http://schemas.microsoft.com/office/2006/metadata/properties" ma:root="true" ma:fieldsID="b851ab6625b9926079adbd3f0704c47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
</file>

<file path=customXml/item2.xml>
</file>

<file path=customXml/item20.xml>
</file>

<file path=customXml/item21.xml>
</file>

<file path=customXml/item22.xml>
</file>

<file path=customXml/item23.xml>
</file>

<file path=customXml/item24.xml>
</file>

<file path=customXml/item25.xml><?xml version="1.0" encoding="utf-8"?>
<p:properties xmlns:p="http://schemas.microsoft.com/office/2006/metadata/properties" xmlns:xsi="http://www.w3.org/2001/XMLSchema-instance" xmlns:pc="http://schemas.microsoft.com/office/infopath/2007/PartnerControls">
  <documentManagement/>
</p:properties>
</file>

<file path=customXml/item26.xml>
</file>

<file path=customXml/item27.xml><?xml version="1.0" encoding="utf-8"?>
<sisl xmlns:xsi="http://www.w3.org/2001/XMLSchema-instance" xmlns:xsd="http://www.w3.org/2001/XMLSchema" xmlns="http://www.boldonjames.com/2008/01/sie/internal/label" sislVersion="0" policy="a10f9ac0-5937-4b4f-b459-96aedd9ed2c5" origin="userSelected">
  <element uid="9920fcc9-9f43-4d43-9e3e-b98a219cfd55" value=""/>
</sisl>
</file>

<file path=customXml/item28.xml>
</file>

<file path=customXml/item29.xml>
</file>

<file path=customXml/item3.xml><?xml version="1.0" encoding="utf-8"?>
<?mso-contentType ?>
<FormTemplates xmlns="http://schemas.microsoft.com/sharepoint/v3/contenttype/forms">
  <Display>DocumentLibraryForm</Display>
  <Edit>DocumentLibraryForm</Edit>
  <New>DocumentLibraryForm</New>
</FormTemplates>
</file>

<file path=customXml/item30.xml>
</file>

<file path=customXml/item31.xml>
</file>

<file path=customXml/item32.xml>
</file>

<file path=customXml/item33.xml>
</file>

<file path=customXml/item34.xml>
</file>

<file path=customXml/item35.xml>
</file>

<file path=customXml/item36.xml>
</file>

<file path=customXml/item4.xml>��< ? x m l   v e r s i o n = " 1 . 0 "   e n c o d i n g = " u t f - 1 6 " ? > < D a t a M a s h u p   s q m i d = " e 0 2 d a 6 c 3 - f e 8 c - 4 9 b 7 - a 1 a f - 5 f e a b c 4 d c 9 9 9 "   x m l n s = " h t t p : / / s c h e m a s . m i c r o s o f t . c o m / D a t a M a s h u p " > A A A A A B g D A A B Q S w M E F A A C A A g A B G c 3 U H 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A R n N 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E Z z d Q K I p H u A 4 A A A A R A A A A E w A c A E Z v c m 1 1 b G F z L 1 N l Y 3 R p b 2 4 x L m 0 g o h g A K K A U A A A A A A A A A A A A A A A A A A A A A A A A A A A A K 0 5 N L s n M z 1 M I h t C G 1 g B Q S w E C L Q A U A A I A C A A E Z z d Q f M L S 3 K g A A A D 5 A A A A E g A A A A A A A A A A A A A A A A A A A A A A Q 2 9 u Z m l n L 1 B h Y 2 t h Z 2 U u e G 1 s U E s B A i 0 A F A A C A A g A B G c 3 U A / K 6 a u k A A A A 6 Q A A A B M A A A A A A A A A A A A A A A A A 9 A A A A F t D b 2 5 0 Z W 5 0 X 1 R 5 c G V z X S 5 4 b W x Q S w E C L Q A U A A I A C A A E Z z d 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P L 9 D L r 7 W k W 0 f / Z 4 I i 1 x Y w A A A A A C A A A A A A A D Z g A A w A A A A B A A A A D Y w B X 5 V L J e j U 7 S K l h 8 g O / a A A A A A A S A A A C g A A A A E A A A A E J 3 7 A Y z O H 0 V b / A V 0 u M X 7 x t Q A A A A Y P N N T U g m 0 y 2 C 6 h h J p E a Z b q 6 t i / d y r X y m K w R G U C D B u r r + Z + e Q q b W k D 6 X v P v G 5 t H r k C a / G J q N 9 I n s 5 r i / X E z b A v W I 2 M k 9 q T g F Q m Z 0 d b 7 9 8 L 7 Y U A A A A d Y 1 L 3 b / Z A 8 M / M m Y 1 O i i G 7 F f d D A w = < / D a t a M a s h u p > 
</file>

<file path=customXml/item5.xml>
</file>

<file path=customXml/item6.xml>
</file>

<file path=customXml/item7.xml>
</file>

<file path=customXml/item8.xml>
</file>

<file path=customXml/item9.xml>
</file>

<file path=customXml/itemProps1.xml><?xml version="1.0" encoding="utf-8"?>
<ds:datastoreItem xmlns:ds="http://schemas.openxmlformats.org/officeDocument/2006/customXml" ds:itemID="{D212958C-E70A-4EF7-9520-32BFEF8147EC}"/>
</file>

<file path=customXml/itemProps10.xml><?xml version="1.0" encoding="utf-8"?>
<ds:datastoreItem xmlns:ds="http://schemas.openxmlformats.org/officeDocument/2006/customXml" ds:itemID="{D7EBBEFA-9ECD-4BC3-8E14-DD6EF22FB981}"/>
</file>

<file path=customXml/itemProps11.xml><?xml version="1.0" encoding="utf-8"?>
<ds:datastoreItem xmlns:ds="http://schemas.openxmlformats.org/officeDocument/2006/customXml" ds:itemID="{2D26A0EC-41CF-4513-81D3-70623A8AACC7}"/>
</file>

<file path=customXml/itemProps12.xml><?xml version="1.0" encoding="utf-8"?>
<ds:datastoreItem xmlns:ds="http://schemas.openxmlformats.org/officeDocument/2006/customXml" ds:itemID="{2455E1C7-B6C7-4A34-8304-D144DF3CA4A1}"/>
</file>

<file path=customXml/itemProps13.xml><?xml version="1.0" encoding="utf-8"?>
<ds:datastoreItem xmlns:ds="http://schemas.openxmlformats.org/officeDocument/2006/customXml" ds:itemID="{E60F799F-BE72-46AE-B616-383F0F9BE9C1}"/>
</file>

<file path=customXml/itemProps14.xml><?xml version="1.0" encoding="utf-8"?>
<ds:datastoreItem xmlns:ds="http://schemas.openxmlformats.org/officeDocument/2006/customXml" ds:itemID="{D9941004-3FA9-4A2F-A3AC-A65575524BF5}"/>
</file>

<file path=customXml/itemProps15.xml><?xml version="1.0" encoding="utf-8"?>
<ds:datastoreItem xmlns:ds="http://schemas.openxmlformats.org/officeDocument/2006/customXml" ds:itemID="{07617FBF-E21E-4E1E-826C-AFD576A7FD20}"/>
</file>

<file path=customXml/itemProps16.xml><?xml version="1.0" encoding="utf-8"?>
<ds:datastoreItem xmlns:ds="http://schemas.openxmlformats.org/officeDocument/2006/customXml" ds:itemID="{B58970FE-2D00-4765-AA0A-577FDEB5DE13}"/>
</file>

<file path=customXml/itemProps17.xml><?xml version="1.0" encoding="utf-8"?>
<ds:datastoreItem xmlns:ds="http://schemas.openxmlformats.org/officeDocument/2006/customXml" ds:itemID="{4150FC1A-F964-4034-B56A-E2EF2647278F}"/>
</file>

<file path=customXml/itemProps18.xml><?xml version="1.0" encoding="utf-8"?>
<ds:datastoreItem xmlns:ds="http://schemas.openxmlformats.org/officeDocument/2006/customXml" ds:itemID="{D03A39AD-2D20-410C-99B2-479CBF7069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9.xml><?xml version="1.0" encoding="utf-8"?>
<ds:datastoreItem xmlns:ds="http://schemas.openxmlformats.org/officeDocument/2006/customXml" ds:itemID="{B5384F30-48F1-4F88-9FD4-38D06F7FB5D1}"/>
</file>

<file path=customXml/itemProps2.xml><?xml version="1.0" encoding="utf-8"?>
<ds:datastoreItem xmlns:ds="http://schemas.openxmlformats.org/officeDocument/2006/customXml" ds:itemID="{72C82B09-34C9-4211-B064-0FD5D76A5F9D}"/>
</file>

<file path=customXml/itemProps20.xml><?xml version="1.0" encoding="utf-8"?>
<ds:datastoreItem xmlns:ds="http://schemas.openxmlformats.org/officeDocument/2006/customXml" ds:itemID="{305D4F88-F984-467F-8BA3-834F9B1CC313}"/>
</file>

<file path=customXml/itemProps21.xml><?xml version="1.0" encoding="utf-8"?>
<ds:datastoreItem xmlns:ds="http://schemas.openxmlformats.org/officeDocument/2006/customXml" ds:itemID="{E76AEF69-D20D-4F68-AC8F-7C96FF70CA78}"/>
</file>

<file path=customXml/itemProps22.xml><?xml version="1.0" encoding="utf-8"?>
<ds:datastoreItem xmlns:ds="http://schemas.openxmlformats.org/officeDocument/2006/customXml" ds:itemID="{46907A88-E5CA-4DD6-B3C9-6BEA4E4779E7}"/>
</file>

<file path=customXml/itemProps23.xml><?xml version="1.0" encoding="utf-8"?>
<ds:datastoreItem xmlns:ds="http://schemas.openxmlformats.org/officeDocument/2006/customXml" ds:itemID="{ADA0123C-4138-412E-9289-EAB0083CAFAF}"/>
</file>

<file path=customXml/itemProps24.xml><?xml version="1.0" encoding="utf-8"?>
<ds:datastoreItem xmlns:ds="http://schemas.openxmlformats.org/officeDocument/2006/customXml" ds:itemID="{C17C816C-14DA-46D2-91FE-3707D8A70627}"/>
</file>

<file path=customXml/itemProps25.xml><?xml version="1.0" encoding="utf-8"?>
<ds:datastoreItem xmlns:ds="http://schemas.openxmlformats.org/officeDocument/2006/customXml" ds:itemID="{9B97FD9B-FFB7-4C2F-8C76-B8E2AF12235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6.xml><?xml version="1.0" encoding="utf-8"?>
<ds:datastoreItem xmlns:ds="http://schemas.openxmlformats.org/officeDocument/2006/customXml" ds:itemID="{EFFC9AAD-A22D-40DE-A194-68877EF69F08}"/>
</file>

<file path=customXml/itemProps27.xml><?xml version="1.0" encoding="utf-8"?>
<ds:datastoreItem xmlns:ds="http://schemas.openxmlformats.org/officeDocument/2006/customXml" ds:itemID="{2DAA94D0-156C-4B0D-8052-AD0458D42319}">
  <ds:schemaRefs>
    <ds:schemaRef ds:uri="http://www.w3.org/2001/XMLSchema"/>
    <ds:schemaRef ds:uri="http://www.boldonjames.com/2008/01/sie/internal/label"/>
  </ds:schemaRefs>
</ds:datastoreItem>
</file>

<file path=customXml/itemProps28.xml><?xml version="1.0" encoding="utf-8"?>
<ds:datastoreItem xmlns:ds="http://schemas.openxmlformats.org/officeDocument/2006/customXml" ds:itemID="{F822BAF9-207B-437F-BBA1-797D27E90CC3}"/>
</file>

<file path=customXml/itemProps29.xml><?xml version="1.0" encoding="utf-8"?>
<ds:datastoreItem xmlns:ds="http://schemas.openxmlformats.org/officeDocument/2006/customXml" ds:itemID="{1558EE4C-ADE4-4010-9419-3D686C47DD5C}"/>
</file>

<file path=customXml/itemProps3.xml><?xml version="1.0" encoding="utf-8"?>
<ds:datastoreItem xmlns:ds="http://schemas.openxmlformats.org/officeDocument/2006/customXml" ds:itemID="{6BA9DC80-FBB5-4FF0-85F5-1C4B205CC753}">
  <ds:schemaRefs>
    <ds:schemaRef ds:uri="http://schemas.microsoft.com/sharepoint/v3/contenttype/forms"/>
  </ds:schemaRefs>
</ds:datastoreItem>
</file>

<file path=customXml/itemProps30.xml><?xml version="1.0" encoding="utf-8"?>
<ds:datastoreItem xmlns:ds="http://schemas.openxmlformats.org/officeDocument/2006/customXml" ds:itemID="{9710071B-3AAA-48C9-A934-24BB07CCD974}"/>
</file>

<file path=customXml/itemProps31.xml><?xml version="1.0" encoding="utf-8"?>
<ds:datastoreItem xmlns:ds="http://schemas.openxmlformats.org/officeDocument/2006/customXml" ds:itemID="{386193D9-8439-49AA-9D9F-C84FDC24270D}"/>
</file>

<file path=customXml/itemProps32.xml><?xml version="1.0" encoding="utf-8"?>
<ds:datastoreItem xmlns:ds="http://schemas.openxmlformats.org/officeDocument/2006/customXml" ds:itemID="{94750BE1-990B-4CD6-BAF1-03DA72C8932B}"/>
</file>

<file path=customXml/itemProps33.xml><?xml version="1.0" encoding="utf-8"?>
<ds:datastoreItem xmlns:ds="http://schemas.openxmlformats.org/officeDocument/2006/customXml" ds:itemID="{1D10E5C8-E567-4BEA-B1DE-CE72B486209F}"/>
</file>

<file path=customXml/itemProps34.xml><?xml version="1.0" encoding="utf-8"?>
<ds:datastoreItem xmlns:ds="http://schemas.openxmlformats.org/officeDocument/2006/customXml" ds:itemID="{E4C4D5F7-87C0-4639-9A4A-47701B961584}"/>
</file>

<file path=customXml/itemProps35.xml><?xml version="1.0" encoding="utf-8"?>
<ds:datastoreItem xmlns:ds="http://schemas.openxmlformats.org/officeDocument/2006/customXml" ds:itemID="{7B48738C-A8A2-462B-9D82-CBE3E3DE0074}"/>
</file>

<file path=customXml/itemProps36.xml><?xml version="1.0" encoding="utf-8"?>
<ds:datastoreItem xmlns:ds="http://schemas.openxmlformats.org/officeDocument/2006/customXml" ds:itemID="{48AA4258-B2B5-4C9F-92F6-4E2170B8C809}"/>
</file>

<file path=customXml/itemProps4.xml><?xml version="1.0" encoding="utf-8"?>
<ds:datastoreItem xmlns:ds="http://schemas.openxmlformats.org/officeDocument/2006/customXml" ds:itemID="{DC130C5D-2CDE-47C5-AD95-1E28FF39AC82}">
  <ds:schemaRefs>
    <ds:schemaRef ds:uri="http://schemas.microsoft.com/DataMashup"/>
  </ds:schemaRefs>
</ds:datastoreItem>
</file>

<file path=customXml/itemProps5.xml><?xml version="1.0" encoding="utf-8"?>
<ds:datastoreItem xmlns:ds="http://schemas.openxmlformats.org/officeDocument/2006/customXml" ds:itemID="{18D32365-7C3B-481B-86C5-668473127F4D}"/>
</file>

<file path=customXml/itemProps6.xml><?xml version="1.0" encoding="utf-8"?>
<ds:datastoreItem xmlns:ds="http://schemas.openxmlformats.org/officeDocument/2006/customXml" ds:itemID="{E7588FF9-62FD-424E-B4E8-6E6357092C9A}"/>
</file>

<file path=customXml/itemProps7.xml><?xml version="1.0" encoding="utf-8"?>
<ds:datastoreItem xmlns:ds="http://schemas.openxmlformats.org/officeDocument/2006/customXml" ds:itemID="{FD41CF22-A894-4379-878F-C6D50C153242}"/>
</file>

<file path=customXml/itemProps8.xml><?xml version="1.0" encoding="utf-8"?>
<ds:datastoreItem xmlns:ds="http://schemas.openxmlformats.org/officeDocument/2006/customXml" ds:itemID="{8A119912-5ED3-425A-B823-06BB0ADA41BC}"/>
</file>

<file path=customXml/itemProps9.xml><?xml version="1.0" encoding="utf-8"?>
<ds:datastoreItem xmlns:ds="http://schemas.openxmlformats.org/officeDocument/2006/customXml" ds:itemID="{96CDDE2D-26CD-4524-B313-3438D54D35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Introduction</vt:lpstr>
      <vt:lpstr>1. Define Process Steps</vt:lpstr>
      <vt:lpstr>2. Enter Step Details</vt:lpstr>
      <vt:lpstr>3. Process Metrics Dashboard</vt:lpstr>
      <vt:lpstr>A. Behind-the-scenes</vt:lpstr>
      <vt:lpstr>B. Common Solvent DB</vt:lpstr>
      <vt:lpstr>C. Additional Materials DB</vt:lpstr>
      <vt:lpstr>Arrow_Offset</vt:lpstr>
      <vt:lpstr>Collision_Distance</vt:lpstr>
      <vt:lpstr>Edge_Length</vt:lpstr>
      <vt:lpstr>Network_Graph_Labels</vt:lpstr>
      <vt:lpstr>'2. Enter Step Details'!plotrange_PNG_All_X</vt:lpstr>
      <vt:lpstr>'2. Enter Step Details'!plotrange_PNG_All_Y</vt:lpstr>
      <vt:lpstr>'A. Behind-the-scenes'!plotrange_PNG_Arrow_X</vt:lpstr>
      <vt:lpstr>'A. Behind-the-scenes'!plotrange_PNG_Arrow_Y</vt:lpstr>
      <vt:lpstr>'2. Enter Step Details'!plotrange_PNG_Display_Name_Labels</vt:lpstr>
      <vt:lpstr>'2. Enter Step Details'!plotrange_PNG_Real_Step_X</vt:lpstr>
      <vt:lpstr>'2. Enter Step Details'!plotrange_PNG_Real_Step_Y</vt:lpstr>
      <vt:lpstr>'2. Enter Step Details'!plotrange_PNG_RM_X</vt:lpstr>
      <vt:lpstr>'2. Enter Step Details'!plotrange_PNG_RM_Y</vt:lpstr>
      <vt:lpstr>Run_Reset_PNG</vt:lpstr>
      <vt:lpstr>Run_Reset_Recycle_Iteration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Harrison Bellow</dc:creator>
  <cp:lastModifiedBy>Rose, Harrison Bellow</cp:lastModifiedBy>
  <cp:lastPrinted>2020-01-21T18:40:11Z</cp:lastPrinted>
  <dcterms:created xsi:type="dcterms:W3CDTF">2019-11-03T16:06:47Z</dcterms:created>
  <dcterms:modified xsi:type="dcterms:W3CDTF">2025-09-22T14:21:30Z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152117bd-a41d-4c00-be9b-5a570280d3f8</vt:lpwstr>
  </property>
  <property fmtid="{D5CDD505-2E9C-101B-9397-08002B2CF9AE}" pid="3" name="bjSaver">
    <vt:lpwstr>eFg+njQ7psjrp8zKh9utLdclIDxjdnPV</vt:lpwstr>
  </property>
  <property fmtid="{D5CDD505-2E9C-101B-9397-08002B2CF9AE}" pid="4" name="ContentTypeId">
    <vt:lpwstr>0x01010048BCA3253A9AAC4E9DF1EBB856F3BCA3</vt:lpwstr>
  </property>
  <property fmtid="{D5CDD505-2E9C-101B-9397-08002B2CF9AE}" pid="5" name="bjDocumentLabelXML">
    <vt:lpwstr>&lt;?xml version="1.0" encoding="us-ascii"?&gt;&lt;sisl xmlns:xsi="http://www.w3.org/2001/XMLSchema-instance" xmlns:xsd="http://www.w3.org/2001/XMLSchema" sislVersion="0" policy="a10f9ac0-5937-4b4f-b459-96aedd9ed2c5" origin="userSelected" xmlns="http://www.boldonj</vt:lpwstr>
  </property>
  <property fmtid="{D5CDD505-2E9C-101B-9397-08002B2CF9AE}" pid="6" name="bjDocumentLabelXML-0">
    <vt:lpwstr>ames.com/2008/01/sie/internal/label"&gt;&lt;element uid="9920fcc9-9f43-4d43-9e3e-b98a219cfd55" value="" /&gt;&lt;/sisl&gt;</vt:lpwstr>
  </property>
  <property fmtid="{D5CDD505-2E9C-101B-9397-08002B2CF9AE}" pid="7" name="bjDocumentSecurityLabel">
    <vt:lpwstr>Not Classified</vt:lpwstr>
  </property>
  <property fmtid="{D5CDD505-2E9C-101B-9397-08002B2CF9AE}" pid="8" name="_AdHocReviewCycleID">
    <vt:i4>2001982915</vt:i4>
  </property>
  <property fmtid="{D5CDD505-2E9C-101B-9397-08002B2CF9AE}" pid="9" name="_NewReviewCycle">
    <vt:lpwstr/>
  </property>
  <property fmtid="{D5CDD505-2E9C-101B-9397-08002B2CF9AE}" pid="10" name="_EmailSubject">
    <vt:lpwstr>ACSGCI_PR_PMI-LCA_V07_EcoinventV2_June2020.xlsx</vt:lpwstr>
  </property>
  <property fmtid="{D5CDD505-2E9C-101B-9397-08002B2CF9AE}" pid="11" name="_AuthorEmail">
    <vt:lpwstr>birgit_kosjek@merck.com</vt:lpwstr>
  </property>
  <property fmtid="{D5CDD505-2E9C-101B-9397-08002B2CF9AE}" pid="12" name="_AuthorEmailDisplayName">
    <vt:lpwstr>Kosjek, Birgit</vt:lpwstr>
  </property>
  <property fmtid="{D5CDD505-2E9C-101B-9397-08002B2CF9AE}" pid="13" name="_ReviewingToolsShownOnce">
    <vt:lpwstr/>
  </property>
</Properties>
</file>